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DF38E74-AE6A-49F5-902F-02157E4BD6C3}" xr6:coauthVersionLast="47" xr6:coauthVersionMax="47" xr10:uidLastSave="{00000000-0000-0000-0000-000000000000}"/>
  <bookViews>
    <workbookView xWindow="2295" yWindow="285" windowWidth="21945" windowHeight="14610" activeTab="1" xr2:uid="{631499F3-D3F0-4BAB-8239-3F5E4B2A08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2" l="1"/>
  <c r="N3" i="2"/>
  <c r="O3" i="2"/>
  <c r="P3" i="2" s="1"/>
  <c r="Q3" i="2" s="1"/>
  <c r="M3" i="2"/>
  <c r="L26" i="2"/>
  <c r="M11" i="2" s="1"/>
  <c r="K9" i="2"/>
  <c r="L9" i="2"/>
  <c r="L24" i="2" s="1"/>
  <c r="J9" i="2"/>
  <c r="L5" i="2"/>
  <c r="L22" i="2" s="1"/>
  <c r="K4" i="2"/>
  <c r="J4" i="2"/>
  <c r="K3" i="2"/>
  <c r="K5" i="2" s="1"/>
  <c r="J3" i="2"/>
  <c r="J5" i="2" s="1"/>
  <c r="K2" i="2"/>
  <c r="L2" i="2" s="1"/>
  <c r="M2" i="2" s="1"/>
  <c r="N2" i="2" s="1"/>
  <c r="O2" i="2" s="1"/>
  <c r="P2" i="2" s="1"/>
  <c r="Q2" i="2" s="1"/>
  <c r="M4" i="1"/>
  <c r="M3" i="1"/>
  <c r="M9" i="2" l="1"/>
  <c r="K10" i="2"/>
  <c r="K24" i="2" s="1"/>
  <c r="L20" i="2"/>
  <c r="M20" i="2"/>
  <c r="K20" i="2"/>
  <c r="K22" i="2"/>
  <c r="M4" i="2"/>
  <c r="M5" i="2" s="1"/>
  <c r="N4" i="2"/>
  <c r="N5" i="2" s="1"/>
  <c r="J22" i="2"/>
  <c r="J10" i="2"/>
  <c r="N20" i="2"/>
  <c r="O4" i="2"/>
  <c r="L10" i="2"/>
  <c r="L14" i="2" s="1"/>
  <c r="L16" i="2" s="1"/>
  <c r="L17" i="2" s="1"/>
  <c r="M7" i="1"/>
  <c r="M10" i="2" l="1"/>
  <c r="M14" i="2" s="1"/>
  <c r="M15" i="2" s="1"/>
  <c r="K14" i="2"/>
  <c r="K16" i="2" s="1"/>
  <c r="K17" i="2" s="1"/>
  <c r="J24" i="2"/>
  <c r="J14" i="2"/>
  <c r="J16" i="2" s="1"/>
  <c r="J17" i="2" s="1"/>
  <c r="N9" i="2"/>
  <c r="N10" i="2" s="1"/>
  <c r="P4" i="2"/>
  <c r="O5" i="2"/>
  <c r="O20" i="2"/>
  <c r="M16" i="2" l="1"/>
  <c r="M17" i="2"/>
  <c r="M26" i="2"/>
  <c r="N11" i="2" s="1"/>
  <c r="N14" i="2" s="1"/>
  <c r="O9" i="2"/>
  <c r="O10" i="2" s="1"/>
  <c r="P20" i="2"/>
  <c r="P5" i="2"/>
  <c r="Q4" i="2"/>
  <c r="N15" i="2" l="1"/>
  <c r="N16" i="2" s="1"/>
  <c r="Q9" i="2"/>
  <c r="P9" i="2"/>
  <c r="P10" i="2" s="1"/>
  <c r="Q5" i="2"/>
  <c r="Q20" i="2"/>
  <c r="N17" i="2" l="1"/>
  <c r="N26" i="2"/>
  <c r="O11" i="2" s="1"/>
  <c r="O14" i="2" s="1"/>
  <c r="O15" i="2" s="1"/>
  <c r="O16" i="2" s="1"/>
  <c r="O17" i="2" s="1"/>
  <c r="Q10" i="2"/>
  <c r="O26" i="2" l="1"/>
  <c r="P11" i="2"/>
  <c r="P14" i="2" s="1"/>
  <c r="P15" i="2" l="1"/>
  <c r="P16" i="2" s="1"/>
  <c r="P17" i="2" l="1"/>
  <c r="P26" i="2"/>
  <c r="Q11" i="2"/>
  <c r="Q14" i="2" s="1"/>
  <c r="Q15" i="2" l="1"/>
  <c r="Q16" i="2" s="1"/>
  <c r="Q26" i="2" l="1"/>
  <c r="R16" i="2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Q17" i="2"/>
  <c r="T21" i="2" l="1"/>
  <c r="T23" i="2" s="1"/>
</calcChain>
</file>

<file path=xl/sharedStrings.xml><?xml version="1.0" encoding="utf-8"?>
<sst xmlns="http://schemas.openxmlformats.org/spreadsheetml/2006/main" count="48" uniqueCount="42">
  <si>
    <t>Price</t>
  </si>
  <si>
    <t>Shares</t>
  </si>
  <si>
    <t>MC</t>
  </si>
  <si>
    <t>Cash</t>
  </si>
  <si>
    <t>Debt</t>
  </si>
  <si>
    <t>EV</t>
  </si>
  <si>
    <t>4:1 ADR</t>
  </si>
  <si>
    <t>Q424</t>
  </si>
  <si>
    <t>Revenue</t>
  </si>
  <si>
    <t>Main</t>
  </si>
  <si>
    <t>Q124</t>
  </si>
  <si>
    <t>Q224</t>
  </si>
  <si>
    <t>Q324</t>
  </si>
  <si>
    <t>Q125</t>
  </si>
  <si>
    <t>Q225</t>
  </si>
  <si>
    <t>COGS</t>
  </si>
  <si>
    <t>Gross Profit</t>
  </si>
  <si>
    <t>S&amp;M</t>
  </si>
  <si>
    <t>G&amp;A</t>
  </si>
  <si>
    <t>R&amp;D</t>
  </si>
  <si>
    <t>Operating Expenses</t>
  </si>
  <si>
    <t>Operating Income</t>
  </si>
  <si>
    <t>Interest Income</t>
  </si>
  <si>
    <t>Foreign Exchange Gain</t>
  </si>
  <si>
    <t>Other</t>
  </si>
  <si>
    <t>Pretax Income</t>
  </si>
  <si>
    <t>Tax</t>
  </si>
  <si>
    <t>Net Income</t>
  </si>
  <si>
    <t>EPS</t>
  </si>
  <si>
    <t>Revenue y/y</t>
  </si>
  <si>
    <t>Operating Margin</t>
  </si>
  <si>
    <t>Gross Margin</t>
  </si>
  <si>
    <t>Net Cash</t>
  </si>
  <si>
    <t>CFFO</t>
  </si>
  <si>
    <t>CX</t>
  </si>
  <si>
    <t>FCF</t>
  </si>
  <si>
    <t>OPEX Margin</t>
  </si>
  <si>
    <t>ROIC</t>
  </si>
  <si>
    <t>Maturity</t>
  </si>
  <si>
    <t>Discount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</si>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</sst>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3" fillId="0" borderId="0" xfId="0" applyNumberFormat="1" applyFont="1"/>
    <xf numFmtId="9" fontId="1" fillId="0" borderId="0" xfId="0" applyNumberFormat="1" applyFont="1"/>
    <xf numFmtId="3" fontId="4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</xdr:row>
      <xdr:rowOff>28575</xdr:rowOff>
    </xdr:from>
    <xdr:to>
      <xdr:col>6</xdr:col>
      <xdr:colOff>9525</xdr:colOff>
      <xdr:row>40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48179D-937B-E37A-3F91-86FFFAD9E0DA}"/>
            </a:ext>
          </a:extLst>
        </xdr:cNvPr>
        <xdr:cNvCxnSpPr/>
      </xdr:nvCxnSpPr>
      <xdr:spPr>
        <a:xfrm>
          <a:off x="3752850" y="28575"/>
          <a:ext cx="19050" cy="7077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</xdr:row>
      <xdr:rowOff>0</xdr:rowOff>
    </xdr:from>
    <xdr:to>
      <xdr:col>12</xdr:col>
      <xdr:colOff>38100</xdr:colOff>
      <xdr:row>40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35AF556-04DD-4E27-92C4-8E854EAED65D}"/>
            </a:ext>
          </a:extLst>
        </xdr:cNvPr>
        <xdr:cNvCxnSpPr/>
      </xdr:nvCxnSpPr>
      <xdr:spPr>
        <a:xfrm>
          <a:off x="7896225" y="0"/>
          <a:ext cx="19050" cy="7077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</xdr:row>
      <xdr:rowOff>28575</xdr:rowOff>
    </xdr:from>
    <xdr:to>
      <xdr:col>12</xdr:col>
      <xdr:colOff>28575</xdr:colOff>
      <xdr:row>34</xdr:row>
      <xdr:rowOff>28575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0D3EB74-5C7D-1ACE-A93C-8CEACD928ACC}"/>
            </a:ext>
          </a:extLst>
        </xdr:cNvPr>
        <xdr:cNvCxnSpPr/>
      </xdr:nvCxnSpPr>
      <xdr:spPr>
        <a:xfrm>
          <a:off x="8724900" y="28575"/>
          <a:ext cx="19050" cy="6010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E3AC-B726-4DC3-B9F2-16E4FDC062EA}">
  <dimension ref="A1:O7"/>
  <sheetViews>
    <sheetView zoomScale="115" zoomScaleNormal="115" workbookViewId="0"/>
  </sheetViews>
  <sheetFormatPr defaultRowHeight="14.25" x14ac:dyDescent="0.2"/>
  <sheetData>
    <row r="1" spans="1:15" ht="15" x14ac:dyDescent="0.25">
      <c r="A1" s="1"/>
    </row>
    <row r="2" spans="1:15" x14ac:dyDescent="0.2">
      <c r="L2" t="s">
        <v>0</v>
      </c>
      <c r="M2" s="2">
        <v>103</v>
      </c>
    </row>
    <row r="3" spans="1:15" x14ac:dyDescent="0.2">
      <c r="L3" t="s">
        <v>1</v>
      </c>
      <c r="M3" s="2">
        <f>5568.5/4</f>
        <v>1392.125</v>
      </c>
      <c r="N3" t="s">
        <v>7</v>
      </c>
      <c r="O3" t="s">
        <v>6</v>
      </c>
    </row>
    <row r="4" spans="1:15" x14ac:dyDescent="0.2">
      <c r="L4" t="s">
        <v>2</v>
      </c>
      <c r="M4" s="2">
        <f>M3*M2</f>
        <v>143388.875</v>
      </c>
    </row>
    <row r="5" spans="1:15" x14ac:dyDescent="0.2">
      <c r="L5" t="s">
        <v>3</v>
      </c>
      <c r="M5" s="2">
        <v>46000</v>
      </c>
      <c r="N5" t="s">
        <v>7</v>
      </c>
    </row>
    <row r="6" spans="1:15" x14ac:dyDescent="0.2">
      <c r="L6" t="s">
        <v>4</v>
      </c>
      <c r="M6" s="2">
        <v>1470</v>
      </c>
      <c r="N6" t="s">
        <v>7</v>
      </c>
    </row>
    <row r="7" spans="1:15" x14ac:dyDescent="0.2">
      <c r="L7" t="s">
        <v>5</v>
      </c>
      <c r="M7" s="2">
        <f>M4+M6-M5</f>
        <v>98858.875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F178-C6E6-4253-9872-7B716C4F579F}">
  <dimension ref="A1:DJ32"/>
  <sheetViews>
    <sheetView tabSelected="1" zoomScale="130" zoomScaleNormal="130" workbookViewId="0">
      <pane xSplit="2" ySplit="2" topLeftCell="K3" activePane="bottomRight" state="frozen"/>
      <selection pane="topRight" activeCell="C1" sqref="C1"/>
      <selection pane="bottomLeft" activeCell="A2" sqref="A2"/>
      <selection pane="bottomRight" activeCell="T22" sqref="T22"/>
    </sheetView>
  </sheetViews>
  <sheetFormatPr defaultRowHeight="12.75" x14ac:dyDescent="0.2"/>
  <cols>
    <col min="1" max="1" width="4.375" style="3" customWidth="1"/>
    <col min="2" max="2" width="20" style="3" customWidth="1"/>
    <col min="3" max="16384" width="9" style="3"/>
  </cols>
  <sheetData>
    <row r="1" spans="1:114" ht="14.25" x14ac:dyDescent="0.2">
      <c r="A1" s="10" t="s">
        <v>9</v>
      </c>
    </row>
    <row r="2" spans="1:114" x14ac:dyDescent="0.2">
      <c r="C2" s="3" t="s">
        <v>10</v>
      </c>
      <c r="D2" s="3" t="s">
        <v>11</v>
      </c>
      <c r="E2" s="3" t="s">
        <v>12</v>
      </c>
      <c r="F2" s="3" t="s">
        <v>7</v>
      </c>
      <c r="G2" s="3" t="s">
        <v>13</v>
      </c>
      <c r="H2" s="3" t="s">
        <v>14</v>
      </c>
      <c r="J2" s="4">
        <v>2022</v>
      </c>
      <c r="K2" s="4">
        <f>J2+1</f>
        <v>2023</v>
      </c>
      <c r="L2" s="4">
        <f t="shared" ref="L2:Q2" si="0">K2+1</f>
        <v>2024</v>
      </c>
      <c r="M2" s="4">
        <f t="shared" si="0"/>
        <v>2025</v>
      </c>
      <c r="N2" s="4">
        <f t="shared" si="0"/>
        <v>2026</v>
      </c>
      <c r="O2" s="4">
        <f t="shared" si="0"/>
        <v>2027</v>
      </c>
      <c r="P2" s="4">
        <f t="shared" si="0"/>
        <v>2028</v>
      </c>
      <c r="Q2" s="4">
        <f t="shared" si="0"/>
        <v>2029</v>
      </c>
    </row>
    <row r="3" spans="1:114" s="5" customFormat="1" x14ac:dyDescent="0.2">
      <c r="A3" s="3"/>
      <c r="B3" s="5" t="s">
        <v>8</v>
      </c>
      <c r="J3" s="5">
        <f>130557*0.14</f>
        <v>18277.980000000003</v>
      </c>
      <c r="K3" s="5">
        <f>247639*0.14</f>
        <v>34669.460000000006</v>
      </c>
      <c r="L3" s="5">
        <v>53955.3</v>
      </c>
      <c r="M3" s="5">
        <f>L3*1.04</f>
        <v>56113.512000000002</v>
      </c>
      <c r="N3" s="5">
        <f t="shared" ref="N3:Q3" si="1">M3*1.04</f>
        <v>58358.052480000006</v>
      </c>
      <c r="O3" s="5">
        <f t="shared" si="1"/>
        <v>60692.374579200005</v>
      </c>
      <c r="P3" s="5">
        <f t="shared" si="1"/>
        <v>63120.069562368008</v>
      </c>
      <c r="Q3" s="5">
        <f t="shared" si="1"/>
        <v>65644.872344862728</v>
      </c>
    </row>
    <row r="4" spans="1:114" x14ac:dyDescent="0.2">
      <c r="B4" s="3" t="s">
        <v>15</v>
      </c>
      <c r="J4" s="3">
        <f>31462*0.14</f>
        <v>4404.68</v>
      </c>
      <c r="K4" s="3">
        <f>91723*0.14</f>
        <v>12841.220000000001</v>
      </c>
      <c r="L4" s="3">
        <v>21084</v>
      </c>
      <c r="M4" s="3">
        <f>M3*(1-M22)</f>
        <v>21884.269680000001</v>
      </c>
      <c r="N4" s="3">
        <f>N3*(1-N22)</f>
        <v>22759.640467200003</v>
      </c>
      <c r="O4" s="3">
        <f>O3*(1-O22)</f>
        <v>23670.026085888003</v>
      </c>
      <c r="P4" s="3">
        <f>P3*(1-P22)</f>
        <v>24616.827129323523</v>
      </c>
      <c r="Q4" s="3">
        <f>Q3*(1-Q22)</f>
        <v>25601.500214496464</v>
      </c>
    </row>
    <row r="5" spans="1:114" x14ac:dyDescent="0.2">
      <c r="B5" s="3" t="s">
        <v>16</v>
      </c>
      <c r="J5" s="3">
        <f>J3-J4</f>
        <v>13873.300000000003</v>
      </c>
      <c r="K5" s="3">
        <f t="shared" ref="K5:Q5" si="2">K3-K4</f>
        <v>21828.240000000005</v>
      </c>
      <c r="L5" s="3">
        <f t="shared" si="2"/>
        <v>32871.300000000003</v>
      </c>
      <c r="M5" s="3">
        <f t="shared" si="2"/>
        <v>34229.242320000005</v>
      </c>
      <c r="N5" s="3">
        <f t="shared" si="2"/>
        <v>35598.412012800007</v>
      </c>
      <c r="O5" s="3">
        <f t="shared" si="2"/>
        <v>37022.348493312005</v>
      </c>
      <c r="P5" s="3">
        <f t="shared" si="2"/>
        <v>38503.242433044485</v>
      </c>
      <c r="Q5" s="3">
        <f t="shared" si="2"/>
        <v>40043.372130366261</v>
      </c>
    </row>
    <row r="6" spans="1:114" x14ac:dyDescent="0.2">
      <c r="B6" s="3" t="s">
        <v>17</v>
      </c>
      <c r="L6" s="3">
        <v>15248</v>
      </c>
    </row>
    <row r="7" spans="1:114" x14ac:dyDescent="0.2">
      <c r="B7" s="3" t="s">
        <v>18</v>
      </c>
      <c r="L7" s="3">
        <v>1034.7</v>
      </c>
    </row>
    <row r="8" spans="1:114" x14ac:dyDescent="0.2">
      <c r="B8" s="3" t="s">
        <v>19</v>
      </c>
      <c r="L8" s="3">
        <v>1734.3</v>
      </c>
    </row>
    <row r="9" spans="1:114" x14ac:dyDescent="0.2">
      <c r="B9" s="3" t="s">
        <v>20</v>
      </c>
      <c r="J9" s="3">
        <f>SUM(J6:J8)</f>
        <v>0</v>
      </c>
      <c r="K9" s="3">
        <f t="shared" ref="K9:L9" si="3">SUM(K6:K8)</f>
        <v>0</v>
      </c>
      <c r="L9" s="3">
        <f t="shared" si="3"/>
        <v>18017</v>
      </c>
      <c r="M9" s="3">
        <f>M3*M24</f>
        <v>18517.45896</v>
      </c>
      <c r="N9" s="3">
        <f>N3*N24</f>
        <v>19258.157318400004</v>
      </c>
      <c r="O9" s="3">
        <f>O3*O24</f>
        <v>20028.483611136002</v>
      </c>
      <c r="P9" s="3">
        <f>P3*P24</f>
        <v>20829.622955581443</v>
      </c>
      <c r="Q9" s="3">
        <f>Q3*Q24</f>
        <v>21662.807873804701</v>
      </c>
    </row>
    <row r="10" spans="1:114" x14ac:dyDescent="0.2">
      <c r="B10" s="3" t="s">
        <v>21</v>
      </c>
      <c r="J10" s="3">
        <f>J5-J9</f>
        <v>13873.300000000003</v>
      </c>
      <c r="K10" s="3">
        <f t="shared" ref="K10:Q10" si="4">K5-K9</f>
        <v>21828.240000000005</v>
      </c>
      <c r="L10" s="3">
        <f t="shared" si="4"/>
        <v>14854.300000000003</v>
      </c>
      <c r="M10" s="3">
        <f t="shared" si="4"/>
        <v>15711.783360000005</v>
      </c>
      <c r="N10" s="3">
        <f t="shared" si="4"/>
        <v>16340.254694400002</v>
      </c>
      <c r="O10" s="3">
        <f t="shared" si="4"/>
        <v>16993.864882176003</v>
      </c>
      <c r="P10" s="3">
        <f t="shared" si="4"/>
        <v>17673.619477463042</v>
      </c>
      <c r="Q10" s="3">
        <f t="shared" si="4"/>
        <v>18380.56425656156</v>
      </c>
    </row>
    <row r="11" spans="1:114" x14ac:dyDescent="0.2">
      <c r="B11" s="3" t="s">
        <v>22</v>
      </c>
      <c r="L11" s="3">
        <v>2815.8</v>
      </c>
      <c r="M11" s="3">
        <f>L26*$T$18</f>
        <v>890.6</v>
      </c>
      <c r="N11" s="3">
        <f>M26*$T$18</f>
        <v>1156.23813376</v>
      </c>
      <c r="O11" s="3">
        <f>N26*$T$18</f>
        <v>1436.1820190105602</v>
      </c>
      <c r="P11" s="3">
        <f>O26*$T$18</f>
        <v>1731.0627694295451</v>
      </c>
      <c r="Q11" s="3">
        <f>P26*$T$18</f>
        <v>2041.5376853798266</v>
      </c>
    </row>
    <row r="12" spans="1:114" x14ac:dyDescent="0.2">
      <c r="B12" s="3" t="s">
        <v>23</v>
      </c>
      <c r="L12" s="3">
        <v>80.5</v>
      </c>
    </row>
    <row r="13" spans="1:114" x14ac:dyDescent="0.2">
      <c r="B13" s="3" t="s">
        <v>24</v>
      </c>
      <c r="L13" s="3">
        <v>427.4</v>
      </c>
    </row>
    <row r="14" spans="1:114" x14ac:dyDescent="0.2">
      <c r="B14" s="3" t="s">
        <v>25</v>
      </c>
      <c r="J14" s="3">
        <f>SUM(J10:J13)</f>
        <v>13873.300000000003</v>
      </c>
      <c r="K14" s="3">
        <f>SUM(K10:K13)</f>
        <v>21828.240000000005</v>
      </c>
      <c r="L14" s="3">
        <f>SUM(L10:L13)</f>
        <v>18178.000000000004</v>
      </c>
      <c r="M14" s="3">
        <f t="shared" ref="M14:Q14" si="5">SUM(M10:M13)</f>
        <v>16602.383360000003</v>
      </c>
      <c r="N14" s="3">
        <f t="shared" si="5"/>
        <v>17496.49282816</v>
      </c>
      <c r="O14" s="3">
        <f t="shared" si="5"/>
        <v>18430.046901186564</v>
      </c>
      <c r="P14" s="3">
        <f t="shared" si="5"/>
        <v>19404.682246892586</v>
      </c>
      <c r="Q14" s="3">
        <f t="shared" si="5"/>
        <v>20422.101941941386</v>
      </c>
    </row>
    <row r="15" spans="1:114" x14ac:dyDescent="0.2">
      <c r="B15" s="3" t="s">
        <v>26</v>
      </c>
      <c r="L15" s="3">
        <v>2776.5</v>
      </c>
      <c r="M15" s="3">
        <f>M14*0.2</f>
        <v>3320.4766720000007</v>
      </c>
      <c r="N15" s="3">
        <f t="shared" ref="N15:Q15" si="6">N14*0.2</f>
        <v>3499.2985656320002</v>
      </c>
      <c r="O15" s="3">
        <f t="shared" si="6"/>
        <v>3686.0093802373131</v>
      </c>
      <c r="P15" s="3">
        <f t="shared" si="6"/>
        <v>3880.9364493785174</v>
      </c>
      <c r="Q15" s="3">
        <f t="shared" si="6"/>
        <v>4084.4203883882774</v>
      </c>
    </row>
    <row r="16" spans="1:114" x14ac:dyDescent="0.2">
      <c r="B16" s="3" t="s">
        <v>27</v>
      </c>
      <c r="J16" s="3">
        <f>J14-J15</f>
        <v>13873.300000000003</v>
      </c>
      <c r="K16" s="3">
        <f>K14-K15</f>
        <v>21828.240000000005</v>
      </c>
      <c r="L16" s="3">
        <f>L14-L15</f>
        <v>15401.500000000004</v>
      </c>
      <c r="M16" s="3">
        <f t="shared" ref="M16:Q16" si="7">M14-M15</f>
        <v>13281.906688000003</v>
      </c>
      <c r="N16" s="3">
        <f t="shared" si="7"/>
        <v>13997.194262528001</v>
      </c>
      <c r="O16" s="3">
        <f t="shared" si="7"/>
        <v>14744.037520949252</v>
      </c>
      <c r="P16" s="3">
        <f t="shared" si="7"/>
        <v>15523.745797514068</v>
      </c>
      <c r="Q16" s="3">
        <f t="shared" si="7"/>
        <v>16337.68155355311</v>
      </c>
      <c r="R16" s="3">
        <f>Q16*(1+$T$19)</f>
        <v>16501.058369088641</v>
      </c>
      <c r="S16" s="3">
        <f>R16*(1+$T$19)</f>
        <v>16666.068952779529</v>
      </c>
      <c r="T16" s="3">
        <f>S16*(1+$T$19)</f>
        <v>16832.729642307324</v>
      </c>
      <c r="U16" s="3">
        <f>T16*(1+$T$19)</f>
        <v>17001.056938730399</v>
      </c>
      <c r="V16" s="3">
        <f>U16*(1+$T$19)</f>
        <v>17171.067508117703</v>
      </c>
      <c r="W16" s="3">
        <f>V16*(1+$T$19)</f>
        <v>17342.77818319888</v>
      </c>
      <c r="X16" s="3">
        <f>W16*(1+$T$19)</f>
        <v>17516.205965030869</v>
      </c>
      <c r="Y16" s="3">
        <f>X16*(1+$T$19)</f>
        <v>17691.368024681178</v>
      </c>
      <c r="Z16" s="3">
        <f>Y16*(1+$T$19)</f>
        <v>17868.281704927991</v>
      </c>
      <c r="AA16" s="3">
        <f>Z16*(1+$T$19)</f>
        <v>18046.964521977272</v>
      </c>
      <c r="AB16" s="3">
        <f>AA16*(1+$T$19)</f>
        <v>18227.434167197043</v>
      </c>
      <c r="AC16" s="3">
        <f>AB16*(1+$T$19)</f>
        <v>18409.708508869015</v>
      </c>
      <c r="AD16" s="3">
        <f>AC16*(1+$T$19)</f>
        <v>18593.805593957706</v>
      </c>
      <c r="AE16" s="3">
        <f>AD16*(1+$T$19)</f>
        <v>18779.743649897282</v>
      </c>
      <c r="AF16" s="3">
        <f>AE16*(1+$T$19)</f>
        <v>18967.541086396253</v>
      </c>
      <c r="AG16" s="3">
        <f>AF16*(1+$T$19)</f>
        <v>19157.216497260215</v>
      </c>
      <c r="AH16" s="3">
        <f>AG16*(1+$T$19)</f>
        <v>19348.788662232819</v>
      </c>
      <c r="AI16" s="3">
        <f>AH16*(1+$T$19)</f>
        <v>19542.276548855149</v>
      </c>
      <c r="AJ16" s="3">
        <f>AI16*(1+$T$19)</f>
        <v>19737.699314343699</v>
      </c>
      <c r="AK16" s="3">
        <f>AJ16*(1+$T$19)</f>
        <v>19935.076307487136</v>
      </c>
      <c r="AL16" s="3">
        <f>AK16*(1+$T$19)</f>
        <v>20134.427070562007</v>
      </c>
      <c r="AM16" s="3">
        <f>AL16*(1+$T$19)</f>
        <v>20335.771341267628</v>
      </c>
      <c r="AN16" s="3">
        <f>AM16*(1+$T$19)</f>
        <v>20539.129054680303</v>
      </c>
      <c r="AO16" s="3">
        <f>AN16*(1+$T$19)</f>
        <v>20744.520345227105</v>
      </c>
      <c r="AP16" s="3">
        <f>AO16*(1+$T$19)</f>
        <v>20951.965548679378</v>
      </c>
      <c r="AQ16" s="3">
        <f>AP16*(1+$T$19)</f>
        <v>21161.485204166172</v>
      </c>
      <c r="AR16" s="3">
        <f>AQ16*(1+$T$19)</f>
        <v>21373.100056207833</v>
      </c>
      <c r="AS16" s="3">
        <f>AR16*(1+$T$19)</f>
        <v>21586.831056769912</v>
      </c>
      <c r="AT16" s="3">
        <f>AS16*(1+$T$19)</f>
        <v>21802.699367337613</v>
      </c>
      <c r="AU16" s="3">
        <f>AT16*(1+$T$19)</f>
        <v>22020.726361010988</v>
      </c>
      <c r="AV16" s="3">
        <f>AU16*(1+$T$19)</f>
        <v>22240.933624621099</v>
      </c>
      <c r="AW16" s="3">
        <f>AV16*(1+$T$19)</f>
        <v>22463.34296086731</v>
      </c>
      <c r="AX16" s="3">
        <f>AW16*(1+$T$19)</f>
        <v>22687.976390475982</v>
      </c>
      <c r="AY16" s="3">
        <f>AX16*(1+$T$19)</f>
        <v>22914.856154380741</v>
      </c>
      <c r="AZ16" s="3">
        <f>AY16*(1+$T$19)</f>
        <v>23144.004715924548</v>
      </c>
      <c r="BA16" s="3">
        <f>AZ16*(1+$T$19)</f>
        <v>23375.444763083793</v>
      </c>
      <c r="BB16" s="3">
        <f>BA16*(1+$T$19)</f>
        <v>23609.199210714632</v>
      </c>
      <c r="BC16" s="3">
        <f>BB16*(1+$T$19)</f>
        <v>23845.29120282178</v>
      </c>
      <c r="BD16" s="3">
        <f>BC16*(1+$T$19)</f>
        <v>24083.744114849997</v>
      </c>
      <c r="BE16" s="3">
        <f>BD16*(1+$T$19)</f>
        <v>24324.581555998499</v>
      </c>
      <c r="BF16" s="3">
        <f>BE16*(1+$T$19)</f>
        <v>24567.827371558484</v>
      </c>
      <c r="BG16" s="3">
        <f>BF16*(1+$T$19)</f>
        <v>24813.505645274068</v>
      </c>
      <c r="BH16" s="3">
        <f>BG16*(1+$T$19)</f>
        <v>25061.64070172681</v>
      </c>
      <c r="BI16" s="3">
        <f>BH16*(1+$T$19)</f>
        <v>25312.257108744077</v>
      </c>
      <c r="BJ16" s="3">
        <f>BI16*(1+$T$19)</f>
        <v>25565.37967983152</v>
      </c>
      <c r="BK16" s="3">
        <f>BJ16*(1+$T$19)</f>
        <v>25821.033476629837</v>
      </c>
      <c r="BL16" s="3">
        <f>BK16*(1+$T$19)</f>
        <v>26079.243811396136</v>
      </c>
      <c r="BM16" s="3">
        <f>BL16*(1+$T$19)</f>
        <v>26340.036249510096</v>
      </c>
      <c r="BN16" s="3">
        <f>BM16*(1+$T$19)</f>
        <v>26603.436612005196</v>
      </c>
      <c r="BO16" s="3">
        <f>BN16*(1+$T$19)</f>
        <v>26869.47097812525</v>
      </c>
      <c r="BP16" s="3">
        <f>BO16*(1+$T$19)</f>
        <v>27138.165687906501</v>
      </c>
      <c r="BQ16" s="3">
        <f>BP16*(1+$T$19)</f>
        <v>27409.547344785566</v>
      </c>
      <c r="BR16" s="3">
        <f>BQ16*(1+$T$19)</f>
        <v>27683.64281823342</v>
      </c>
      <c r="BS16" s="3">
        <f>BR16*(1+$T$19)</f>
        <v>27960.479246415754</v>
      </c>
      <c r="BT16" s="3">
        <f>BS16*(1+$T$19)</f>
        <v>28240.084038879912</v>
      </c>
      <c r="BU16" s="3">
        <f>BT16*(1+$T$19)</f>
        <v>28522.484879268712</v>
      </c>
      <c r="BV16" s="3">
        <f>BU16*(1+$T$19)</f>
        <v>28807.7097280614</v>
      </c>
      <c r="BW16" s="3">
        <f>BV16*(1+$T$19)</f>
        <v>29095.786825342013</v>
      </c>
      <c r="BX16" s="3">
        <f>BW16*(1+$T$19)</f>
        <v>29386.744693595432</v>
      </c>
      <c r="BY16" s="3">
        <f>BX16*(1+$T$19)</f>
        <v>29680.612140531386</v>
      </c>
      <c r="BZ16" s="3">
        <f>BY16*(1+$T$19)</f>
        <v>29977.418261936702</v>
      </c>
      <c r="CA16" s="3">
        <f>BZ16*(1+$T$19)</f>
        <v>30277.192444556069</v>
      </c>
      <c r="CB16" s="3">
        <f>CA16*(1+$T$19)</f>
        <v>30579.964369001631</v>
      </c>
      <c r="CC16" s="3">
        <f>CB16*(1+$T$19)</f>
        <v>30885.764012691649</v>
      </c>
      <c r="CD16" s="3">
        <f>CC16*(1+$T$19)</f>
        <v>31194.621652818565</v>
      </c>
      <c r="CE16" s="3">
        <f>CD16*(1+$T$19)</f>
        <v>31506.567869346753</v>
      </c>
      <c r="CF16" s="3">
        <f>CE16*(1+$T$19)</f>
        <v>31821.633548040219</v>
      </c>
      <c r="CG16" s="3">
        <f>CF16*(1+$T$19)</f>
        <v>32139.849883520623</v>
      </c>
      <c r="CH16" s="3">
        <f>CG16*(1+$T$19)</f>
        <v>32461.248382355829</v>
      </c>
      <c r="CI16" s="3">
        <f>CH16*(1+$T$19)</f>
        <v>32785.860866179384</v>
      </c>
      <c r="CJ16" s="3">
        <f>CI16*(1+$T$19)</f>
        <v>33113.719474841178</v>
      </c>
      <c r="CK16" s="3">
        <f>CJ16*(1+$T$19)</f>
        <v>33444.856669589593</v>
      </c>
      <c r="CL16" s="3">
        <f>CK16*(1+$T$19)</f>
        <v>33779.305236285487</v>
      </c>
      <c r="CM16" s="3">
        <f>CL16*(1+$T$19)</f>
        <v>34117.09828864834</v>
      </c>
      <c r="CN16" s="3">
        <f>CM16*(1+$T$19)</f>
        <v>34458.269271534824</v>
      </c>
      <c r="CO16" s="3">
        <f>CN16*(1+$T$19)</f>
        <v>34802.851964250171</v>
      </c>
      <c r="CP16" s="3">
        <f>CO16*(1+$T$19)</f>
        <v>35150.880483892674</v>
      </c>
      <c r="CQ16" s="3">
        <f>CP16*(1+$T$19)</f>
        <v>35502.389288731603</v>
      </c>
      <c r="CR16" s="3">
        <f>CQ16*(1+$T$19)</f>
        <v>35857.413181618918</v>
      </c>
      <c r="CS16" s="3">
        <f>CR16*(1+$T$19)</f>
        <v>36215.987313435107</v>
      </c>
      <c r="CT16" s="3">
        <f>CS16*(1+$T$19)</f>
        <v>36578.147186569462</v>
      </c>
      <c r="CU16" s="3">
        <f>CT16*(1+$T$19)</f>
        <v>36943.928658435158</v>
      </c>
      <c r="CV16" s="3">
        <f>CU16*(1+$T$19)</f>
        <v>37313.367945019512</v>
      </c>
      <c r="CW16" s="3">
        <f>CV16*(1+$T$19)</f>
        <v>37686.501624469711</v>
      </c>
      <c r="CX16" s="3">
        <f>CW16*(1+$T$19)</f>
        <v>38063.366640714405</v>
      </c>
      <c r="CY16" s="3">
        <f>CX16*(1+$T$19)</f>
        <v>38444.000307121547</v>
      </c>
      <c r="CZ16" s="3">
        <f>CY16*(1+$T$19)</f>
        <v>38828.44031019276</v>
      </c>
      <c r="DA16" s="3">
        <f>CZ16*(1+$T$19)</f>
        <v>39216.724713294687</v>
      </c>
      <c r="DB16" s="3">
        <f>DA16*(1+$T$19)</f>
        <v>39608.891960427631</v>
      </c>
      <c r="DC16" s="3">
        <f>DB16*(1+$T$19)</f>
        <v>40004.980880031908</v>
      </c>
      <c r="DD16" s="3">
        <f>DC16*(1+$T$19)</f>
        <v>40405.03068883223</v>
      </c>
      <c r="DE16" s="3">
        <f>DD16*(1+$T$19)</f>
        <v>40809.080995720549</v>
      </c>
      <c r="DF16" s="3">
        <f>DE16*(1+$T$19)</f>
        <v>41217.171805677754</v>
      </c>
      <c r="DG16" s="3">
        <f>DF16*(1+$T$19)</f>
        <v>41629.343523734533</v>
      </c>
      <c r="DH16" s="3">
        <f>DG16*(1+$T$19)</f>
        <v>42045.636958971882</v>
      </c>
      <c r="DI16" s="3">
        <f>DH16*(1+$T$19)</f>
        <v>42466.093328561597</v>
      </c>
      <c r="DJ16" s="3">
        <f>DI16*(1+$T$19)</f>
        <v>42890.754261847214</v>
      </c>
    </row>
    <row r="17" spans="1:20" x14ac:dyDescent="0.2">
      <c r="B17" s="3" t="s">
        <v>28</v>
      </c>
      <c r="J17" s="6">
        <f>J16/J18</f>
        <v>2.4081409477521269</v>
      </c>
      <c r="K17" s="6">
        <f>K16/K18</f>
        <v>3.7383524576126059</v>
      </c>
      <c r="L17" s="6">
        <f>L16/L18</f>
        <v>2.6031437505281847</v>
      </c>
      <c r="M17" s="6">
        <f t="shared" ref="M17:Q17" si="8">M16/M18</f>
        <v>2.2448925357897411</v>
      </c>
      <c r="N17" s="6">
        <f t="shared" si="8"/>
        <v>2.3657896159094061</v>
      </c>
      <c r="O17" s="6">
        <f t="shared" si="8"/>
        <v>2.4920202012928678</v>
      </c>
      <c r="P17" s="6">
        <f t="shared" si="8"/>
        <v>2.62380559410362</v>
      </c>
      <c r="Q17" s="6">
        <f t="shared" si="8"/>
        <v>2.7613760759829478</v>
      </c>
    </row>
    <row r="18" spans="1:20" x14ac:dyDescent="0.2">
      <c r="B18" s="3" t="s">
        <v>1</v>
      </c>
      <c r="J18" s="3">
        <v>5761</v>
      </c>
      <c r="K18" s="3">
        <v>5839</v>
      </c>
      <c r="L18" s="3">
        <v>5916.5</v>
      </c>
      <c r="M18" s="3">
        <v>5916.5</v>
      </c>
      <c r="N18" s="3">
        <v>5916.5</v>
      </c>
      <c r="O18" s="3">
        <v>5916.5</v>
      </c>
      <c r="P18" s="3">
        <v>5916.5</v>
      </c>
      <c r="Q18" s="3">
        <v>5916.5</v>
      </c>
      <c r="S18" s="3" t="s">
        <v>37</v>
      </c>
      <c r="T18" s="7">
        <v>0.02</v>
      </c>
    </row>
    <row r="19" spans="1:20" x14ac:dyDescent="0.2">
      <c r="S19" s="3" t="s">
        <v>38</v>
      </c>
      <c r="T19" s="7">
        <v>0.01</v>
      </c>
    </row>
    <row r="20" spans="1:20" s="5" customFormat="1" x14ac:dyDescent="0.2">
      <c r="A20" s="3"/>
      <c r="B20" s="5" t="s">
        <v>29</v>
      </c>
      <c r="K20" s="8">
        <f>K3/J3-1</f>
        <v>0.89678837595839367</v>
      </c>
      <c r="L20" s="8">
        <f>L3/K3-1</f>
        <v>0.55627748456422443</v>
      </c>
      <c r="M20" s="8">
        <f t="shared" ref="M20:Q20" si="9">M3/L3-1</f>
        <v>4.0000000000000036E-2</v>
      </c>
      <c r="N20" s="8">
        <f t="shared" si="9"/>
        <v>4.0000000000000036E-2</v>
      </c>
      <c r="O20" s="8">
        <f t="shared" si="9"/>
        <v>4.0000000000000036E-2</v>
      </c>
      <c r="P20" s="8">
        <f t="shared" si="9"/>
        <v>4.0000000000000036E-2</v>
      </c>
      <c r="Q20" s="8">
        <f t="shared" si="9"/>
        <v>4.0000000000000036E-2</v>
      </c>
      <c r="S20" s="3" t="s">
        <v>39</v>
      </c>
      <c r="T20" s="7">
        <v>8.5000000000000006E-2</v>
      </c>
    </row>
    <row r="21" spans="1:20" x14ac:dyDescent="0.2">
      <c r="S21" s="5" t="s">
        <v>40</v>
      </c>
      <c r="T21" s="5">
        <f>NPV(T20,M16:XFD16)+Main!M5-Main!M6</f>
        <v>248450.28283361872</v>
      </c>
    </row>
    <row r="22" spans="1:20" s="5" customFormat="1" x14ac:dyDescent="0.2">
      <c r="A22" s="3"/>
      <c r="B22" s="5" t="s">
        <v>31</v>
      </c>
      <c r="J22" s="8">
        <f>J5/J3</f>
        <v>0.75901713427851436</v>
      </c>
      <c r="K22" s="8">
        <f>K5/K3</f>
        <v>0.6296100371912341</v>
      </c>
      <c r="L22" s="8">
        <f>L5/L3</f>
        <v>0.60923208656054184</v>
      </c>
      <c r="M22" s="8">
        <v>0.61</v>
      </c>
      <c r="N22" s="8">
        <v>0.61</v>
      </c>
      <c r="O22" s="8">
        <v>0.61</v>
      </c>
      <c r="P22" s="8">
        <v>0.61</v>
      </c>
      <c r="Q22" s="8">
        <v>0.61</v>
      </c>
      <c r="S22" s="3" t="s">
        <v>41</v>
      </c>
      <c r="T22" s="3">
        <f>T21/Main!M3</f>
        <v>178.46837233267036</v>
      </c>
    </row>
    <row r="23" spans="1:20" x14ac:dyDescent="0.2">
      <c r="B23" s="3" t="s">
        <v>30</v>
      </c>
      <c r="T23" s="9">
        <f>T22/Main!M2-1</f>
        <v>0.73270264400650831</v>
      </c>
    </row>
    <row r="24" spans="1:20" x14ac:dyDescent="0.2">
      <c r="B24" s="3" t="s">
        <v>36</v>
      </c>
      <c r="J24" s="9">
        <f>J10/J3</f>
        <v>0.75901713427851436</v>
      </c>
      <c r="K24" s="9">
        <f>K10/K3</f>
        <v>0.6296100371912341</v>
      </c>
      <c r="L24" s="9">
        <f>L9/L3</f>
        <v>0.33392456348125205</v>
      </c>
      <c r="M24" s="9">
        <v>0.33</v>
      </c>
      <c r="N24" s="9">
        <v>0.33</v>
      </c>
      <c r="O24" s="9">
        <v>0.33</v>
      </c>
      <c r="P24" s="9">
        <v>0.33</v>
      </c>
      <c r="Q24" s="9">
        <v>0.33</v>
      </c>
    </row>
    <row r="26" spans="1:20" x14ac:dyDescent="0.2">
      <c r="B26" s="3" t="s">
        <v>32</v>
      </c>
      <c r="L26" s="3">
        <f>L27-L28</f>
        <v>44530</v>
      </c>
      <c r="M26" s="3">
        <f>L26+M16</f>
        <v>57811.906688000003</v>
      </c>
      <c r="N26" s="3">
        <f>M26+N16</f>
        <v>71809.100950528009</v>
      </c>
      <c r="O26" s="3">
        <f>N26+O16</f>
        <v>86553.138471477258</v>
      </c>
      <c r="P26" s="3">
        <f>O26+P16</f>
        <v>102076.88426899133</v>
      </c>
      <c r="Q26" s="3">
        <f>P26+Q16</f>
        <v>118414.56582254443</v>
      </c>
    </row>
    <row r="27" spans="1:20" x14ac:dyDescent="0.2">
      <c r="B27" s="3" t="s">
        <v>3</v>
      </c>
      <c r="L27" s="3">
        <v>46000</v>
      </c>
    </row>
    <row r="28" spans="1:20" x14ac:dyDescent="0.2">
      <c r="B28" s="3" t="s">
        <v>4</v>
      </c>
      <c r="L28" s="3">
        <v>1470</v>
      </c>
    </row>
    <row r="30" spans="1:20" x14ac:dyDescent="0.2">
      <c r="B30" s="3" t="s">
        <v>33</v>
      </c>
    </row>
    <row r="31" spans="1:20" x14ac:dyDescent="0.2">
      <c r="B31" s="3" t="s">
        <v>34</v>
      </c>
    </row>
    <row r="32" spans="1:20" s="5" customFormat="1" x14ac:dyDescent="0.2">
      <c r="A32" s="3"/>
      <c r="B32" s="5" t="s">
        <v>35</v>
      </c>
    </row>
  </sheetData>
  <hyperlinks>
    <hyperlink ref="A1" location="Main!A1" display="Main" xr:uid="{835F5D01-3DC0-48C8-A69A-0F927522F1C8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2025-05-24T04:16:18Z</dcterms:created>
  <dcterms:modified xsi:type="dcterms:W3CDTF">2025-06-17T02:50:34Z</dcterms:modified>
</cp:coreProperties>
</file>