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"/>
    </mc:Choice>
  </mc:AlternateContent>
  <xr:revisionPtr revIDLastSave="0" documentId="13_ncr:1_{11599564-DA13-4237-A722-6805592DD764}" xr6:coauthVersionLast="47" xr6:coauthVersionMax="47" xr10:uidLastSave="{00000000-0000-0000-0000-000000000000}"/>
  <bookViews>
    <workbookView xWindow="-105" yWindow="0" windowWidth="14610" windowHeight="15585" activeTab="1" xr2:uid="{77BD1193-36D1-453A-8507-DD0E4F65FF43}"/>
  </bookViews>
  <sheets>
    <sheet name="Main" sheetId="1" r:id="rId1"/>
    <sheet name="Model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2" l="1"/>
  <c r="Q6" i="2"/>
  <c r="P6" i="2"/>
  <c r="O6" i="2"/>
  <c r="M98" i="2" l="1"/>
  <c r="L98" i="2"/>
  <c r="N97" i="2"/>
  <c r="N99" i="2" s="1"/>
  <c r="M97" i="2"/>
  <c r="M99" i="2" s="1"/>
  <c r="L97" i="2"/>
  <c r="L99" i="2" s="1"/>
  <c r="O53" i="2"/>
  <c r="O56" i="2" s="1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74" i="2"/>
  <c r="M74" i="2"/>
  <c r="N79" i="2"/>
  <c r="M79" i="2"/>
  <c r="N78" i="2"/>
  <c r="M78" i="2"/>
  <c r="N77" i="2"/>
  <c r="M77" i="2"/>
  <c r="N76" i="2"/>
  <c r="M76" i="2"/>
  <c r="N75" i="2"/>
  <c r="M75" i="2"/>
  <c r="N73" i="2"/>
  <c r="M73" i="2"/>
  <c r="N72" i="2"/>
  <c r="M72" i="2"/>
  <c r="N71" i="2"/>
  <c r="M71" i="2"/>
  <c r="O50" i="2"/>
  <c r="O68" i="2" s="1"/>
  <c r="N68" i="2"/>
  <c r="M68" i="2"/>
  <c r="O63" i="2"/>
  <c r="P63" i="2" s="1"/>
  <c r="Q63" i="2" s="1"/>
  <c r="R63" i="2" s="1"/>
  <c r="S63" i="2" s="1"/>
  <c r="T63" i="2" s="1"/>
  <c r="M56" i="2"/>
  <c r="N56" i="2"/>
  <c r="L56" i="2"/>
  <c r="L44" i="2"/>
  <c r="L47" i="2" s="1"/>
  <c r="N47" i="2"/>
  <c r="N49" i="2" s="1"/>
  <c r="N67" i="2" s="1"/>
  <c r="M47" i="2"/>
  <c r="M49" i="2" s="1"/>
  <c r="M67" i="2" s="1"/>
  <c r="J47" i="2"/>
  <c r="I47" i="2"/>
  <c r="H47" i="2"/>
  <c r="C47" i="2"/>
  <c r="D47" i="2"/>
  <c r="E47" i="2"/>
  <c r="F47" i="2"/>
  <c r="G47" i="2"/>
  <c r="M2" i="2"/>
  <c r="N2" i="2" s="1"/>
  <c r="O2" i="2" s="1"/>
  <c r="P2" i="2" s="1"/>
  <c r="Q2" i="2" s="1"/>
  <c r="R2" i="2" s="1"/>
  <c r="S2" i="2" s="1"/>
  <c r="T2" i="2" s="1"/>
  <c r="K6" i="1"/>
  <c r="K5" i="1"/>
  <c r="K4" i="1"/>
  <c r="M101" i="2" l="1"/>
  <c r="K7" i="1"/>
  <c r="N101" i="2"/>
  <c r="L101" i="2"/>
  <c r="M70" i="2"/>
  <c r="N70" i="2"/>
  <c r="O58" i="2" s="1"/>
  <c r="P53" i="2"/>
  <c r="M91" i="2"/>
  <c r="N91" i="2"/>
  <c r="M80" i="2"/>
  <c r="N80" i="2"/>
  <c r="N66" i="2"/>
  <c r="L49" i="2"/>
  <c r="L67" i="2" s="1"/>
  <c r="M66" i="2"/>
  <c r="P50" i="2"/>
  <c r="O48" i="2"/>
  <c r="O49" i="2" s="1"/>
  <c r="O57" i="2" s="1"/>
  <c r="O59" i="2" s="1"/>
  <c r="O60" i="2" s="1"/>
  <c r="O66" i="2"/>
  <c r="M57" i="2"/>
  <c r="M59" i="2" s="1"/>
  <c r="M62" i="2" s="1"/>
  <c r="M64" i="2" s="1"/>
  <c r="N57" i="2"/>
  <c r="N59" i="2" s="1"/>
  <c r="N62" i="2" s="1"/>
  <c r="N64" i="2" s="1"/>
  <c r="P47" i="2" l="1"/>
  <c r="O99" i="2"/>
  <c r="M92" i="2"/>
  <c r="M93" i="2" s="1"/>
  <c r="M95" i="2"/>
  <c r="Q53" i="2"/>
  <c r="P56" i="2"/>
  <c r="N92" i="2"/>
  <c r="N93" i="2" s="1"/>
  <c r="N95" i="2"/>
  <c r="O61" i="2"/>
  <c r="L57" i="2"/>
  <c r="L59" i="2" s="1"/>
  <c r="L62" i="2" s="1"/>
  <c r="L64" i="2" s="1"/>
  <c r="P66" i="2"/>
  <c r="Q50" i="2"/>
  <c r="P68" i="2"/>
  <c r="Q47" i="2" l="1"/>
  <c r="R47" i="2" s="1"/>
  <c r="P99" i="2"/>
  <c r="P48" i="2"/>
  <c r="P49" i="2" s="1"/>
  <c r="P57" i="2" s="1"/>
  <c r="R53" i="2"/>
  <c r="Q56" i="2"/>
  <c r="O62" i="2"/>
  <c r="R50" i="2"/>
  <c r="Q68" i="2"/>
  <c r="Q99" i="2" l="1"/>
  <c r="Q66" i="2"/>
  <c r="Q48" i="2"/>
  <c r="Q49" i="2" s="1"/>
  <c r="Q57" i="2" s="1"/>
  <c r="S53" i="2"/>
  <c r="R56" i="2"/>
  <c r="O64" i="2"/>
  <c r="O70" i="2"/>
  <c r="R68" i="2"/>
  <c r="S50" i="2"/>
  <c r="S47" i="2" l="1"/>
  <c r="R99" i="2"/>
  <c r="R66" i="2"/>
  <c r="R48" i="2"/>
  <c r="R49" i="2" s="1"/>
  <c r="R57" i="2" s="1"/>
  <c r="P58" i="2"/>
  <c r="P59" i="2" s="1"/>
  <c r="P60" i="2" s="1"/>
  <c r="T53" i="2"/>
  <c r="T56" i="2" s="1"/>
  <c r="S56" i="2"/>
  <c r="T50" i="2"/>
  <c r="T68" i="2" s="1"/>
  <c r="S68" i="2"/>
  <c r="T47" i="2" l="1"/>
  <c r="S99" i="2"/>
  <c r="S48" i="2"/>
  <c r="S49" i="2" s="1"/>
  <c r="S57" i="2" s="1"/>
  <c r="S66" i="2"/>
  <c r="P61" i="2"/>
  <c r="P62" i="2" s="1"/>
  <c r="T99" i="2" l="1"/>
  <c r="U99" i="2" s="1"/>
  <c r="V99" i="2" s="1"/>
  <c r="W99" i="2" s="1"/>
  <c r="X99" i="2" s="1"/>
  <c r="Y99" i="2" s="1"/>
  <c r="Z99" i="2" s="1"/>
  <c r="AA99" i="2" s="1"/>
  <c r="AB99" i="2" s="1"/>
  <c r="AC99" i="2" s="1"/>
  <c r="AD99" i="2" s="1"/>
  <c r="AE99" i="2" s="1"/>
  <c r="AF99" i="2" s="1"/>
  <c r="AG99" i="2" s="1"/>
  <c r="AH99" i="2" s="1"/>
  <c r="AI99" i="2" s="1"/>
  <c r="AJ99" i="2" s="1"/>
  <c r="AK99" i="2" s="1"/>
  <c r="AL99" i="2" s="1"/>
  <c r="AM99" i="2" s="1"/>
  <c r="AN99" i="2" s="1"/>
  <c r="AO99" i="2" s="1"/>
  <c r="AP99" i="2" s="1"/>
  <c r="AQ99" i="2" s="1"/>
  <c r="AR99" i="2" s="1"/>
  <c r="AS99" i="2" s="1"/>
  <c r="AT99" i="2" s="1"/>
  <c r="AU99" i="2" s="1"/>
  <c r="AV99" i="2" s="1"/>
  <c r="AW99" i="2" s="1"/>
  <c r="AX99" i="2" s="1"/>
  <c r="AY99" i="2" s="1"/>
  <c r="AZ99" i="2" s="1"/>
  <c r="BA99" i="2" s="1"/>
  <c r="BB99" i="2" s="1"/>
  <c r="BC99" i="2" s="1"/>
  <c r="BD99" i="2" s="1"/>
  <c r="BE99" i="2" s="1"/>
  <c r="BF99" i="2" s="1"/>
  <c r="BG99" i="2" s="1"/>
  <c r="BH99" i="2" s="1"/>
  <c r="BI99" i="2" s="1"/>
  <c r="BJ99" i="2" s="1"/>
  <c r="BK99" i="2" s="1"/>
  <c r="BL99" i="2" s="1"/>
  <c r="BM99" i="2" s="1"/>
  <c r="BN99" i="2" s="1"/>
  <c r="BO99" i="2" s="1"/>
  <c r="BP99" i="2" s="1"/>
  <c r="BQ99" i="2" s="1"/>
  <c r="BR99" i="2" s="1"/>
  <c r="BS99" i="2" s="1"/>
  <c r="BT99" i="2" s="1"/>
  <c r="BU99" i="2" s="1"/>
  <c r="BV99" i="2" s="1"/>
  <c r="BW99" i="2" s="1"/>
  <c r="BX99" i="2" s="1"/>
  <c r="BY99" i="2" s="1"/>
  <c r="BZ99" i="2" s="1"/>
  <c r="CA99" i="2" s="1"/>
  <c r="CB99" i="2" s="1"/>
  <c r="CC99" i="2" s="1"/>
  <c r="CD99" i="2" s="1"/>
  <c r="CE99" i="2" s="1"/>
  <c r="CF99" i="2" s="1"/>
  <c r="CG99" i="2" s="1"/>
  <c r="CH99" i="2" s="1"/>
  <c r="CI99" i="2" s="1"/>
  <c r="CJ99" i="2" s="1"/>
  <c r="CK99" i="2" s="1"/>
  <c r="CL99" i="2" s="1"/>
  <c r="CM99" i="2" s="1"/>
  <c r="CN99" i="2" s="1"/>
  <c r="CO99" i="2" s="1"/>
  <c r="CP99" i="2" s="1"/>
  <c r="CQ99" i="2" s="1"/>
  <c r="CR99" i="2" s="1"/>
  <c r="CS99" i="2" s="1"/>
  <c r="CT99" i="2" s="1"/>
  <c r="CU99" i="2" s="1"/>
  <c r="CV99" i="2" s="1"/>
  <c r="CW99" i="2" s="1"/>
  <c r="CX99" i="2" s="1"/>
  <c r="CY99" i="2" s="1"/>
  <c r="CZ99" i="2" s="1"/>
  <c r="DA99" i="2" s="1"/>
  <c r="DB99" i="2" s="1"/>
  <c r="DC99" i="2" s="1"/>
  <c r="DD99" i="2" s="1"/>
  <c r="DE99" i="2" s="1"/>
  <c r="DF99" i="2" s="1"/>
  <c r="DG99" i="2" s="1"/>
  <c r="DH99" i="2" s="1"/>
  <c r="DI99" i="2" s="1"/>
  <c r="DJ99" i="2" s="1"/>
  <c r="DK99" i="2" s="1"/>
  <c r="DL99" i="2" s="1"/>
  <c r="DM99" i="2" s="1"/>
  <c r="DN99" i="2" s="1"/>
  <c r="DO99" i="2" s="1"/>
  <c r="DP99" i="2" s="1"/>
  <c r="DQ99" i="2" s="1"/>
  <c r="DR99" i="2" s="1"/>
  <c r="W105" i="2" s="1"/>
  <c r="W106" i="2" s="1"/>
  <c r="W107" i="2" s="1"/>
  <c r="T48" i="2"/>
  <c r="T49" i="2" s="1"/>
  <c r="T57" i="2" s="1"/>
  <c r="T66" i="2"/>
  <c r="P64" i="2"/>
  <c r="P70" i="2"/>
  <c r="Q58" i="2" s="1"/>
  <c r="Q59" i="2" s="1"/>
  <c r="Q60" i="2" s="1"/>
  <c r="Q61" i="2" l="1"/>
  <c r="Q62" i="2" s="1"/>
  <c r="Q64" i="2" l="1"/>
  <c r="Q70" i="2"/>
  <c r="R58" i="2" s="1"/>
  <c r="R59" i="2" s="1"/>
  <c r="R60" i="2" s="1"/>
  <c r="R61" i="2" l="1"/>
  <c r="R62" i="2" s="1"/>
  <c r="R64" i="2" l="1"/>
  <c r="R70" i="2"/>
  <c r="S58" i="2" s="1"/>
  <c r="S59" i="2" s="1"/>
  <c r="S60" i="2" s="1"/>
  <c r="S61" i="2" l="1"/>
  <c r="S62" i="2" l="1"/>
  <c r="S64" i="2" s="1"/>
  <c r="S70" i="2" l="1"/>
  <c r="T58" i="2"/>
  <c r="T59" i="2" s="1"/>
  <c r="T60" i="2" s="1"/>
  <c r="T61" i="2" l="1"/>
  <c r="T62" i="2"/>
  <c r="T64" i="2" l="1"/>
  <c r="U62" i="2"/>
  <c r="V62" i="2" s="1"/>
  <c r="W62" i="2" s="1"/>
  <c r="X62" i="2" s="1"/>
  <c r="Y62" i="2" s="1"/>
  <c r="Z62" i="2" s="1"/>
  <c r="AA62" i="2" s="1"/>
  <c r="AB62" i="2" s="1"/>
  <c r="AC62" i="2" s="1"/>
  <c r="AD62" i="2" s="1"/>
  <c r="AE62" i="2" s="1"/>
  <c r="AF62" i="2" s="1"/>
  <c r="AG62" i="2" s="1"/>
  <c r="AH62" i="2" s="1"/>
  <c r="AI62" i="2" s="1"/>
  <c r="AJ62" i="2" s="1"/>
  <c r="AK62" i="2" s="1"/>
  <c r="AL62" i="2" s="1"/>
  <c r="AM62" i="2" s="1"/>
  <c r="AN62" i="2" s="1"/>
  <c r="AO62" i="2" s="1"/>
  <c r="AP62" i="2" s="1"/>
  <c r="AQ62" i="2" s="1"/>
  <c r="AR62" i="2" s="1"/>
  <c r="AS62" i="2" s="1"/>
  <c r="AT62" i="2" s="1"/>
  <c r="T70" i="2"/>
  <c r="AU62" i="2" l="1"/>
  <c r="AV62" i="2" s="1"/>
  <c r="AW62" i="2" s="1"/>
  <c r="AX62" i="2" s="1"/>
  <c r="AY62" i="2" s="1"/>
  <c r="AZ62" i="2" s="1"/>
  <c r="BA62" i="2" s="1"/>
  <c r="BB62" i="2" s="1"/>
  <c r="BC62" i="2" s="1"/>
  <c r="BD62" i="2" s="1"/>
  <c r="BE62" i="2" s="1"/>
  <c r="BF62" i="2" s="1"/>
  <c r="BG62" i="2" s="1"/>
  <c r="BH62" i="2" s="1"/>
  <c r="BI62" i="2" s="1"/>
  <c r="BJ62" i="2" s="1"/>
  <c r="BK62" i="2" s="1"/>
  <c r="BL62" i="2" s="1"/>
  <c r="BM62" i="2" s="1"/>
  <c r="BN62" i="2" s="1"/>
  <c r="BO62" i="2" s="1"/>
  <c r="BP62" i="2" s="1"/>
  <c r="BQ62" i="2" s="1"/>
  <c r="BR62" i="2" s="1"/>
  <c r="BS62" i="2" s="1"/>
  <c r="BT62" i="2" s="1"/>
  <c r="BU62" i="2" s="1"/>
  <c r="BV62" i="2" s="1"/>
  <c r="BW62" i="2" s="1"/>
  <c r="BX62" i="2" s="1"/>
  <c r="BY62" i="2" s="1"/>
  <c r="BZ62" i="2" s="1"/>
  <c r="CA62" i="2" s="1"/>
  <c r="CB62" i="2" s="1"/>
  <c r="CC62" i="2" s="1"/>
  <c r="CD62" i="2" s="1"/>
  <c r="CE62" i="2" s="1"/>
  <c r="CF62" i="2" s="1"/>
  <c r="CG62" i="2" s="1"/>
  <c r="CH62" i="2" s="1"/>
  <c r="CI62" i="2" s="1"/>
  <c r="CJ62" i="2" s="1"/>
  <c r="CK62" i="2" s="1"/>
  <c r="CL62" i="2" s="1"/>
  <c r="CM62" i="2" s="1"/>
  <c r="CN62" i="2" s="1"/>
  <c r="CO62" i="2" s="1"/>
  <c r="CP62" i="2" s="1"/>
  <c r="CQ62" i="2" s="1"/>
  <c r="CR62" i="2" s="1"/>
  <c r="CS62" i="2" s="1"/>
  <c r="CT62" i="2" s="1"/>
  <c r="CU62" i="2" s="1"/>
  <c r="CV62" i="2" s="1"/>
  <c r="CW62" i="2" s="1"/>
  <c r="CX62" i="2" s="1"/>
  <c r="CY62" i="2" s="1"/>
  <c r="CZ62" i="2" s="1"/>
  <c r="DA62" i="2" s="1"/>
  <c r="DB62" i="2" s="1"/>
  <c r="DC62" i="2" s="1"/>
  <c r="DD62" i="2" s="1"/>
  <c r="DE62" i="2" s="1"/>
  <c r="DF62" i="2" s="1"/>
  <c r="DG62" i="2" s="1"/>
  <c r="DH62" i="2" s="1"/>
  <c r="DI62" i="2" s="1"/>
  <c r="DJ62" i="2" s="1"/>
  <c r="DK62" i="2" s="1"/>
  <c r="DL62" i="2" s="1"/>
  <c r="DM62" i="2" s="1"/>
  <c r="DN62" i="2" s="1"/>
  <c r="DO62" i="2" s="1"/>
  <c r="DP62" i="2" s="1"/>
  <c r="DQ62" i="2" s="1"/>
  <c r="DR62" i="2" s="1"/>
  <c r="W67" i="2" l="1"/>
  <c r="W68" i="2" s="1"/>
  <c r="W69" i="2" s="1"/>
</calcChain>
</file>

<file path=xl/sharedStrings.xml><?xml version="1.0" encoding="utf-8"?>
<sst xmlns="http://schemas.openxmlformats.org/spreadsheetml/2006/main" count="128" uniqueCount="115">
  <si>
    <t>Price</t>
  </si>
  <si>
    <t>Shares</t>
  </si>
  <si>
    <t>MC</t>
  </si>
  <si>
    <t>Cash</t>
  </si>
  <si>
    <t>Debt</t>
  </si>
  <si>
    <t>EV</t>
  </si>
  <si>
    <t>Q125</t>
  </si>
  <si>
    <t>Main</t>
  </si>
  <si>
    <t>Revenue</t>
  </si>
  <si>
    <t>Q124</t>
  </si>
  <si>
    <t>Q224</t>
  </si>
  <si>
    <t>Q324</t>
  </si>
  <si>
    <t>Q424</t>
  </si>
  <si>
    <t>Q225</t>
  </si>
  <si>
    <t>Q325</t>
  </si>
  <si>
    <t>Q425</t>
  </si>
  <si>
    <t>Product</t>
  </si>
  <si>
    <t>Alliance</t>
  </si>
  <si>
    <t>Royalty</t>
  </si>
  <si>
    <t>COGS</t>
  </si>
  <si>
    <t>Gross Profit</t>
  </si>
  <si>
    <t>R&amp;D</t>
  </si>
  <si>
    <t>IPRD</t>
  </si>
  <si>
    <t>Amort</t>
  </si>
  <si>
    <t>Restructuring &amp; Acquisition</t>
  </si>
  <si>
    <t>Other</t>
  </si>
  <si>
    <t>Operating Expenses</t>
  </si>
  <si>
    <t>Operating Income</t>
  </si>
  <si>
    <t>Interest Income</t>
  </si>
  <si>
    <t>Pretax income</t>
  </si>
  <si>
    <t>Noncontrolling Interests</t>
  </si>
  <si>
    <t>Tax</t>
  </si>
  <si>
    <t>Net Income</t>
  </si>
  <si>
    <t>EPS</t>
  </si>
  <si>
    <t>Revenue y/y</t>
  </si>
  <si>
    <t>Gross Margin</t>
  </si>
  <si>
    <t>SG&amp;A y/y</t>
  </si>
  <si>
    <t>SG&amp;A</t>
  </si>
  <si>
    <t>Net Cash</t>
  </si>
  <si>
    <t>AP</t>
  </si>
  <si>
    <t>AR</t>
  </si>
  <si>
    <t>ROIC</t>
  </si>
  <si>
    <t>Discount</t>
  </si>
  <si>
    <t>NPV</t>
  </si>
  <si>
    <t>Maturity</t>
  </si>
  <si>
    <t>Share</t>
  </si>
  <si>
    <t>Tax Assets</t>
  </si>
  <si>
    <t>Investments</t>
  </si>
  <si>
    <t>PP&amp;E</t>
  </si>
  <si>
    <t>Intangible Assets</t>
  </si>
  <si>
    <t>GW</t>
  </si>
  <si>
    <t>Tax Payable</t>
  </si>
  <si>
    <t>Accrued Compensation</t>
  </si>
  <si>
    <t>Deferred Revenue</t>
  </si>
  <si>
    <t>Other Current</t>
  </si>
  <si>
    <t>Pension Obligations</t>
  </si>
  <si>
    <t>DT</t>
  </si>
  <si>
    <t>Other LT Liabilities</t>
  </si>
  <si>
    <t>Liablities</t>
  </si>
  <si>
    <t>Assets</t>
  </si>
  <si>
    <t>SE</t>
  </si>
  <si>
    <t>L+SE</t>
  </si>
  <si>
    <t>CFFO</t>
  </si>
  <si>
    <t>CX</t>
  </si>
  <si>
    <t>FCF</t>
  </si>
  <si>
    <t>Inventories</t>
  </si>
  <si>
    <t>TANGIBLE BOOK VALUE</t>
  </si>
  <si>
    <t>FCF Margin</t>
  </si>
  <si>
    <t>Eliquis</t>
  </si>
  <si>
    <t>Prevnar</t>
  </si>
  <si>
    <t>Paxlovid</t>
  </si>
  <si>
    <t>Comimaty</t>
  </si>
  <si>
    <t>Name</t>
  </si>
  <si>
    <t>Indication</t>
  </si>
  <si>
    <t>Economics</t>
  </si>
  <si>
    <t>MOA</t>
  </si>
  <si>
    <t>IP</t>
  </si>
  <si>
    <t>Approved</t>
  </si>
  <si>
    <t>Phase</t>
  </si>
  <si>
    <t>Nurtec ODT/Vydura</t>
  </si>
  <si>
    <t>Abrysvo</t>
  </si>
  <si>
    <t>Premarin</t>
  </si>
  <si>
    <t>BMP2</t>
  </si>
  <si>
    <t>FSME-IMMUN/TicoVac</t>
  </si>
  <si>
    <t>Other Primary Care</t>
  </si>
  <si>
    <t>Vyndaqel</t>
  </si>
  <si>
    <t>Xelijanz</t>
  </si>
  <si>
    <t>Enbrel</t>
  </si>
  <si>
    <t>Sulperazon</t>
  </si>
  <si>
    <t>Zavicefta</t>
  </si>
  <si>
    <t>Octagam</t>
  </si>
  <si>
    <t>Inflectra</t>
  </si>
  <si>
    <t>Zithromax</t>
  </si>
  <si>
    <t>Genotropin</t>
  </si>
  <si>
    <t>BeneFIX</t>
  </si>
  <si>
    <t>Cibinqo</t>
  </si>
  <si>
    <t>Oxbryta</t>
  </si>
  <si>
    <t>Other Hospital</t>
  </si>
  <si>
    <t>Other Specialty Care</t>
  </si>
  <si>
    <t>Ibrance</t>
  </si>
  <si>
    <t>Xtandi</t>
  </si>
  <si>
    <t>Padcev</t>
  </si>
  <si>
    <t>Adcetris</t>
  </si>
  <si>
    <t>Oncology biosimilars</t>
  </si>
  <si>
    <t>Inlyta</t>
  </si>
  <si>
    <t>Lorbrena</t>
  </si>
  <si>
    <t>Bosulif</t>
  </si>
  <si>
    <t>Braftovi/Mektovi</t>
  </si>
  <si>
    <t>Tukysa</t>
  </si>
  <si>
    <t>Elrexfio</t>
  </si>
  <si>
    <t>Tivdak</t>
  </si>
  <si>
    <t>Talzenna</t>
  </si>
  <si>
    <t>Other Oncology</t>
  </si>
  <si>
    <t>USA</t>
  </si>
  <si>
    <t>International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</si>
</sst>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1" fontId="0" fillId="0" borderId="0" xfId="0" applyNumberFormat="1"/>
    <xf numFmtId="9" fontId="0" fillId="0" borderId="0" xfId="0" applyNumberFormat="1"/>
    <xf numFmtId="9" fontId="1" fillId="0" borderId="0" xfId="0" applyNumberFormat="1" applyFont="1"/>
    <xf numFmtId="10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7327</xdr:colOff>
      <xdr:row>0</xdr:row>
      <xdr:rowOff>0</xdr:rowOff>
    </xdr:from>
    <xdr:to>
      <xdr:col>14</xdr:col>
      <xdr:colOff>7327</xdr:colOff>
      <xdr:row>98</xdr:row>
      <xdr:rowOff>65942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3574523-7576-6D15-EB39-6129B720BFDF}"/>
            </a:ext>
          </a:extLst>
        </xdr:cNvPr>
        <xdr:cNvCxnSpPr/>
      </xdr:nvCxnSpPr>
      <xdr:spPr>
        <a:xfrm>
          <a:off x="8228135" y="0"/>
          <a:ext cx="0" cy="7480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7328</xdr:colOff>
      <xdr:row>0</xdr:row>
      <xdr:rowOff>0</xdr:rowOff>
    </xdr:from>
    <xdr:to>
      <xdr:col>7</xdr:col>
      <xdr:colOff>7328</xdr:colOff>
      <xdr:row>98</xdr:row>
      <xdr:rowOff>65942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9D5BE101-64EC-4CE8-B018-48AB01C90F21}"/>
            </a:ext>
          </a:extLst>
        </xdr:cNvPr>
        <xdr:cNvCxnSpPr/>
      </xdr:nvCxnSpPr>
      <xdr:spPr>
        <a:xfrm>
          <a:off x="3971193" y="0"/>
          <a:ext cx="0" cy="7480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6281E-3EA0-4EB2-93F8-A592381D8337}">
  <dimension ref="B2:L22"/>
  <sheetViews>
    <sheetView zoomScale="115" zoomScaleNormal="115" workbookViewId="0">
      <selection activeCell="D22" sqref="D22"/>
    </sheetView>
  </sheetViews>
  <sheetFormatPr defaultRowHeight="12.75" x14ac:dyDescent="0.2"/>
  <cols>
    <col min="1" max="1" width="2.42578125" customWidth="1"/>
    <col min="2" max="2" width="16.28515625" customWidth="1"/>
    <col min="3" max="3" width="15.28515625" customWidth="1"/>
    <col min="4" max="4" width="10" customWidth="1"/>
    <col min="5" max="5" width="10.42578125" customWidth="1"/>
    <col min="6" max="6" width="14" customWidth="1"/>
    <col min="7" max="7" width="9.140625" customWidth="1"/>
    <col min="8" max="8" width="4.42578125" customWidth="1"/>
    <col min="9" max="9" width="4.28515625" customWidth="1"/>
    <col min="10" max="10" width="9.140625" customWidth="1"/>
  </cols>
  <sheetData>
    <row r="2" spans="2:12" x14ac:dyDescent="0.2">
      <c r="J2" t="s">
        <v>0</v>
      </c>
      <c r="K2" s="1">
        <v>23.35</v>
      </c>
    </row>
    <row r="3" spans="2:12" x14ac:dyDescent="0.2">
      <c r="B3" s="14" t="s">
        <v>72</v>
      </c>
      <c r="C3" s="15" t="s">
        <v>73</v>
      </c>
      <c r="D3" s="15" t="s">
        <v>77</v>
      </c>
      <c r="E3" s="15" t="s">
        <v>74</v>
      </c>
      <c r="F3" s="15" t="s">
        <v>75</v>
      </c>
      <c r="G3" s="16" t="s">
        <v>76</v>
      </c>
      <c r="J3" t="s">
        <v>1</v>
      </c>
      <c r="K3" s="2">
        <v>5685.3656000000001</v>
      </c>
      <c r="L3" t="s">
        <v>6</v>
      </c>
    </row>
    <row r="4" spans="2:12" x14ac:dyDescent="0.2">
      <c r="B4" s="9" t="s">
        <v>68</v>
      </c>
      <c r="C4" s="8"/>
      <c r="D4" s="8"/>
      <c r="E4" s="8"/>
      <c r="F4" s="8"/>
      <c r="G4" s="10"/>
      <c r="J4" t="s">
        <v>2</v>
      </c>
      <c r="K4" s="2">
        <f>K3*K2</f>
        <v>132753.28676000002</v>
      </c>
    </row>
    <row r="5" spans="2:12" x14ac:dyDescent="0.2">
      <c r="B5" s="9"/>
      <c r="C5" s="8"/>
      <c r="D5" s="8"/>
      <c r="E5" s="8"/>
      <c r="F5" s="8"/>
      <c r="G5" s="10"/>
      <c r="J5" t="s">
        <v>3</v>
      </c>
      <c r="K5" s="2">
        <f>1430+15887</f>
        <v>17317</v>
      </c>
      <c r="L5" t="s">
        <v>6</v>
      </c>
    </row>
    <row r="6" spans="2:12" x14ac:dyDescent="0.2">
      <c r="B6" s="9"/>
      <c r="C6" s="8"/>
      <c r="D6" s="8"/>
      <c r="E6" s="8"/>
      <c r="F6" s="8"/>
      <c r="G6" s="10"/>
      <c r="J6" t="s">
        <v>4</v>
      </c>
      <c r="K6" s="2">
        <f>57639+2021+2258+5724</f>
        <v>67642</v>
      </c>
      <c r="L6" t="s">
        <v>6</v>
      </c>
    </row>
    <row r="7" spans="2:12" x14ac:dyDescent="0.2">
      <c r="B7" s="9"/>
      <c r="C7" s="8"/>
      <c r="D7" s="8"/>
      <c r="E7" s="8"/>
      <c r="F7" s="8"/>
      <c r="G7" s="10"/>
      <c r="J7" t="s">
        <v>5</v>
      </c>
      <c r="K7" s="2">
        <f>K4+K6-K5</f>
        <v>183078.28676000002</v>
      </c>
    </row>
    <row r="8" spans="2:12" x14ac:dyDescent="0.2">
      <c r="B8" s="9"/>
      <c r="C8" s="8"/>
      <c r="D8" s="8"/>
      <c r="E8" s="8"/>
      <c r="F8" s="8"/>
      <c r="G8" s="10"/>
    </row>
    <row r="9" spans="2:12" x14ac:dyDescent="0.2">
      <c r="B9" s="9"/>
      <c r="C9" s="8"/>
      <c r="D9" s="8"/>
      <c r="E9" s="8"/>
      <c r="F9" s="8"/>
      <c r="G9" s="10"/>
    </row>
    <row r="10" spans="2:12" x14ac:dyDescent="0.2">
      <c r="B10" s="9"/>
      <c r="C10" s="8"/>
      <c r="D10" s="8"/>
      <c r="E10" s="8"/>
      <c r="F10" s="8"/>
      <c r="G10" s="10"/>
    </row>
    <row r="11" spans="2:12" x14ac:dyDescent="0.2">
      <c r="B11" s="9"/>
      <c r="C11" s="8"/>
      <c r="D11" s="8"/>
      <c r="E11" s="8"/>
      <c r="F11" s="8"/>
      <c r="G11" s="10"/>
    </row>
    <row r="12" spans="2:12" x14ac:dyDescent="0.2">
      <c r="B12" s="17"/>
      <c r="C12" s="18"/>
      <c r="D12" s="15" t="s">
        <v>78</v>
      </c>
      <c r="E12" s="18"/>
      <c r="F12" s="18"/>
      <c r="G12" s="19"/>
    </row>
    <row r="13" spans="2:12" x14ac:dyDescent="0.2">
      <c r="B13" s="9"/>
      <c r="C13" s="8"/>
      <c r="D13" s="8"/>
      <c r="E13" s="8"/>
      <c r="F13" s="8"/>
      <c r="G13" s="10"/>
    </row>
    <row r="14" spans="2:12" x14ac:dyDescent="0.2">
      <c r="B14" s="9"/>
      <c r="C14" s="8"/>
      <c r="D14" s="8"/>
      <c r="E14" s="8"/>
      <c r="F14" s="8"/>
      <c r="G14" s="10"/>
    </row>
    <row r="15" spans="2:12" x14ac:dyDescent="0.2">
      <c r="B15" s="9"/>
      <c r="C15" s="8"/>
      <c r="D15" s="8"/>
      <c r="E15" s="8"/>
      <c r="F15" s="8"/>
      <c r="G15" s="10"/>
    </row>
    <row r="16" spans="2:12" x14ac:dyDescent="0.2">
      <c r="B16" s="9"/>
      <c r="C16" s="8"/>
      <c r="D16" s="8"/>
      <c r="E16" s="8"/>
      <c r="F16" s="8"/>
      <c r="G16" s="10"/>
    </row>
    <row r="17" spans="2:7" x14ac:dyDescent="0.2">
      <c r="B17" s="9"/>
      <c r="C17" s="8"/>
      <c r="D17" s="8"/>
      <c r="E17" s="8"/>
      <c r="F17" s="8"/>
      <c r="G17" s="10"/>
    </row>
    <row r="18" spans="2:7" x14ac:dyDescent="0.2">
      <c r="B18" s="9"/>
      <c r="C18" s="8"/>
      <c r="D18" s="8"/>
      <c r="E18" s="8"/>
      <c r="F18" s="8"/>
      <c r="G18" s="10"/>
    </row>
    <row r="19" spans="2:7" x14ac:dyDescent="0.2">
      <c r="B19" s="11"/>
      <c r="C19" s="12"/>
      <c r="D19" s="12"/>
      <c r="E19" s="12"/>
      <c r="F19" s="12"/>
      <c r="G19" s="13"/>
    </row>
    <row r="20" spans="2:7" x14ac:dyDescent="0.2">
      <c r="B20" s="8"/>
      <c r="C20" s="8"/>
      <c r="D20" s="8"/>
      <c r="E20" s="8"/>
      <c r="F20" s="8"/>
      <c r="G20" s="8"/>
    </row>
    <row r="21" spans="2:7" x14ac:dyDescent="0.2">
      <c r="B21" s="8"/>
      <c r="C21" s="8"/>
      <c r="D21" s="8"/>
      <c r="E21" s="8"/>
      <c r="F21" s="8"/>
      <c r="G21" s="8"/>
    </row>
    <row r="22" spans="2:7" x14ac:dyDescent="0.2">
      <c r="B22" s="8"/>
      <c r="C22" s="8"/>
      <c r="D22" s="8"/>
      <c r="E22" s="8"/>
      <c r="F22" s="8"/>
      <c r="G22" s="8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B5DDB-CE15-46B7-BCA6-1FB6A18E83E7}">
  <dimension ref="A1:DR107"/>
  <sheetViews>
    <sheetView tabSelected="1" zoomScale="130" zoomScaleNormal="130" workbookViewId="0">
      <pane xSplit="2" ySplit="2" topLeftCell="Q48" activePane="bottomRight" state="frozen"/>
      <selection pane="topRight" activeCell="C1" sqref="C1"/>
      <selection pane="bottomLeft" activeCell="A3" sqref="A3"/>
      <selection pane="bottomRight" activeCell="V74" sqref="V74:V75"/>
    </sheetView>
  </sheetViews>
  <sheetFormatPr defaultRowHeight="12.75" x14ac:dyDescent="0.2"/>
  <cols>
    <col min="1" max="1" width="4.7109375" style="2" customWidth="1"/>
    <col min="2" max="2" width="23" style="2" customWidth="1"/>
    <col min="3" max="16384" width="9.140625" style="2"/>
  </cols>
  <sheetData>
    <row r="1" spans="1:20" x14ac:dyDescent="0.2">
      <c r="A1" s="2" t="s">
        <v>7</v>
      </c>
    </row>
    <row r="2" spans="1:20" x14ac:dyDescent="0.2">
      <c r="C2" s="2" t="s">
        <v>9</v>
      </c>
      <c r="D2" s="2" t="s">
        <v>10</v>
      </c>
      <c r="E2" s="2" t="s">
        <v>11</v>
      </c>
      <c r="F2" s="2" t="s">
        <v>12</v>
      </c>
      <c r="G2" s="2" t="s">
        <v>6</v>
      </c>
      <c r="H2" s="2" t="s">
        <v>13</v>
      </c>
      <c r="I2" s="2" t="s">
        <v>14</v>
      </c>
      <c r="J2" s="2" t="s">
        <v>15</v>
      </c>
      <c r="L2" s="4">
        <v>2022</v>
      </c>
      <c r="M2" s="4">
        <f>L2+1</f>
        <v>2023</v>
      </c>
      <c r="N2" s="4">
        <f t="shared" ref="N2:T2" si="0">M2+1</f>
        <v>2024</v>
      </c>
      <c r="O2" s="4">
        <f t="shared" si="0"/>
        <v>2025</v>
      </c>
      <c r="P2" s="4">
        <f t="shared" si="0"/>
        <v>2026</v>
      </c>
      <c r="Q2" s="4">
        <f t="shared" si="0"/>
        <v>2027</v>
      </c>
      <c r="R2" s="4">
        <f t="shared" si="0"/>
        <v>2028</v>
      </c>
      <c r="S2" s="4">
        <f t="shared" si="0"/>
        <v>2029</v>
      </c>
      <c r="T2" s="4">
        <f t="shared" si="0"/>
        <v>2030</v>
      </c>
    </row>
    <row r="3" spans="1:20" x14ac:dyDescent="0.2">
      <c r="B3" s="2" t="s">
        <v>113</v>
      </c>
      <c r="L3" s="4"/>
      <c r="M3" s="4"/>
      <c r="N3" s="4"/>
      <c r="O3" s="4"/>
      <c r="P3" s="4"/>
      <c r="Q3" s="4"/>
      <c r="R3" s="4"/>
      <c r="S3" s="4"/>
      <c r="T3" s="4"/>
    </row>
    <row r="4" spans="1:20" x14ac:dyDescent="0.2">
      <c r="B4" s="2" t="s">
        <v>114</v>
      </c>
      <c r="L4" s="4"/>
      <c r="M4" s="4"/>
      <c r="N4" s="4"/>
      <c r="O4" s="4"/>
      <c r="P4" s="4"/>
      <c r="Q4" s="4"/>
      <c r="R4" s="4"/>
      <c r="S4" s="4"/>
      <c r="T4" s="4"/>
    </row>
    <row r="5" spans="1:20" x14ac:dyDescent="0.2">
      <c r="L5" s="4"/>
      <c r="M5" s="4"/>
      <c r="N5" s="4"/>
      <c r="O5" s="4"/>
      <c r="P5" s="4"/>
      <c r="Q5" s="4"/>
      <c r="R5" s="4"/>
      <c r="S5" s="4"/>
      <c r="T5" s="4"/>
    </row>
    <row r="6" spans="1:20" x14ac:dyDescent="0.2">
      <c r="B6" s="2" t="s">
        <v>68</v>
      </c>
      <c r="L6" s="2">
        <v>6480</v>
      </c>
      <c r="M6" s="2">
        <v>6747</v>
      </c>
      <c r="N6" s="2">
        <v>7366</v>
      </c>
      <c r="O6" s="2">
        <f>N6*1.06</f>
        <v>7807.96</v>
      </c>
      <c r="P6" s="2">
        <f>O6*1.06</f>
        <v>8276.4376000000011</v>
      </c>
      <c r="Q6" s="2">
        <f>P6*1.06</f>
        <v>8773.0238560000016</v>
      </c>
      <c r="R6" s="2">
        <f>Q6*0.2</f>
        <v>1754.6047712000004</v>
      </c>
    </row>
    <row r="7" spans="1:20" x14ac:dyDescent="0.2">
      <c r="B7" s="2" t="s">
        <v>69</v>
      </c>
      <c r="L7" s="2">
        <v>6342</v>
      </c>
      <c r="M7" s="2">
        <v>6501</v>
      </c>
      <c r="N7" s="2">
        <v>6411</v>
      </c>
    </row>
    <row r="8" spans="1:20" x14ac:dyDescent="0.2">
      <c r="B8" s="2" t="s">
        <v>70</v>
      </c>
      <c r="L8" s="2">
        <v>18933</v>
      </c>
      <c r="M8" s="2">
        <v>1279</v>
      </c>
      <c r="N8" s="2">
        <v>5716</v>
      </c>
    </row>
    <row r="9" spans="1:20" x14ac:dyDescent="0.2">
      <c r="B9" s="2" t="s">
        <v>71</v>
      </c>
      <c r="L9" s="2">
        <v>37809</v>
      </c>
      <c r="M9" s="2">
        <v>11220</v>
      </c>
      <c r="N9" s="2">
        <v>5353</v>
      </c>
    </row>
    <row r="10" spans="1:20" x14ac:dyDescent="0.2">
      <c r="B10" s="2" t="s">
        <v>79</v>
      </c>
      <c r="L10" s="2">
        <v>213</v>
      </c>
      <c r="M10" s="2">
        <v>928</v>
      </c>
      <c r="N10" s="2">
        <v>1263</v>
      </c>
    </row>
    <row r="11" spans="1:20" x14ac:dyDescent="0.2">
      <c r="B11" s="2" t="s">
        <v>80</v>
      </c>
      <c r="M11" s="2">
        <v>890</v>
      </c>
      <c r="N11" s="2">
        <v>755</v>
      </c>
    </row>
    <row r="12" spans="1:20" x14ac:dyDescent="0.2">
      <c r="B12" s="2" t="s">
        <v>81</v>
      </c>
      <c r="L12" s="2">
        <v>455</v>
      </c>
      <c r="M12" s="2">
        <v>397</v>
      </c>
      <c r="N12" s="2">
        <v>380</v>
      </c>
    </row>
    <row r="13" spans="1:20" x14ac:dyDescent="0.2">
      <c r="B13" s="2" t="s">
        <v>82</v>
      </c>
      <c r="L13" s="2">
        <v>277</v>
      </c>
      <c r="M13" s="2">
        <v>338</v>
      </c>
      <c r="N13" s="2">
        <v>352</v>
      </c>
    </row>
    <row r="14" spans="1:20" x14ac:dyDescent="0.2">
      <c r="B14" s="2" t="s">
        <v>83</v>
      </c>
      <c r="L14" s="2">
        <v>200</v>
      </c>
      <c r="M14" s="2">
        <v>268</v>
      </c>
      <c r="N14" s="2">
        <v>280</v>
      </c>
    </row>
    <row r="15" spans="1:20" x14ac:dyDescent="0.2">
      <c r="B15" s="2" t="s">
        <v>84</v>
      </c>
      <c r="L15" s="2">
        <v>2473</v>
      </c>
      <c r="M15" s="2">
        <v>2233</v>
      </c>
      <c r="N15" s="2">
        <v>2259</v>
      </c>
    </row>
    <row r="16" spans="1:20" x14ac:dyDescent="0.2">
      <c r="B16" s="2" t="s">
        <v>85</v>
      </c>
      <c r="L16" s="2">
        <v>2447</v>
      </c>
      <c r="M16" s="2">
        <v>3321</v>
      </c>
      <c r="N16" s="2">
        <v>5451</v>
      </c>
    </row>
    <row r="17" spans="2:14" x14ac:dyDescent="0.2">
      <c r="B17" s="2" t="s">
        <v>86</v>
      </c>
      <c r="L17" s="2">
        <v>1796</v>
      </c>
      <c r="M17" s="2">
        <v>1703</v>
      </c>
      <c r="N17" s="2">
        <v>1168</v>
      </c>
    </row>
    <row r="18" spans="2:14" x14ac:dyDescent="0.2">
      <c r="B18" s="2" t="s">
        <v>87</v>
      </c>
      <c r="L18" s="2">
        <v>1003</v>
      </c>
      <c r="M18" s="2">
        <v>830</v>
      </c>
      <c r="N18" s="2">
        <v>690</v>
      </c>
    </row>
    <row r="19" spans="2:14" x14ac:dyDescent="0.2">
      <c r="B19" s="2" t="s">
        <v>88</v>
      </c>
      <c r="L19" s="2">
        <v>786</v>
      </c>
      <c r="M19" s="2">
        <v>757</v>
      </c>
      <c r="N19" s="2">
        <v>637</v>
      </c>
    </row>
    <row r="20" spans="2:14" x14ac:dyDescent="0.2">
      <c r="B20" s="2" t="s">
        <v>89</v>
      </c>
      <c r="L20" s="2">
        <v>412</v>
      </c>
      <c r="M20" s="2">
        <v>511</v>
      </c>
      <c r="N20" s="2">
        <v>586</v>
      </c>
    </row>
    <row r="21" spans="2:14" x14ac:dyDescent="0.2">
      <c r="B21" s="2" t="s">
        <v>90</v>
      </c>
      <c r="L21" s="2">
        <v>186</v>
      </c>
      <c r="M21" s="2">
        <v>245</v>
      </c>
      <c r="N21" s="2">
        <v>509</v>
      </c>
    </row>
    <row r="22" spans="2:14" x14ac:dyDescent="0.2">
      <c r="B22" s="2" t="s">
        <v>91</v>
      </c>
      <c r="L22" s="2">
        <v>532</v>
      </c>
      <c r="M22" s="2">
        <v>490</v>
      </c>
      <c r="N22" s="2">
        <v>509</v>
      </c>
    </row>
    <row r="23" spans="2:14" x14ac:dyDescent="0.2">
      <c r="B23" s="2" t="s">
        <v>92</v>
      </c>
      <c r="L23" s="2">
        <v>331</v>
      </c>
      <c r="M23" s="2">
        <v>406</v>
      </c>
      <c r="N23" s="2">
        <v>480</v>
      </c>
    </row>
    <row r="24" spans="2:14" x14ac:dyDescent="0.2">
      <c r="B24" s="2" t="s">
        <v>93</v>
      </c>
      <c r="L24" s="2">
        <v>360</v>
      </c>
      <c r="M24" s="2">
        <v>539</v>
      </c>
      <c r="N24" s="2">
        <v>470</v>
      </c>
    </row>
    <row r="25" spans="2:14" x14ac:dyDescent="0.2">
      <c r="B25" s="2" t="s">
        <v>94</v>
      </c>
      <c r="L25" s="2">
        <v>425</v>
      </c>
      <c r="M25" s="2">
        <v>424</v>
      </c>
      <c r="N25" s="2">
        <v>381</v>
      </c>
    </row>
    <row r="26" spans="2:14" x14ac:dyDescent="0.2">
      <c r="B26" s="2" t="s">
        <v>95</v>
      </c>
      <c r="L26" s="2">
        <v>27</v>
      </c>
      <c r="M26" s="2">
        <v>128</v>
      </c>
      <c r="N26" s="2">
        <v>215</v>
      </c>
    </row>
    <row r="27" spans="2:14" x14ac:dyDescent="0.2">
      <c r="B27" s="2" t="s">
        <v>96</v>
      </c>
      <c r="L27" s="2">
        <v>73</v>
      </c>
      <c r="M27" s="2">
        <v>328</v>
      </c>
      <c r="N27" s="2">
        <v>201</v>
      </c>
    </row>
    <row r="28" spans="2:14" x14ac:dyDescent="0.2">
      <c r="B28" s="2" t="s">
        <v>97</v>
      </c>
      <c r="L28" s="2">
        <v>4730</v>
      </c>
      <c r="M28" s="2">
        <v>4514</v>
      </c>
      <c r="N28" s="2">
        <v>4448</v>
      </c>
    </row>
    <row r="29" spans="2:14" x14ac:dyDescent="0.2">
      <c r="B29" s="2" t="s">
        <v>98</v>
      </c>
      <c r="L29" s="2">
        <v>743</v>
      </c>
      <c r="M29" s="2">
        <v>792</v>
      </c>
      <c r="N29" s="2">
        <v>907</v>
      </c>
    </row>
    <row r="30" spans="2:14" x14ac:dyDescent="0.2">
      <c r="B30" s="2" t="s">
        <v>99</v>
      </c>
      <c r="L30" s="2">
        <v>5120</v>
      </c>
      <c r="M30" s="2">
        <v>4753</v>
      </c>
      <c r="N30" s="2">
        <v>4367</v>
      </c>
    </row>
    <row r="31" spans="2:14" x14ac:dyDescent="0.2">
      <c r="B31" s="2" t="s">
        <v>100</v>
      </c>
      <c r="L31" s="2">
        <v>1650</v>
      </c>
      <c r="M31" s="2">
        <v>1659</v>
      </c>
      <c r="N31" s="2">
        <v>2039</v>
      </c>
    </row>
    <row r="32" spans="2:14" x14ac:dyDescent="0.2">
      <c r="B32" s="2" t="s">
        <v>101</v>
      </c>
      <c r="M32" s="2">
        <v>53</v>
      </c>
      <c r="N32" s="2">
        <v>1588</v>
      </c>
    </row>
    <row r="33" spans="1:20" x14ac:dyDescent="0.2">
      <c r="B33" s="2" t="s">
        <v>102</v>
      </c>
      <c r="M33" s="2">
        <v>56</v>
      </c>
      <c r="N33" s="2">
        <v>1089</v>
      </c>
    </row>
    <row r="34" spans="1:20" x14ac:dyDescent="0.2">
      <c r="B34" s="2" t="s">
        <v>103</v>
      </c>
      <c r="L34" s="2">
        <v>1753</v>
      </c>
      <c r="M34" s="2">
        <v>1407</v>
      </c>
      <c r="N34" s="2">
        <v>1037</v>
      </c>
    </row>
    <row r="35" spans="1:20" x14ac:dyDescent="0.2">
      <c r="B35" s="2" t="s">
        <v>104</v>
      </c>
      <c r="L35" s="2">
        <v>1003</v>
      </c>
      <c r="M35" s="2">
        <v>1036</v>
      </c>
      <c r="N35" s="2">
        <v>978</v>
      </c>
    </row>
    <row r="36" spans="1:20" x14ac:dyDescent="0.2">
      <c r="B36" s="2" t="s">
        <v>105</v>
      </c>
      <c r="L36" s="2">
        <v>343</v>
      </c>
      <c r="M36" s="2">
        <v>539</v>
      </c>
      <c r="N36" s="2">
        <v>731</v>
      </c>
    </row>
    <row r="37" spans="1:20" x14ac:dyDescent="0.2">
      <c r="B37" s="2" t="s">
        <v>106</v>
      </c>
      <c r="L37" s="2">
        <v>575</v>
      </c>
      <c r="M37" s="2">
        <v>645</v>
      </c>
      <c r="N37" s="2">
        <v>645</v>
      </c>
    </row>
    <row r="38" spans="1:20" x14ac:dyDescent="0.2">
      <c r="B38" s="2" t="s">
        <v>107</v>
      </c>
      <c r="L38" s="2">
        <v>456</v>
      </c>
      <c r="M38" s="2">
        <v>477</v>
      </c>
      <c r="N38" s="2">
        <v>607</v>
      </c>
    </row>
    <row r="39" spans="1:20" x14ac:dyDescent="0.2">
      <c r="B39" s="2" t="s">
        <v>108</v>
      </c>
      <c r="M39" s="2">
        <v>18</v>
      </c>
      <c r="N39" s="2">
        <v>480</v>
      </c>
    </row>
    <row r="40" spans="1:20" x14ac:dyDescent="0.2">
      <c r="B40" s="2" t="s">
        <v>109</v>
      </c>
      <c r="M40" s="2">
        <v>10</v>
      </c>
      <c r="N40" s="2">
        <v>133</v>
      </c>
    </row>
    <row r="41" spans="1:20" x14ac:dyDescent="0.2">
      <c r="B41" s="2" t="s">
        <v>110</v>
      </c>
      <c r="M41" s="2">
        <v>4</v>
      </c>
      <c r="N41" s="2">
        <v>131</v>
      </c>
    </row>
    <row r="42" spans="1:20" x14ac:dyDescent="0.2">
      <c r="B42" s="2" t="s">
        <v>111</v>
      </c>
      <c r="L42" s="2">
        <v>48</v>
      </c>
      <c r="M42" s="2">
        <v>64</v>
      </c>
      <c r="N42" s="2">
        <v>117</v>
      </c>
    </row>
    <row r="43" spans="1:20" x14ac:dyDescent="0.2">
      <c r="B43" s="2" t="s">
        <v>112</v>
      </c>
      <c r="L43" s="2">
        <v>1846</v>
      </c>
      <c r="M43" s="2">
        <v>1729</v>
      </c>
      <c r="N43" s="2">
        <v>1670</v>
      </c>
    </row>
    <row r="44" spans="1:20" s="3" customFormat="1" x14ac:dyDescent="0.2">
      <c r="A44" s="2"/>
      <c r="B44" s="2" t="s">
        <v>16</v>
      </c>
      <c r="L44" s="2">
        <f>91793</f>
        <v>91793</v>
      </c>
      <c r="M44" s="2">
        <v>50914</v>
      </c>
      <c r="N44" s="2">
        <v>53816</v>
      </c>
    </row>
    <row r="45" spans="1:20" x14ac:dyDescent="0.2">
      <c r="B45" s="2" t="s">
        <v>17</v>
      </c>
      <c r="L45" s="2">
        <v>8537</v>
      </c>
      <c r="M45" s="2">
        <v>7582</v>
      </c>
      <c r="N45" s="2">
        <v>8388</v>
      </c>
    </row>
    <row r="46" spans="1:20" x14ac:dyDescent="0.2">
      <c r="B46" s="2" t="s">
        <v>18</v>
      </c>
      <c r="L46" s="2">
        <v>845</v>
      </c>
      <c r="M46" s="2">
        <v>1058</v>
      </c>
      <c r="N46" s="2">
        <v>1423</v>
      </c>
    </row>
    <row r="47" spans="1:20" s="3" customFormat="1" x14ac:dyDescent="0.2">
      <c r="A47" s="2"/>
      <c r="B47" s="3" t="s">
        <v>8</v>
      </c>
      <c r="C47" s="3">
        <f t="shared" ref="C47:J47" si="1">SUM(C44:C46)</f>
        <v>0</v>
      </c>
      <c r="D47" s="3">
        <f t="shared" si="1"/>
        <v>0</v>
      </c>
      <c r="E47" s="3">
        <f t="shared" si="1"/>
        <v>0</v>
      </c>
      <c r="F47" s="3">
        <f t="shared" si="1"/>
        <v>0</v>
      </c>
      <c r="G47" s="3">
        <f t="shared" si="1"/>
        <v>0</v>
      </c>
      <c r="H47" s="3">
        <f t="shared" si="1"/>
        <v>0</v>
      </c>
      <c r="I47" s="3">
        <f t="shared" si="1"/>
        <v>0</v>
      </c>
      <c r="J47" s="3">
        <f t="shared" si="1"/>
        <v>0</v>
      </c>
      <c r="L47" s="3">
        <f>SUM(L44:L46)</f>
        <v>101175</v>
      </c>
      <c r="M47" s="3">
        <f>SUM(M44:M46)</f>
        <v>59554</v>
      </c>
      <c r="N47" s="3">
        <f>SUM(N44:N46)</f>
        <v>63627</v>
      </c>
      <c r="O47" s="3">
        <v>62500</v>
      </c>
      <c r="P47" s="3">
        <f t="shared" ref="P47:T47" si="2">O47*1.04</f>
        <v>65000</v>
      </c>
      <c r="Q47" s="3">
        <f t="shared" si="2"/>
        <v>67600</v>
      </c>
      <c r="R47" s="3">
        <f t="shared" si="2"/>
        <v>70304</v>
      </c>
      <c r="S47" s="3">
        <f t="shared" si="2"/>
        <v>73116.160000000003</v>
      </c>
      <c r="T47" s="3">
        <f t="shared" si="2"/>
        <v>76040.806400000001</v>
      </c>
    </row>
    <row r="48" spans="1:20" x14ac:dyDescent="0.2">
      <c r="B48" s="2" t="s">
        <v>19</v>
      </c>
      <c r="L48" s="2">
        <v>34344</v>
      </c>
      <c r="M48" s="2">
        <v>24954</v>
      </c>
      <c r="N48" s="2">
        <v>17851</v>
      </c>
      <c r="O48" s="2">
        <f>O47*(1-O67)</f>
        <v>21875</v>
      </c>
      <c r="P48" s="2">
        <f t="shared" ref="P48:T48" si="3">P47*(1-P67)</f>
        <v>22750</v>
      </c>
      <c r="Q48" s="2">
        <f t="shared" si="3"/>
        <v>23660</v>
      </c>
      <c r="R48" s="2">
        <f t="shared" si="3"/>
        <v>24606.399999999998</v>
      </c>
      <c r="S48" s="2">
        <f t="shared" si="3"/>
        <v>25590.655999999999</v>
      </c>
      <c r="T48" s="2">
        <f t="shared" si="3"/>
        <v>26614.28224</v>
      </c>
    </row>
    <row r="49" spans="2:122" x14ac:dyDescent="0.2">
      <c r="B49" s="2" t="s">
        <v>20</v>
      </c>
      <c r="L49" s="2">
        <f>L47-L48</f>
        <v>66831</v>
      </c>
      <c r="M49" s="2">
        <f t="shared" ref="M49:T49" si="4">M47-M48</f>
        <v>34600</v>
      </c>
      <c r="N49" s="2">
        <f t="shared" si="4"/>
        <v>45776</v>
      </c>
      <c r="O49" s="2">
        <f t="shared" si="4"/>
        <v>40625</v>
      </c>
      <c r="P49" s="2">
        <f t="shared" si="4"/>
        <v>42250</v>
      </c>
      <c r="Q49" s="2">
        <f t="shared" si="4"/>
        <v>43940</v>
      </c>
      <c r="R49" s="2">
        <f t="shared" si="4"/>
        <v>45697.600000000006</v>
      </c>
      <c r="S49" s="2">
        <f t="shared" si="4"/>
        <v>47525.504000000001</v>
      </c>
      <c r="T49" s="2">
        <f t="shared" si="4"/>
        <v>49426.524160000001</v>
      </c>
    </row>
    <row r="50" spans="2:122" x14ac:dyDescent="0.2">
      <c r="B50" s="2" t="s">
        <v>37</v>
      </c>
      <c r="L50" s="2">
        <v>13677</v>
      </c>
      <c r="M50" s="2">
        <v>14771</v>
      </c>
      <c r="N50" s="2">
        <v>14730</v>
      </c>
      <c r="O50" s="2">
        <f>N50*1.04</f>
        <v>15319.2</v>
      </c>
      <c r="P50" s="2">
        <f t="shared" ref="P50:T50" si="5">O50*1.04</f>
        <v>15931.968000000001</v>
      </c>
      <c r="Q50" s="2">
        <f t="shared" si="5"/>
        <v>16569.246720000003</v>
      </c>
      <c r="R50" s="2">
        <f t="shared" si="5"/>
        <v>17232.016588800005</v>
      </c>
      <c r="S50" s="2">
        <f t="shared" si="5"/>
        <v>17921.297252352004</v>
      </c>
      <c r="T50" s="2">
        <f t="shared" si="5"/>
        <v>18638.149142446084</v>
      </c>
    </row>
    <row r="51" spans="2:122" x14ac:dyDescent="0.2">
      <c r="B51" s="2" t="s">
        <v>21</v>
      </c>
      <c r="L51" s="2">
        <v>11428</v>
      </c>
      <c r="M51" s="2">
        <v>10679</v>
      </c>
      <c r="N51" s="2">
        <v>10822</v>
      </c>
    </row>
    <row r="52" spans="2:122" x14ac:dyDescent="0.2">
      <c r="B52" s="2" t="s">
        <v>22</v>
      </c>
      <c r="L52" s="2">
        <v>953</v>
      </c>
      <c r="M52" s="2">
        <v>194</v>
      </c>
      <c r="N52" s="2">
        <v>108</v>
      </c>
    </row>
    <row r="53" spans="2:122" x14ac:dyDescent="0.2">
      <c r="B53" s="2" t="s">
        <v>23</v>
      </c>
      <c r="L53" s="2">
        <v>3609</v>
      </c>
      <c r="M53" s="2">
        <v>4733</v>
      </c>
      <c r="N53" s="2">
        <v>5286</v>
      </c>
      <c r="O53" s="2">
        <f t="shared" ref="O53:T53" si="6">N53</f>
        <v>5286</v>
      </c>
      <c r="P53" s="2">
        <f t="shared" si="6"/>
        <v>5286</v>
      </c>
      <c r="Q53" s="2">
        <f t="shared" si="6"/>
        <v>5286</v>
      </c>
      <c r="R53" s="2">
        <f t="shared" si="6"/>
        <v>5286</v>
      </c>
      <c r="S53" s="2">
        <f t="shared" si="6"/>
        <v>5286</v>
      </c>
      <c r="T53" s="2">
        <f t="shared" si="6"/>
        <v>5286</v>
      </c>
    </row>
    <row r="54" spans="2:122" x14ac:dyDescent="0.2">
      <c r="B54" s="2" t="s">
        <v>24</v>
      </c>
      <c r="L54" s="2">
        <v>1375</v>
      </c>
      <c r="M54" s="2">
        <v>2943</v>
      </c>
      <c r="N54" s="2">
        <v>2419</v>
      </c>
    </row>
    <row r="55" spans="2:122" x14ac:dyDescent="0.2">
      <c r="B55" s="2" t="s">
        <v>25</v>
      </c>
      <c r="L55" s="2">
        <v>1062</v>
      </c>
      <c r="M55" s="2">
        <v>222</v>
      </c>
      <c r="N55" s="2">
        <v>4388</v>
      </c>
    </row>
    <row r="56" spans="2:122" x14ac:dyDescent="0.2">
      <c r="B56" s="2" t="s">
        <v>26</v>
      </c>
      <c r="L56" s="2">
        <f>SUM(L51:L55)</f>
        <v>18427</v>
      </c>
      <c r="M56" s="2">
        <f t="shared" ref="M56:T56" si="7">SUM(M51:M55)</f>
        <v>18771</v>
      </c>
      <c r="N56" s="2">
        <f t="shared" si="7"/>
        <v>23023</v>
      </c>
      <c r="O56" s="2">
        <f t="shared" si="7"/>
        <v>5286</v>
      </c>
      <c r="P56" s="2">
        <f t="shared" si="7"/>
        <v>5286</v>
      </c>
      <c r="Q56" s="2">
        <f t="shared" si="7"/>
        <v>5286</v>
      </c>
      <c r="R56" s="2">
        <f t="shared" si="7"/>
        <v>5286</v>
      </c>
      <c r="S56" s="2">
        <f t="shared" si="7"/>
        <v>5286</v>
      </c>
      <c r="T56" s="2">
        <f t="shared" si="7"/>
        <v>5286</v>
      </c>
    </row>
    <row r="57" spans="2:122" x14ac:dyDescent="0.2">
      <c r="B57" s="2" t="s">
        <v>27</v>
      </c>
      <c r="L57" s="2">
        <f>L49-L56</f>
        <v>48404</v>
      </c>
      <c r="M57" s="2">
        <f t="shared" ref="M57:T57" si="8">M49-M56</f>
        <v>15829</v>
      </c>
      <c r="N57" s="2">
        <f t="shared" si="8"/>
        <v>22753</v>
      </c>
      <c r="O57" s="2">
        <f t="shared" si="8"/>
        <v>35339</v>
      </c>
      <c r="P57" s="2">
        <f t="shared" si="8"/>
        <v>36964</v>
      </c>
      <c r="Q57" s="2">
        <f t="shared" si="8"/>
        <v>38654</v>
      </c>
      <c r="R57" s="2">
        <f t="shared" si="8"/>
        <v>40411.600000000006</v>
      </c>
      <c r="S57" s="2">
        <f t="shared" si="8"/>
        <v>42239.504000000001</v>
      </c>
      <c r="T57" s="2">
        <f t="shared" si="8"/>
        <v>44140.524160000001</v>
      </c>
    </row>
    <row r="58" spans="2:122" x14ac:dyDescent="0.2">
      <c r="B58" s="2" t="s">
        <v>28</v>
      </c>
      <c r="O58" s="2">
        <f>N70*$W$64</f>
        <v>-945.54</v>
      </c>
      <c r="P58" s="2">
        <f t="shared" ref="P58:T58" si="9">O70*$W$64</f>
        <v>-396.62037839999999</v>
      </c>
      <c r="Q58" s="2">
        <f t="shared" si="9"/>
        <v>186.99500036073601</v>
      </c>
      <c r="R58" s="2">
        <f t="shared" si="9"/>
        <v>806.89728056649335</v>
      </c>
      <c r="S58" s="2">
        <f t="shared" si="9"/>
        <v>1464.7444971643347</v>
      </c>
      <c r="T58" s="2">
        <f t="shared" si="9"/>
        <v>2162.2643031790776</v>
      </c>
    </row>
    <row r="59" spans="2:122" x14ac:dyDescent="0.2">
      <c r="B59" s="2" t="s">
        <v>29</v>
      </c>
      <c r="L59" s="2">
        <f>L57+L58</f>
        <v>48404</v>
      </c>
      <c r="M59" s="2">
        <f t="shared" ref="M59:T59" si="10">M57+M58</f>
        <v>15829</v>
      </c>
      <c r="N59" s="2">
        <f t="shared" si="10"/>
        <v>22753</v>
      </c>
      <c r="O59" s="2">
        <f t="shared" si="10"/>
        <v>34393.46</v>
      </c>
      <c r="P59" s="2">
        <f t="shared" si="10"/>
        <v>36567.379621599997</v>
      </c>
      <c r="Q59" s="2">
        <f t="shared" si="10"/>
        <v>38840.995000360737</v>
      </c>
      <c r="R59" s="2">
        <f t="shared" si="10"/>
        <v>41218.497280566502</v>
      </c>
      <c r="S59" s="2">
        <f t="shared" si="10"/>
        <v>43704.248497164335</v>
      </c>
      <c r="T59" s="2">
        <f t="shared" si="10"/>
        <v>46302.78846317908</v>
      </c>
    </row>
    <row r="60" spans="2:122" x14ac:dyDescent="0.2">
      <c r="B60" s="2" t="s">
        <v>31</v>
      </c>
      <c r="L60" s="2">
        <v>3328</v>
      </c>
      <c r="M60" s="2">
        <v>-1115</v>
      </c>
      <c r="N60" s="2">
        <v>-28</v>
      </c>
      <c r="O60" s="2">
        <f>O59*0.2</f>
        <v>6878.692</v>
      </c>
      <c r="P60" s="2">
        <f t="shared" ref="P60:T60" si="11">P59*0.2</f>
        <v>7313.4759243199996</v>
      </c>
      <c r="Q60" s="2">
        <f t="shared" si="11"/>
        <v>7768.199000072148</v>
      </c>
      <c r="R60" s="2">
        <f t="shared" si="11"/>
        <v>8243.6994561133015</v>
      </c>
      <c r="S60" s="2">
        <f t="shared" si="11"/>
        <v>8740.8496994328671</v>
      </c>
      <c r="T60" s="2">
        <f t="shared" si="11"/>
        <v>9260.5576926358171</v>
      </c>
    </row>
    <row r="61" spans="2:122" x14ac:dyDescent="0.2">
      <c r="B61" s="2" t="s">
        <v>30</v>
      </c>
      <c r="L61" s="2">
        <v>35</v>
      </c>
      <c r="M61" s="2">
        <v>39</v>
      </c>
      <c r="N61" s="2">
        <v>31</v>
      </c>
      <c r="O61" s="2">
        <f>O59*0.002</f>
        <v>68.786919999999995</v>
      </c>
      <c r="P61" s="2">
        <f t="shared" ref="P61:T61" si="12">P59*0.002</f>
        <v>73.134759243199994</v>
      </c>
      <c r="Q61" s="2">
        <f t="shared" si="12"/>
        <v>77.68199000072147</v>
      </c>
      <c r="R61" s="2">
        <f t="shared" si="12"/>
        <v>82.436994561133005</v>
      </c>
      <c r="S61" s="2">
        <f t="shared" si="12"/>
        <v>87.408496994328672</v>
      </c>
      <c r="T61" s="2">
        <f t="shared" si="12"/>
        <v>92.605576926358168</v>
      </c>
    </row>
    <row r="62" spans="2:122" x14ac:dyDescent="0.2">
      <c r="B62" s="2" t="s">
        <v>32</v>
      </c>
      <c r="L62" s="2">
        <f>L59-L60-L61</f>
        <v>45041</v>
      </c>
      <c r="M62" s="2">
        <f t="shared" ref="M62:Q62" si="13">M59-M60-M61</f>
        <v>16905</v>
      </c>
      <c r="N62" s="2">
        <f t="shared" si="13"/>
        <v>22750</v>
      </c>
      <c r="O62" s="2">
        <f t="shared" si="13"/>
        <v>27445.981080000001</v>
      </c>
      <c r="P62" s="2">
        <f t="shared" si="13"/>
        <v>29180.768938036799</v>
      </c>
      <c r="Q62" s="2">
        <f t="shared" si="13"/>
        <v>30995.114010287867</v>
      </c>
      <c r="R62" s="2">
        <f t="shared" ref="R62" si="14">R59-R60-R61</f>
        <v>32892.360829892066</v>
      </c>
      <c r="S62" s="2">
        <f t="shared" ref="S62" si="15">S59-S60-S61</f>
        <v>34875.990300737139</v>
      </c>
      <c r="T62" s="2">
        <f t="shared" ref="T62" si="16">T59-T60-T61</f>
        <v>36949.625193616906</v>
      </c>
      <c r="U62" s="2">
        <f t="shared" ref="U62:AZ62" si="17">T62*(1+$W$65)</f>
        <v>36580.128941680734</v>
      </c>
      <c r="V62" s="2">
        <f t="shared" si="17"/>
        <v>36214.327652263928</v>
      </c>
      <c r="W62" s="2">
        <f t="shared" si="17"/>
        <v>35852.184375741286</v>
      </c>
      <c r="X62" s="2">
        <f t="shared" si="17"/>
        <v>35493.662531983871</v>
      </c>
      <c r="Y62" s="2">
        <f t="shared" si="17"/>
        <v>35138.725906664033</v>
      </c>
      <c r="Z62" s="2">
        <f t="shared" si="17"/>
        <v>34787.338647597389</v>
      </c>
      <c r="AA62" s="2">
        <f t="shared" si="17"/>
        <v>34439.465261121419</v>
      </c>
      <c r="AB62" s="2">
        <f t="shared" si="17"/>
        <v>34095.070608510207</v>
      </c>
      <c r="AC62" s="2">
        <f t="shared" si="17"/>
        <v>33754.119902425104</v>
      </c>
      <c r="AD62" s="2">
        <f t="shared" si="17"/>
        <v>33416.578703400854</v>
      </c>
      <c r="AE62" s="2">
        <f t="shared" si="17"/>
        <v>33082.412916366848</v>
      </c>
      <c r="AF62" s="2">
        <f t="shared" si="17"/>
        <v>32751.588787203178</v>
      </c>
      <c r="AG62" s="2">
        <f t="shared" si="17"/>
        <v>32424.072899331146</v>
      </c>
      <c r="AH62" s="2">
        <f t="shared" si="17"/>
        <v>32099.832170337835</v>
      </c>
      <c r="AI62" s="2">
        <f t="shared" si="17"/>
        <v>31778.833848634458</v>
      </c>
      <c r="AJ62" s="2">
        <f t="shared" si="17"/>
        <v>31461.045510148113</v>
      </c>
      <c r="AK62" s="2">
        <f t="shared" si="17"/>
        <v>31146.435055046633</v>
      </c>
      <c r="AL62" s="2">
        <f t="shared" si="17"/>
        <v>30834.970704496165</v>
      </c>
      <c r="AM62" s="2">
        <f t="shared" si="17"/>
        <v>30526.620997451202</v>
      </c>
      <c r="AN62" s="2">
        <f t="shared" si="17"/>
        <v>30221.354787476688</v>
      </c>
      <c r="AO62" s="2">
        <f t="shared" si="17"/>
        <v>29919.141239601922</v>
      </c>
      <c r="AP62" s="2">
        <f t="shared" si="17"/>
        <v>29619.949827205903</v>
      </c>
      <c r="AQ62" s="2">
        <f t="shared" si="17"/>
        <v>29323.750328933842</v>
      </c>
      <c r="AR62" s="2">
        <f t="shared" si="17"/>
        <v>29030.512825644502</v>
      </c>
      <c r="AS62" s="2">
        <f t="shared" si="17"/>
        <v>28740.207697388058</v>
      </c>
      <c r="AT62" s="2">
        <f t="shared" si="17"/>
        <v>28452.805620414176</v>
      </c>
      <c r="AU62" s="2">
        <f t="shared" si="17"/>
        <v>28168.277564210035</v>
      </c>
      <c r="AV62" s="2">
        <f t="shared" si="17"/>
        <v>27886.594788567934</v>
      </c>
      <c r="AW62" s="2">
        <f t="shared" si="17"/>
        <v>27607.728840682255</v>
      </c>
      <c r="AX62" s="2">
        <f t="shared" si="17"/>
        <v>27331.651552275434</v>
      </c>
      <c r="AY62" s="2">
        <f t="shared" si="17"/>
        <v>27058.33503675268</v>
      </c>
      <c r="AZ62" s="2">
        <f t="shared" si="17"/>
        <v>26787.751686385152</v>
      </c>
      <c r="BA62" s="2">
        <f t="shared" ref="BA62:CF62" si="18">AZ62*(1+$W$65)</f>
        <v>26519.874169521299</v>
      </c>
      <c r="BB62" s="2">
        <f t="shared" si="18"/>
        <v>26254.675427826085</v>
      </c>
      <c r="BC62" s="2">
        <f t="shared" si="18"/>
        <v>25992.128673547824</v>
      </c>
      <c r="BD62" s="2">
        <f t="shared" si="18"/>
        <v>25732.207386812344</v>
      </c>
      <c r="BE62" s="2">
        <f t="shared" si="18"/>
        <v>25474.885312944221</v>
      </c>
      <c r="BF62" s="2">
        <f t="shared" si="18"/>
        <v>25220.136459814777</v>
      </c>
      <c r="BG62" s="2">
        <f t="shared" si="18"/>
        <v>24967.935095216628</v>
      </c>
      <c r="BH62" s="2">
        <f t="shared" si="18"/>
        <v>24718.255744264461</v>
      </c>
      <c r="BI62" s="2">
        <f t="shared" si="18"/>
        <v>24471.073186821817</v>
      </c>
      <c r="BJ62" s="2">
        <f t="shared" si="18"/>
        <v>24226.3624549536</v>
      </c>
      <c r="BK62" s="2">
        <f t="shared" si="18"/>
        <v>23984.098830404062</v>
      </c>
      <c r="BL62" s="2">
        <f t="shared" si="18"/>
        <v>23744.257842100022</v>
      </c>
      <c r="BM62" s="2">
        <f t="shared" si="18"/>
        <v>23506.815263679022</v>
      </c>
      <c r="BN62" s="2">
        <f t="shared" si="18"/>
        <v>23271.74711104223</v>
      </c>
      <c r="BO62" s="2">
        <f t="shared" si="18"/>
        <v>23039.029639931807</v>
      </c>
      <c r="BP62" s="2">
        <f t="shared" si="18"/>
        <v>22808.63934353249</v>
      </c>
      <c r="BQ62" s="2">
        <f t="shared" si="18"/>
        <v>22580.552950097164</v>
      </c>
      <c r="BR62" s="2">
        <f t="shared" si="18"/>
        <v>22354.747420596192</v>
      </c>
      <c r="BS62" s="2">
        <f t="shared" si="18"/>
        <v>22131.199946390228</v>
      </c>
      <c r="BT62" s="2">
        <f t="shared" si="18"/>
        <v>21909.887946926327</v>
      </c>
      <c r="BU62" s="2">
        <f t="shared" si="18"/>
        <v>21690.789067457063</v>
      </c>
      <c r="BV62" s="2">
        <f t="shared" si="18"/>
        <v>21473.881176782492</v>
      </c>
      <c r="BW62" s="2">
        <f t="shared" si="18"/>
        <v>21259.142365014668</v>
      </c>
      <c r="BX62" s="2">
        <f t="shared" si="18"/>
        <v>21046.55094136452</v>
      </c>
      <c r="BY62" s="2">
        <f t="shared" si="18"/>
        <v>20836.085431950873</v>
      </c>
      <c r="BZ62" s="2">
        <f t="shared" si="18"/>
        <v>20627.724577631365</v>
      </c>
      <c r="CA62" s="2">
        <f t="shared" si="18"/>
        <v>20421.447331855052</v>
      </c>
      <c r="CB62" s="2">
        <f t="shared" si="18"/>
        <v>20217.232858536499</v>
      </c>
      <c r="CC62" s="2">
        <f t="shared" si="18"/>
        <v>20015.060529951134</v>
      </c>
      <c r="CD62" s="2">
        <f t="shared" si="18"/>
        <v>19814.909924651623</v>
      </c>
      <c r="CE62" s="2">
        <f t="shared" si="18"/>
        <v>19616.760825405108</v>
      </c>
      <c r="CF62" s="2">
        <f t="shared" si="18"/>
        <v>19420.593217151058</v>
      </c>
      <c r="CG62" s="2">
        <f t="shared" ref="CG62:DL62" si="19">CF62*(1+$W$65)</f>
        <v>19226.387284979548</v>
      </c>
      <c r="CH62" s="2">
        <f t="shared" si="19"/>
        <v>19034.123412129753</v>
      </c>
      <c r="CI62" s="2">
        <f t="shared" si="19"/>
        <v>18843.782178008456</v>
      </c>
      <c r="CJ62" s="2">
        <f t="shared" si="19"/>
        <v>18655.344356228372</v>
      </c>
      <c r="CK62" s="2">
        <f t="shared" si="19"/>
        <v>18468.790912666089</v>
      </c>
      <c r="CL62" s="2">
        <f t="shared" si="19"/>
        <v>18284.103003539429</v>
      </c>
      <c r="CM62" s="2">
        <f t="shared" si="19"/>
        <v>18101.261973504035</v>
      </c>
      <c r="CN62" s="2">
        <f t="shared" si="19"/>
        <v>17920.249353768995</v>
      </c>
      <c r="CO62" s="2">
        <f t="shared" si="19"/>
        <v>17741.046860231305</v>
      </c>
      <c r="CP62" s="2">
        <f t="shared" si="19"/>
        <v>17563.636391628992</v>
      </c>
      <c r="CQ62" s="2">
        <f t="shared" si="19"/>
        <v>17388.0000277127</v>
      </c>
      <c r="CR62" s="2">
        <f t="shared" si="19"/>
        <v>17214.120027435572</v>
      </c>
      <c r="CS62" s="2">
        <f t="shared" si="19"/>
        <v>17041.978827161216</v>
      </c>
      <c r="CT62" s="2">
        <f t="shared" si="19"/>
        <v>16871.559038889605</v>
      </c>
      <c r="CU62" s="2">
        <f t="shared" si="19"/>
        <v>16702.843448500709</v>
      </c>
      <c r="CV62" s="2">
        <f t="shared" si="19"/>
        <v>16535.815014015701</v>
      </c>
      <c r="CW62" s="2">
        <f t="shared" si="19"/>
        <v>16370.456863875545</v>
      </c>
      <c r="CX62" s="2">
        <f t="shared" si="19"/>
        <v>16206.752295236789</v>
      </c>
      <c r="CY62" s="2">
        <f t="shared" si="19"/>
        <v>16044.684772284421</v>
      </c>
      <c r="CZ62" s="2">
        <f t="shared" si="19"/>
        <v>15884.237924561578</v>
      </c>
      <c r="DA62" s="2">
        <f t="shared" si="19"/>
        <v>15725.395545315961</v>
      </c>
      <c r="DB62" s="2">
        <f t="shared" si="19"/>
        <v>15568.141589862802</v>
      </c>
      <c r="DC62" s="2">
        <f t="shared" si="19"/>
        <v>15412.460173964173</v>
      </c>
      <c r="DD62" s="2">
        <f t="shared" si="19"/>
        <v>15258.335572224531</v>
      </c>
      <c r="DE62" s="2">
        <f t="shared" si="19"/>
        <v>15105.752216502286</v>
      </c>
      <c r="DF62" s="2">
        <f t="shared" si="19"/>
        <v>14954.694694337262</v>
      </c>
      <c r="DG62" s="2">
        <f t="shared" si="19"/>
        <v>14805.14774739389</v>
      </c>
      <c r="DH62" s="2">
        <f t="shared" si="19"/>
        <v>14657.096269919952</v>
      </c>
      <c r="DI62" s="2">
        <f t="shared" si="19"/>
        <v>14510.525307220752</v>
      </c>
      <c r="DJ62" s="2">
        <f t="shared" si="19"/>
        <v>14365.420054148544</v>
      </c>
      <c r="DK62" s="2">
        <f t="shared" si="19"/>
        <v>14221.765853607059</v>
      </c>
      <c r="DL62" s="2">
        <f t="shared" si="19"/>
        <v>14079.548195070989</v>
      </c>
      <c r="DM62" s="2">
        <f t="shared" ref="DM62:DR62" si="20">DL62*(1+$W$65)</f>
        <v>13938.752713120279</v>
      </c>
      <c r="DN62" s="2">
        <f t="shared" si="20"/>
        <v>13799.365185989076</v>
      </c>
      <c r="DO62" s="2">
        <f t="shared" si="20"/>
        <v>13661.371534129185</v>
      </c>
      <c r="DP62" s="2">
        <f t="shared" si="20"/>
        <v>13524.757818787892</v>
      </c>
      <c r="DQ62" s="2">
        <f t="shared" si="20"/>
        <v>13389.510240600013</v>
      </c>
      <c r="DR62" s="2">
        <f t="shared" si="20"/>
        <v>13255.615138194013</v>
      </c>
    </row>
    <row r="63" spans="2:122" x14ac:dyDescent="0.2">
      <c r="B63" s="2" t="s">
        <v>1</v>
      </c>
      <c r="L63" s="2">
        <v>5733</v>
      </c>
      <c r="M63" s="2">
        <v>5709</v>
      </c>
      <c r="N63" s="2">
        <v>5700</v>
      </c>
      <c r="O63" s="2">
        <f>N63</f>
        <v>5700</v>
      </c>
      <c r="P63" s="2">
        <f t="shared" ref="P63:T63" si="21">O63</f>
        <v>5700</v>
      </c>
      <c r="Q63" s="2">
        <f t="shared" si="21"/>
        <v>5700</v>
      </c>
      <c r="R63" s="2">
        <f t="shared" si="21"/>
        <v>5700</v>
      </c>
      <c r="S63" s="2">
        <f t="shared" si="21"/>
        <v>5700</v>
      </c>
      <c r="T63" s="2">
        <f t="shared" si="21"/>
        <v>5700</v>
      </c>
    </row>
    <row r="64" spans="2:122" x14ac:dyDescent="0.2">
      <c r="B64" s="2" t="s">
        <v>33</v>
      </c>
      <c r="L64" s="1">
        <f>L62/L63</f>
        <v>7.8564451421594281</v>
      </c>
      <c r="M64" s="1">
        <f t="shared" ref="M64:N64" si="22">M62/M63</f>
        <v>2.9611140304781922</v>
      </c>
      <c r="N64" s="1">
        <f t="shared" si="22"/>
        <v>3.9912280701754388</v>
      </c>
      <c r="O64" s="1">
        <f t="shared" ref="O64" si="23">O62/O63</f>
        <v>4.8150843999999999</v>
      </c>
      <c r="P64" s="1">
        <f t="shared" ref="P64" si="24">P62/P63</f>
        <v>5.119433147024</v>
      </c>
      <c r="Q64" s="1">
        <f t="shared" ref="Q64" si="25">Q62/Q63</f>
        <v>5.4377393000505032</v>
      </c>
      <c r="R64" s="1">
        <f t="shared" ref="R64" si="26">R62/R63</f>
        <v>5.7705896192793098</v>
      </c>
      <c r="S64" s="1">
        <f t="shared" ref="S64" si="27">S62/S63</f>
        <v>6.1185947896030068</v>
      </c>
      <c r="T64" s="1">
        <f t="shared" ref="T64" si="28">T62/T63</f>
        <v>6.482390384845071</v>
      </c>
      <c r="V64" s="2" t="s">
        <v>41</v>
      </c>
      <c r="W64" s="5">
        <v>0.02</v>
      </c>
    </row>
    <row r="65" spans="1:23" x14ac:dyDescent="0.2">
      <c r="L65" s="7"/>
      <c r="M65" s="7"/>
      <c r="N65" s="7"/>
      <c r="V65" s="2" t="s">
        <v>44</v>
      </c>
      <c r="W65" s="5">
        <v>-0.01</v>
      </c>
    </row>
    <row r="66" spans="1:23" s="3" customFormat="1" x14ac:dyDescent="0.2">
      <c r="A66" s="2"/>
      <c r="B66" s="3" t="s">
        <v>34</v>
      </c>
      <c r="M66" s="6">
        <f>M47/L47-1</f>
        <v>-0.41137632814430447</v>
      </c>
      <c r="N66" s="6">
        <f>N47/M47-1</f>
        <v>6.8391711723813753E-2</v>
      </c>
      <c r="O66" s="6">
        <f t="shared" ref="O66:T66" si="29">O47/N47-1</f>
        <v>-1.7712606283496024E-2</v>
      </c>
      <c r="P66" s="6">
        <f t="shared" si="29"/>
        <v>4.0000000000000036E-2</v>
      </c>
      <c r="Q66" s="6">
        <f t="shared" si="29"/>
        <v>4.0000000000000036E-2</v>
      </c>
      <c r="R66" s="6">
        <f t="shared" si="29"/>
        <v>4.0000000000000036E-2</v>
      </c>
      <c r="S66" s="6">
        <f t="shared" si="29"/>
        <v>4.0000000000000036E-2</v>
      </c>
      <c r="T66" s="6">
        <f t="shared" si="29"/>
        <v>4.0000000000000036E-2</v>
      </c>
      <c r="V66" s="2" t="s">
        <v>42</v>
      </c>
      <c r="W66" s="5">
        <v>0.08</v>
      </c>
    </row>
    <row r="67" spans="1:23" x14ac:dyDescent="0.2">
      <c r="B67" s="2" t="s">
        <v>35</v>
      </c>
      <c r="L67" s="5">
        <f>L49/L47</f>
        <v>0.66054855448480354</v>
      </c>
      <c r="M67" s="5">
        <f t="shared" ref="M67:N67" si="30">M49/M47</f>
        <v>0.58098532424354365</v>
      </c>
      <c r="N67" s="5">
        <f t="shared" si="30"/>
        <v>0.71944300375626702</v>
      </c>
      <c r="O67" s="5">
        <v>0.65</v>
      </c>
      <c r="P67" s="5">
        <v>0.65</v>
      </c>
      <c r="Q67" s="5">
        <v>0.65</v>
      </c>
      <c r="R67" s="5">
        <v>0.65</v>
      </c>
      <c r="S67" s="5">
        <v>0.65</v>
      </c>
      <c r="T67" s="5">
        <v>0.65</v>
      </c>
      <c r="V67" s="2" t="s">
        <v>43</v>
      </c>
      <c r="W67" s="3">
        <f>NPV(W66,O62:XFD62)+Main!K5-Main!K6</f>
        <v>352002.11878672574</v>
      </c>
    </row>
    <row r="68" spans="1:23" x14ac:dyDescent="0.2">
      <c r="B68" s="2" t="s">
        <v>36</v>
      </c>
      <c r="M68" s="5">
        <f>M50/L50-1</f>
        <v>7.9988301528112871E-2</v>
      </c>
      <c r="N68" s="5">
        <f>N50/M50-1</f>
        <v>-2.7757091598402672E-3</v>
      </c>
      <c r="O68" s="5">
        <f t="shared" ref="O68:T68" si="31">O50/N50-1</f>
        <v>4.0000000000000036E-2</v>
      </c>
      <c r="P68" s="5">
        <f t="shared" si="31"/>
        <v>4.0000000000000036E-2</v>
      </c>
      <c r="Q68" s="5">
        <f t="shared" si="31"/>
        <v>4.0000000000000036E-2</v>
      </c>
      <c r="R68" s="5">
        <f t="shared" si="31"/>
        <v>4.0000000000000036E-2</v>
      </c>
      <c r="S68" s="5">
        <f t="shared" si="31"/>
        <v>4.0000000000000036E-2</v>
      </c>
      <c r="T68" s="5">
        <f t="shared" si="31"/>
        <v>4.0000000000000036E-2</v>
      </c>
      <c r="V68" s="2" t="s">
        <v>45</v>
      </c>
      <c r="W68" s="1">
        <f>W67/Main!K3</f>
        <v>61.913717349456952</v>
      </c>
    </row>
    <row r="69" spans="1:23" x14ac:dyDescent="0.2">
      <c r="M69" s="5"/>
      <c r="W69" s="5">
        <f>W68/Main!K2-1</f>
        <v>1.6515510642165716</v>
      </c>
    </row>
    <row r="70" spans="1:23" x14ac:dyDescent="0.2">
      <c r="B70" s="2" t="s">
        <v>38</v>
      </c>
      <c r="M70" s="2">
        <f>M71-SUM(M87:M90)</f>
        <v>-60189</v>
      </c>
      <c r="N70" s="2">
        <f>N71-SUM(N87:N90)</f>
        <v>-47277</v>
      </c>
      <c r="O70" s="2">
        <f>N70+O62</f>
        <v>-19831.018919999999</v>
      </c>
      <c r="P70" s="2">
        <f t="shared" ref="P70:T70" si="32">O70+P62</f>
        <v>9349.7500180368006</v>
      </c>
      <c r="Q70" s="2">
        <f t="shared" si="32"/>
        <v>40344.864028324664</v>
      </c>
      <c r="R70" s="2">
        <f t="shared" si="32"/>
        <v>73237.224858216738</v>
      </c>
      <c r="S70" s="2">
        <f t="shared" si="32"/>
        <v>108113.21515895388</v>
      </c>
      <c r="T70" s="2">
        <f t="shared" si="32"/>
        <v>145062.84035257078</v>
      </c>
    </row>
    <row r="71" spans="1:23" x14ac:dyDescent="0.2">
      <c r="B71" s="2" t="s">
        <v>3</v>
      </c>
      <c r="M71" s="2">
        <f>2853+9837</f>
        <v>12690</v>
      </c>
      <c r="N71" s="2">
        <f>1043+19434</f>
        <v>20477</v>
      </c>
    </row>
    <row r="72" spans="1:23" x14ac:dyDescent="0.2">
      <c r="B72" s="2" t="s">
        <v>40</v>
      </c>
      <c r="M72" s="2">
        <f>11566</f>
        <v>11566</v>
      </c>
      <c r="N72" s="2">
        <f>11463</f>
        <v>11463</v>
      </c>
    </row>
    <row r="73" spans="1:23" x14ac:dyDescent="0.2">
      <c r="B73" s="2" t="s">
        <v>65</v>
      </c>
      <c r="M73" s="2">
        <f>10189</f>
        <v>10189</v>
      </c>
      <c r="N73" s="2">
        <f>10851</f>
        <v>10851</v>
      </c>
    </row>
    <row r="74" spans="1:23" x14ac:dyDescent="0.2">
      <c r="B74" s="2" t="s">
        <v>46</v>
      </c>
      <c r="M74" s="2">
        <f>3978+3706</f>
        <v>7684</v>
      </c>
      <c r="N74" s="2">
        <f>3314+8662</f>
        <v>11976</v>
      </c>
    </row>
    <row r="75" spans="1:23" x14ac:dyDescent="0.2">
      <c r="B75" s="2" t="s">
        <v>47</v>
      </c>
      <c r="M75" s="2">
        <f>11637+3731</f>
        <v>15368</v>
      </c>
      <c r="N75" s="2">
        <f>217+2010</f>
        <v>2227</v>
      </c>
    </row>
    <row r="76" spans="1:23" x14ac:dyDescent="0.2">
      <c r="B76" s="2" t="s">
        <v>48</v>
      </c>
      <c r="M76" s="2">
        <f>18940</f>
        <v>18940</v>
      </c>
      <c r="N76" s="2">
        <f>18393</f>
        <v>18393</v>
      </c>
    </row>
    <row r="77" spans="1:23" x14ac:dyDescent="0.2">
      <c r="B77" s="2" t="s">
        <v>49</v>
      </c>
      <c r="M77" s="2">
        <f>64900</f>
        <v>64900</v>
      </c>
      <c r="N77" s="2">
        <f>55411</f>
        <v>55411</v>
      </c>
    </row>
    <row r="78" spans="1:23" x14ac:dyDescent="0.2">
      <c r="B78" s="2" t="s">
        <v>50</v>
      </c>
      <c r="M78" s="2">
        <f>67783</f>
        <v>67783</v>
      </c>
      <c r="N78" s="2">
        <f>68527</f>
        <v>68527</v>
      </c>
    </row>
    <row r="79" spans="1:23" x14ac:dyDescent="0.2">
      <c r="B79" s="2" t="s">
        <v>25</v>
      </c>
      <c r="M79" s="2">
        <f>12471</f>
        <v>12471</v>
      </c>
      <c r="N79" s="2">
        <f>9814</f>
        <v>9814</v>
      </c>
    </row>
    <row r="80" spans="1:23" x14ac:dyDescent="0.2">
      <c r="B80" s="2" t="s">
        <v>59</v>
      </c>
      <c r="M80" s="2">
        <f>SUM(M71:M79)</f>
        <v>221591</v>
      </c>
      <c r="N80" s="2">
        <f>SUM(N71:N79)</f>
        <v>209139</v>
      </c>
    </row>
    <row r="82" spans="2:14" x14ac:dyDescent="0.2">
      <c r="B82" s="2" t="s">
        <v>39</v>
      </c>
      <c r="M82" s="2">
        <f>10350+6710+2372</f>
        <v>19432</v>
      </c>
      <c r="N82" s="2">
        <f>6946+5633+2437</f>
        <v>15016</v>
      </c>
    </row>
    <row r="83" spans="2:14" x14ac:dyDescent="0.2">
      <c r="B83" s="2" t="s">
        <v>51</v>
      </c>
      <c r="M83" s="2">
        <f>2349</f>
        <v>2349</v>
      </c>
      <c r="N83" s="2">
        <f>2910</f>
        <v>2910</v>
      </c>
    </row>
    <row r="84" spans="2:14" x14ac:dyDescent="0.2">
      <c r="B84" s="2" t="s">
        <v>52</v>
      </c>
      <c r="M84" s="2">
        <f>2776</f>
        <v>2776</v>
      </c>
      <c r="N84" s="2">
        <f>3838</f>
        <v>3838</v>
      </c>
    </row>
    <row r="85" spans="2:14" x14ac:dyDescent="0.2">
      <c r="B85" s="2" t="s">
        <v>53</v>
      </c>
      <c r="M85" s="2">
        <f>2700</f>
        <v>2700</v>
      </c>
      <c r="N85" s="2">
        <f>1511</f>
        <v>1511</v>
      </c>
    </row>
    <row r="86" spans="2:14" x14ac:dyDescent="0.2">
      <c r="B86" s="2" t="s">
        <v>54</v>
      </c>
      <c r="M86" s="2">
        <f>20537</f>
        <v>20537</v>
      </c>
      <c r="N86" s="2">
        <f>19720</f>
        <v>19720</v>
      </c>
    </row>
    <row r="87" spans="2:14" x14ac:dyDescent="0.2">
      <c r="B87" s="2" t="s">
        <v>4</v>
      </c>
      <c r="M87" s="2">
        <f>61538</f>
        <v>61538</v>
      </c>
      <c r="N87" s="2">
        <f>57405</f>
        <v>57405</v>
      </c>
    </row>
    <row r="88" spans="2:14" x14ac:dyDescent="0.2">
      <c r="B88" s="2" t="s">
        <v>55</v>
      </c>
      <c r="M88" s="2">
        <f>2167</f>
        <v>2167</v>
      </c>
      <c r="N88" s="2">
        <f>2115</f>
        <v>2115</v>
      </c>
    </row>
    <row r="89" spans="2:14" x14ac:dyDescent="0.2">
      <c r="B89" s="2" t="s">
        <v>56</v>
      </c>
      <c r="M89" s="2">
        <f>640</f>
        <v>640</v>
      </c>
      <c r="N89" s="2">
        <f>2122</f>
        <v>2122</v>
      </c>
    </row>
    <row r="90" spans="2:14" x14ac:dyDescent="0.2">
      <c r="B90" s="2" t="s">
        <v>57</v>
      </c>
      <c r="M90" s="2">
        <f>8534</f>
        <v>8534</v>
      </c>
      <c r="N90" s="2">
        <f>6112</f>
        <v>6112</v>
      </c>
    </row>
    <row r="91" spans="2:14" x14ac:dyDescent="0.2">
      <c r="B91" s="2" t="s">
        <v>58</v>
      </c>
      <c r="M91" s="2">
        <f>SUM(M82:M90)</f>
        <v>120673</v>
      </c>
      <c r="N91" s="2">
        <f>SUM(N82:N90)</f>
        <v>110749</v>
      </c>
    </row>
    <row r="92" spans="2:14" x14ac:dyDescent="0.2">
      <c r="B92" s="2" t="s">
        <v>60</v>
      </c>
      <c r="M92" s="2">
        <f>M80-M91</f>
        <v>100918</v>
      </c>
      <c r="N92" s="2">
        <f>N80-N91</f>
        <v>98390</v>
      </c>
    </row>
    <row r="93" spans="2:14" x14ac:dyDescent="0.2">
      <c r="B93" s="2" t="s">
        <v>61</v>
      </c>
      <c r="M93" s="2">
        <f>M91+M92</f>
        <v>221591</v>
      </c>
      <c r="N93" s="2">
        <f>N91+N92</f>
        <v>209139</v>
      </c>
    </row>
    <row r="95" spans="2:14" x14ac:dyDescent="0.2">
      <c r="B95" s="2" t="s">
        <v>66</v>
      </c>
      <c r="M95" s="2">
        <f>(M80-SUM(M77:M78))-M91</f>
        <v>-31765</v>
      </c>
      <c r="N95" s="2">
        <f>(N80-SUM(N77:N78))-N91</f>
        <v>-25548</v>
      </c>
    </row>
    <row r="97" spans="2:122" x14ac:dyDescent="0.2">
      <c r="B97" s="2" t="s">
        <v>62</v>
      </c>
      <c r="L97" s="2">
        <f>29267</f>
        <v>29267</v>
      </c>
      <c r="M97" s="2">
        <f>8700</f>
        <v>8700</v>
      </c>
      <c r="N97" s="2">
        <f>12744</f>
        <v>12744</v>
      </c>
    </row>
    <row r="98" spans="2:122" x14ac:dyDescent="0.2">
      <c r="B98" s="2" t="s">
        <v>63</v>
      </c>
      <c r="L98" s="2">
        <f>3236</f>
        <v>3236</v>
      </c>
      <c r="M98" s="2">
        <f>3907</f>
        <v>3907</v>
      </c>
      <c r="N98" s="2">
        <v>2909</v>
      </c>
    </row>
    <row r="99" spans="2:122" x14ac:dyDescent="0.2">
      <c r="B99" s="2" t="s">
        <v>64</v>
      </c>
      <c r="L99" s="2">
        <f>L97-L98</f>
        <v>26031</v>
      </c>
      <c r="M99" s="2">
        <f t="shared" ref="M99:N99" si="33">M97-M98</f>
        <v>4793</v>
      </c>
      <c r="N99" s="2">
        <f t="shared" si="33"/>
        <v>9835</v>
      </c>
      <c r="O99" s="2">
        <f>O101*O47</f>
        <v>15625</v>
      </c>
      <c r="P99" s="2">
        <f t="shared" ref="P99:T99" si="34">P101*P47</f>
        <v>16250</v>
      </c>
      <c r="Q99" s="2">
        <f t="shared" si="34"/>
        <v>16900</v>
      </c>
      <c r="R99" s="2">
        <f t="shared" si="34"/>
        <v>17576</v>
      </c>
      <c r="S99" s="2">
        <f t="shared" si="34"/>
        <v>18279.04</v>
      </c>
      <c r="T99" s="2">
        <f t="shared" si="34"/>
        <v>19010.2016</v>
      </c>
      <c r="U99" s="2">
        <f>T99*(1+$W$65)</f>
        <v>18820.099584</v>
      </c>
      <c r="V99" s="2">
        <f t="shared" ref="V99:CG99" si="35">U99*(1+$W$65)</f>
        <v>18631.898588159998</v>
      </c>
      <c r="W99" s="2">
        <f t="shared" si="35"/>
        <v>18445.579602278398</v>
      </c>
      <c r="X99" s="2">
        <f t="shared" si="35"/>
        <v>18261.123806255615</v>
      </c>
      <c r="Y99" s="2">
        <f t="shared" si="35"/>
        <v>18078.512568193059</v>
      </c>
      <c r="Z99" s="2">
        <f t="shared" si="35"/>
        <v>17897.727442511128</v>
      </c>
      <c r="AA99" s="2">
        <f t="shared" si="35"/>
        <v>17718.750168086015</v>
      </c>
      <c r="AB99" s="2">
        <f t="shared" si="35"/>
        <v>17541.562666405156</v>
      </c>
      <c r="AC99" s="2">
        <f t="shared" si="35"/>
        <v>17366.147039741103</v>
      </c>
      <c r="AD99" s="2">
        <f t="shared" si="35"/>
        <v>17192.485569343691</v>
      </c>
      <c r="AE99" s="2">
        <f t="shared" si="35"/>
        <v>17020.560713650255</v>
      </c>
      <c r="AF99" s="2">
        <f t="shared" si="35"/>
        <v>16850.355106513751</v>
      </c>
      <c r="AG99" s="2">
        <f t="shared" si="35"/>
        <v>16681.851555448615</v>
      </c>
      <c r="AH99" s="2">
        <f t="shared" si="35"/>
        <v>16515.03303989413</v>
      </c>
      <c r="AI99" s="2">
        <f t="shared" si="35"/>
        <v>16349.882709495188</v>
      </c>
      <c r="AJ99" s="2">
        <f t="shared" si="35"/>
        <v>16186.383882400236</v>
      </c>
      <c r="AK99" s="2">
        <f t="shared" si="35"/>
        <v>16024.520043576233</v>
      </c>
      <c r="AL99" s="2">
        <f t="shared" si="35"/>
        <v>15864.274843140471</v>
      </c>
      <c r="AM99" s="2">
        <f t="shared" si="35"/>
        <v>15705.632094709066</v>
      </c>
      <c r="AN99" s="2">
        <f t="shared" si="35"/>
        <v>15548.575773761975</v>
      </c>
      <c r="AO99" s="2">
        <f t="shared" si="35"/>
        <v>15393.090016024355</v>
      </c>
      <c r="AP99" s="2">
        <f t="shared" si="35"/>
        <v>15239.159115864111</v>
      </c>
      <c r="AQ99" s="2">
        <f t="shared" si="35"/>
        <v>15086.76752470547</v>
      </c>
      <c r="AR99" s="2">
        <f t="shared" si="35"/>
        <v>14935.899849458416</v>
      </c>
      <c r="AS99" s="2">
        <f t="shared" si="35"/>
        <v>14786.540850963831</v>
      </c>
      <c r="AT99" s="2">
        <f t="shared" si="35"/>
        <v>14638.675442454192</v>
      </c>
      <c r="AU99" s="2">
        <f t="shared" si="35"/>
        <v>14492.28868802965</v>
      </c>
      <c r="AV99" s="2">
        <f t="shared" si="35"/>
        <v>14347.365801149354</v>
      </c>
      <c r="AW99" s="2">
        <f t="shared" si="35"/>
        <v>14203.89214313786</v>
      </c>
      <c r="AX99" s="2">
        <f t="shared" si="35"/>
        <v>14061.853221706482</v>
      </c>
      <c r="AY99" s="2">
        <f t="shared" si="35"/>
        <v>13921.234689489418</v>
      </c>
      <c r="AZ99" s="2">
        <f t="shared" si="35"/>
        <v>13782.022342594524</v>
      </c>
      <c r="BA99" s="2">
        <f t="shared" si="35"/>
        <v>13644.202119168578</v>
      </c>
      <c r="BB99" s="2">
        <f t="shared" si="35"/>
        <v>13507.760097976892</v>
      </c>
      <c r="BC99" s="2">
        <f t="shared" si="35"/>
        <v>13372.682496997124</v>
      </c>
      <c r="BD99" s="2">
        <f t="shared" si="35"/>
        <v>13238.955672027152</v>
      </c>
      <c r="BE99" s="2">
        <f t="shared" si="35"/>
        <v>13106.566115306881</v>
      </c>
      <c r="BF99" s="2">
        <f t="shared" si="35"/>
        <v>12975.500454153813</v>
      </c>
      <c r="BG99" s="2">
        <f t="shared" si="35"/>
        <v>12845.745449612275</v>
      </c>
      <c r="BH99" s="2">
        <f t="shared" si="35"/>
        <v>12717.287995116152</v>
      </c>
      <c r="BI99" s="2">
        <f t="shared" si="35"/>
        <v>12590.11511516499</v>
      </c>
      <c r="BJ99" s="2">
        <f t="shared" si="35"/>
        <v>12464.213964013341</v>
      </c>
      <c r="BK99" s="2">
        <f t="shared" si="35"/>
        <v>12339.571824373208</v>
      </c>
      <c r="BL99" s="2">
        <f t="shared" si="35"/>
        <v>12216.176106129476</v>
      </c>
      <c r="BM99" s="2">
        <f t="shared" si="35"/>
        <v>12094.014345068181</v>
      </c>
      <c r="BN99" s="2">
        <f t="shared" si="35"/>
        <v>11973.074201617499</v>
      </c>
      <c r="BO99" s="2">
        <f t="shared" si="35"/>
        <v>11853.343459601325</v>
      </c>
      <c r="BP99" s="2">
        <f t="shared" si="35"/>
        <v>11734.810025005312</v>
      </c>
      <c r="BQ99" s="2">
        <f t="shared" si="35"/>
        <v>11617.461924755258</v>
      </c>
      <c r="BR99" s="2">
        <f t="shared" si="35"/>
        <v>11501.287305507705</v>
      </c>
      <c r="BS99" s="2">
        <f t="shared" si="35"/>
        <v>11386.274432452628</v>
      </c>
      <c r="BT99" s="2">
        <f t="shared" si="35"/>
        <v>11272.411688128102</v>
      </c>
      <c r="BU99" s="2">
        <f t="shared" si="35"/>
        <v>11159.687571246821</v>
      </c>
      <c r="BV99" s="2">
        <f t="shared" si="35"/>
        <v>11048.090695534353</v>
      </c>
      <c r="BW99" s="2">
        <f t="shared" si="35"/>
        <v>10937.60978857901</v>
      </c>
      <c r="BX99" s="2">
        <f t="shared" si="35"/>
        <v>10828.23369069322</v>
      </c>
      <c r="BY99" s="2">
        <f t="shared" si="35"/>
        <v>10719.951353786288</v>
      </c>
      <c r="BZ99" s="2">
        <f t="shared" si="35"/>
        <v>10612.751840248424</v>
      </c>
      <c r="CA99" s="2">
        <f t="shared" si="35"/>
        <v>10506.62432184594</v>
      </c>
      <c r="CB99" s="2">
        <f t="shared" si="35"/>
        <v>10401.55807862748</v>
      </c>
      <c r="CC99" s="2">
        <f t="shared" si="35"/>
        <v>10297.542497841205</v>
      </c>
      <c r="CD99" s="2">
        <f t="shared" si="35"/>
        <v>10194.567072862792</v>
      </c>
      <c r="CE99" s="2">
        <f t="shared" si="35"/>
        <v>10092.621402134164</v>
      </c>
      <c r="CF99" s="2">
        <f t="shared" si="35"/>
        <v>9991.6951881128225</v>
      </c>
      <c r="CG99" s="2">
        <f t="shared" si="35"/>
        <v>9891.7782362316939</v>
      </c>
      <c r="CH99" s="2">
        <f t="shared" ref="CH99:DR99" si="36">CG99*(1+$W$65)</f>
        <v>9792.8604538693762</v>
      </c>
      <c r="CI99" s="2">
        <f t="shared" si="36"/>
        <v>9694.9318493306819</v>
      </c>
      <c r="CJ99" s="2">
        <f t="shared" si="36"/>
        <v>9597.9825308373747</v>
      </c>
      <c r="CK99" s="2">
        <f t="shared" si="36"/>
        <v>9502.0027055290011</v>
      </c>
      <c r="CL99" s="2">
        <f t="shared" si="36"/>
        <v>9406.9826784737106</v>
      </c>
      <c r="CM99" s="2">
        <f t="shared" si="36"/>
        <v>9312.9128516889741</v>
      </c>
      <c r="CN99" s="2">
        <f t="shared" si="36"/>
        <v>9219.7837231720841</v>
      </c>
      <c r="CO99" s="2">
        <f t="shared" si="36"/>
        <v>9127.5858859403634</v>
      </c>
      <c r="CP99" s="2">
        <f t="shared" si="36"/>
        <v>9036.3100270809591</v>
      </c>
      <c r="CQ99" s="2">
        <f t="shared" si="36"/>
        <v>8945.9469268101493</v>
      </c>
      <c r="CR99" s="2">
        <f t="shared" si="36"/>
        <v>8856.4874575420472</v>
      </c>
      <c r="CS99" s="2">
        <f t="shared" si="36"/>
        <v>8767.9225829666266</v>
      </c>
      <c r="CT99" s="2">
        <f t="shared" si="36"/>
        <v>8680.2433571369602</v>
      </c>
      <c r="CU99" s="2">
        <f t="shared" si="36"/>
        <v>8593.4409235655912</v>
      </c>
      <c r="CV99" s="2">
        <f t="shared" si="36"/>
        <v>8507.5065143299344</v>
      </c>
      <c r="CW99" s="2">
        <f t="shared" si="36"/>
        <v>8422.4314491866353</v>
      </c>
      <c r="CX99" s="2">
        <f t="shared" si="36"/>
        <v>8338.2071346947687</v>
      </c>
      <c r="CY99" s="2">
        <f t="shared" si="36"/>
        <v>8254.8250633478201</v>
      </c>
      <c r="CZ99" s="2">
        <f t="shared" si="36"/>
        <v>8172.2768127143418</v>
      </c>
      <c r="DA99" s="2">
        <f t="shared" si="36"/>
        <v>8090.5540445871984</v>
      </c>
      <c r="DB99" s="2">
        <f t="shared" si="36"/>
        <v>8009.6485041413262</v>
      </c>
      <c r="DC99" s="2">
        <f t="shared" si="36"/>
        <v>7929.5520190999132</v>
      </c>
      <c r="DD99" s="2">
        <f t="shared" si="36"/>
        <v>7850.2564989089142</v>
      </c>
      <c r="DE99" s="2">
        <f t="shared" si="36"/>
        <v>7771.7539339198247</v>
      </c>
      <c r="DF99" s="2">
        <f t="shared" si="36"/>
        <v>7694.0363945806266</v>
      </c>
      <c r="DG99" s="2">
        <f t="shared" si="36"/>
        <v>7617.0960306348206</v>
      </c>
      <c r="DH99" s="2">
        <f t="shared" si="36"/>
        <v>7540.9250703284724</v>
      </c>
      <c r="DI99" s="2">
        <f t="shared" si="36"/>
        <v>7465.5158196251878</v>
      </c>
      <c r="DJ99" s="2">
        <f t="shared" si="36"/>
        <v>7390.8606614289356</v>
      </c>
      <c r="DK99" s="2">
        <f t="shared" si="36"/>
        <v>7316.9520548146465</v>
      </c>
      <c r="DL99" s="2">
        <f t="shared" si="36"/>
        <v>7243.7825342665001</v>
      </c>
      <c r="DM99" s="2">
        <f t="shared" si="36"/>
        <v>7171.3447089238352</v>
      </c>
      <c r="DN99" s="2">
        <f t="shared" si="36"/>
        <v>7099.6312618345964</v>
      </c>
      <c r="DO99" s="2">
        <f t="shared" si="36"/>
        <v>7028.6349492162508</v>
      </c>
      <c r="DP99" s="2">
        <f t="shared" si="36"/>
        <v>6958.3485997240887</v>
      </c>
      <c r="DQ99" s="2">
        <f t="shared" si="36"/>
        <v>6888.7651137268476</v>
      </c>
      <c r="DR99" s="2">
        <f t="shared" si="36"/>
        <v>6819.8774625895794</v>
      </c>
    </row>
    <row r="101" spans="2:122" x14ac:dyDescent="0.2">
      <c r="B101" s="2" t="s">
        <v>67</v>
      </c>
      <c r="L101" s="5">
        <f>L99/L47</f>
        <v>0.2572868791697554</v>
      </c>
      <c r="M101" s="5">
        <f t="shared" ref="M101:N101" si="37">M99/M47</f>
        <v>8.048157974275448E-2</v>
      </c>
      <c r="N101" s="5">
        <f t="shared" si="37"/>
        <v>0.15457274427522907</v>
      </c>
      <c r="O101" s="5">
        <v>0.25</v>
      </c>
      <c r="P101" s="5">
        <v>0.25</v>
      </c>
      <c r="Q101" s="5">
        <v>0.25</v>
      </c>
      <c r="R101" s="5">
        <v>0.25</v>
      </c>
      <c r="S101" s="5">
        <v>0.25</v>
      </c>
      <c r="T101" s="5">
        <v>0.25</v>
      </c>
    </row>
    <row r="102" spans="2:122" x14ac:dyDescent="0.2">
      <c r="M102" s="5"/>
      <c r="V102" s="2" t="s">
        <v>41</v>
      </c>
      <c r="W102" s="5">
        <v>0.02</v>
      </c>
    </row>
    <row r="103" spans="2:122" x14ac:dyDescent="0.2">
      <c r="V103" s="2" t="s">
        <v>44</v>
      </c>
      <c r="W103" s="5">
        <v>-0.01</v>
      </c>
    </row>
    <row r="104" spans="2:122" x14ac:dyDescent="0.2">
      <c r="V104" s="2" t="s">
        <v>42</v>
      </c>
      <c r="W104" s="5">
        <v>0.08</v>
      </c>
    </row>
    <row r="105" spans="2:122" x14ac:dyDescent="0.2">
      <c r="V105" s="2" t="s">
        <v>43</v>
      </c>
      <c r="W105" s="3">
        <f>NPV(W104,O99:DR99)+Main!K5-Main!K6</f>
        <v>160586.80042392452</v>
      </c>
    </row>
    <row r="106" spans="2:122" x14ac:dyDescent="0.2">
      <c r="V106" s="2" t="s">
        <v>45</v>
      </c>
      <c r="W106" s="1">
        <f>W105/Main!K3</f>
        <v>28.245641832413472</v>
      </c>
    </row>
    <row r="107" spans="2:122" x14ac:dyDescent="0.2">
      <c r="W107" s="5">
        <f>W106/Main!K2-1</f>
        <v>0.20966346177359618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8D096-8E92-4CC1-8315-BCC48286D919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2025-06-09T04:48:16Z</dcterms:created>
  <dcterms:modified xsi:type="dcterms:W3CDTF">2025-06-12T22:38:26Z</dcterms:modified>
</cp:coreProperties>
</file>