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7sher\OneDrive\Desktop\models\"/>
    </mc:Choice>
  </mc:AlternateContent>
  <xr:revisionPtr revIDLastSave="0" documentId="13_ncr:1_{35AEFEB3-58F9-41BC-8F16-E040B6878750}" xr6:coauthVersionLast="47" xr6:coauthVersionMax="47" xr10:uidLastSave="{00000000-0000-0000-0000-000000000000}"/>
  <bookViews>
    <workbookView xWindow="390" yWindow="390" windowWidth="21945" windowHeight="14610" activeTab="1" xr2:uid="{48687CDE-C838-4D92-92A6-E2D215D3B2F4}"/>
  </bookViews>
  <sheets>
    <sheet name="main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" i="2" l="1"/>
  <c r="N2" i="2"/>
  <c r="O2" i="2"/>
  <c r="L2" i="2"/>
  <c r="L25" i="2"/>
  <c r="K25" i="2"/>
  <c r="K26" i="2"/>
  <c r="K6" i="2"/>
  <c r="L6" i="2" s="1"/>
  <c r="M6" i="2" s="1"/>
  <c r="N6" i="2" s="1"/>
  <c r="O6" i="2" s="1"/>
  <c r="K7" i="2"/>
  <c r="L7" i="2" s="1"/>
  <c r="M7" i="2" s="1"/>
  <c r="N7" i="2" s="1"/>
  <c r="O7" i="2" s="1"/>
  <c r="K5" i="2"/>
  <c r="L5" i="2" s="1"/>
  <c r="M5" i="2" s="1"/>
  <c r="N5" i="2" s="1"/>
  <c r="O5" i="2" s="1"/>
  <c r="J27" i="2"/>
  <c r="J29" i="2" s="1"/>
  <c r="K2" i="2"/>
  <c r="J32" i="2"/>
  <c r="J30" i="2" s="1"/>
  <c r="K10" i="2" s="1"/>
  <c r="I27" i="2"/>
  <c r="I22" i="2" s="1"/>
  <c r="H27" i="2"/>
  <c r="H22" i="2" s="1"/>
  <c r="F27" i="2"/>
  <c r="B27" i="2"/>
  <c r="C27" i="2"/>
  <c r="D27" i="2"/>
  <c r="E27" i="2"/>
  <c r="I8" i="2"/>
  <c r="I23" i="2" s="1"/>
  <c r="J8" i="2"/>
  <c r="H8" i="2"/>
  <c r="H23" i="2" s="1"/>
  <c r="C8" i="2"/>
  <c r="D8" i="2"/>
  <c r="E8" i="2"/>
  <c r="F8" i="2"/>
  <c r="B8" i="2"/>
  <c r="B4" i="2"/>
  <c r="B20" i="2" s="1"/>
  <c r="C4" i="2"/>
  <c r="C20" i="2" s="1"/>
  <c r="D4" i="2"/>
  <c r="D20" i="2" s="1"/>
  <c r="I4" i="2"/>
  <c r="I20" i="2" s="1"/>
  <c r="J4" i="2"/>
  <c r="J20" i="2" s="1"/>
  <c r="K20" i="2" s="1"/>
  <c r="L20" i="2" s="1"/>
  <c r="M20" i="2" s="1"/>
  <c r="N20" i="2" s="1"/>
  <c r="O20" i="2" s="1"/>
  <c r="H4" i="2"/>
  <c r="E4" i="2"/>
  <c r="O5" i="1"/>
  <c r="J18" i="2"/>
  <c r="I18" i="2"/>
  <c r="I1" i="2"/>
  <c r="H1" i="2" s="1"/>
  <c r="K1" i="2"/>
  <c r="L1" i="2" s="1"/>
  <c r="M1" i="2" s="1"/>
  <c r="N1" i="2" s="1"/>
  <c r="O1" i="2" s="1"/>
  <c r="O4" i="1"/>
  <c r="O26" i="2" l="1"/>
  <c r="M25" i="2"/>
  <c r="O25" i="2"/>
  <c r="N25" i="2"/>
  <c r="N26" i="2"/>
  <c r="M26" i="2"/>
  <c r="L26" i="2"/>
  <c r="K27" i="2"/>
  <c r="J9" i="2"/>
  <c r="J23" i="2"/>
  <c r="K23" i="2" s="1"/>
  <c r="H9" i="2"/>
  <c r="I9" i="2"/>
  <c r="I12" i="2" s="1"/>
  <c r="H21" i="2"/>
  <c r="H12" i="2"/>
  <c r="J21" i="2"/>
  <c r="J12" i="2"/>
  <c r="O7" i="1"/>
  <c r="J22" i="2"/>
  <c r="K22" i="2" s="1"/>
  <c r="D12" i="2"/>
  <c r="D14" i="2" s="1"/>
  <c r="K3" i="2"/>
  <c r="K4" i="2" s="1"/>
  <c r="E12" i="2"/>
  <c r="E14" i="2" s="1"/>
  <c r="B12" i="2"/>
  <c r="B14" i="2" s="1"/>
  <c r="C12" i="2"/>
  <c r="C14" i="2" s="1"/>
  <c r="H20" i="2"/>
  <c r="E20" i="2"/>
  <c r="K18" i="2"/>
  <c r="L18" i="2"/>
  <c r="K8" i="2" l="1"/>
  <c r="L23" i="2"/>
  <c r="I21" i="2"/>
  <c r="L27" i="2"/>
  <c r="L22" i="2"/>
  <c r="L3" i="2"/>
  <c r="L4" i="2" s="1"/>
  <c r="M3" i="2"/>
  <c r="J14" i="2"/>
  <c r="J16" i="2" s="1"/>
  <c r="M27" i="2" l="1"/>
  <c r="M23" i="2"/>
  <c r="L8" i="2"/>
  <c r="M22" i="2"/>
  <c r="N3" i="2"/>
  <c r="M4" i="2"/>
  <c r="M18" i="2"/>
  <c r="N23" i="2" l="1"/>
  <c r="M8" i="2"/>
  <c r="O27" i="2"/>
  <c r="N27" i="2"/>
  <c r="N22" i="2"/>
  <c r="O3" i="2"/>
  <c r="N4" i="2"/>
  <c r="N18" i="2"/>
  <c r="O23" i="2" l="1"/>
  <c r="O8" i="2" s="1"/>
  <c r="N8" i="2"/>
  <c r="O22" i="2"/>
  <c r="O4" i="2"/>
  <c r="O18" i="2"/>
  <c r="F3" i="2" l="1"/>
  <c r="F4" i="2"/>
  <c r="F12" i="2" s="1"/>
  <c r="F14" i="2" s="1"/>
  <c r="L9" i="2"/>
  <c r="L21" i="2" s="1"/>
  <c r="K9" i="2"/>
  <c r="K21" i="2" l="1"/>
  <c r="K12" i="2"/>
  <c r="M9" i="2"/>
  <c r="M21" i="2" s="1"/>
  <c r="N9" i="2"/>
  <c r="N21" i="2" s="1"/>
  <c r="O9" i="2"/>
  <c r="O21" i="2" s="1"/>
  <c r="K13" i="2" l="1"/>
  <c r="K14" i="2" s="1"/>
  <c r="K16" i="2" l="1"/>
  <c r="K30" i="2"/>
  <c r="K29" i="2"/>
  <c r="O8" i="1" s="1"/>
  <c r="L10" i="2"/>
  <c r="L12" i="2" s="1"/>
  <c r="L13" i="2" s="1"/>
  <c r="L14" i="2" l="1"/>
  <c r="L16" i="2" l="1"/>
  <c r="L30" i="2"/>
  <c r="L29" i="2" l="1"/>
  <c r="M10" i="2"/>
  <c r="M12" i="2" s="1"/>
  <c r="M13" i="2" s="1"/>
  <c r="M14" i="2" l="1"/>
  <c r="M16" i="2" l="1"/>
  <c r="M30" i="2"/>
  <c r="M29" i="2" l="1"/>
  <c r="N10" i="2"/>
  <c r="N12" i="2" s="1"/>
  <c r="N13" i="2" s="1"/>
  <c r="N14" i="2" l="1"/>
  <c r="N16" i="2" l="1"/>
  <c r="N30" i="2"/>
  <c r="N29" i="2" l="1"/>
  <c r="O10" i="2"/>
  <c r="O12" i="2" s="1"/>
  <c r="O13" i="2" s="1"/>
  <c r="O14" i="2" l="1"/>
  <c r="O16" i="2" l="1"/>
  <c r="P14" i="2"/>
  <c r="Q14" i="2" s="1"/>
  <c r="R14" i="2" s="1"/>
  <c r="S14" i="2" s="1"/>
  <c r="T14" i="2" s="1"/>
  <c r="U14" i="2" s="1"/>
  <c r="V14" i="2" s="1"/>
  <c r="W14" i="2" s="1"/>
  <c r="X14" i="2" s="1"/>
  <c r="Y14" i="2" s="1"/>
  <c r="Z14" i="2" s="1"/>
  <c r="AA14" i="2" s="1"/>
  <c r="AB14" i="2" s="1"/>
  <c r="AC14" i="2" s="1"/>
  <c r="AD14" i="2" s="1"/>
  <c r="AE14" i="2" s="1"/>
  <c r="AF14" i="2" s="1"/>
  <c r="AG14" i="2" s="1"/>
  <c r="AH14" i="2" s="1"/>
  <c r="AI14" i="2" s="1"/>
  <c r="AJ14" i="2" s="1"/>
  <c r="AK14" i="2" s="1"/>
  <c r="AL14" i="2" s="1"/>
  <c r="AM14" i="2" s="1"/>
  <c r="AN14" i="2" s="1"/>
  <c r="AO14" i="2" s="1"/>
  <c r="AP14" i="2" s="1"/>
  <c r="AQ14" i="2" s="1"/>
  <c r="AR14" i="2" s="1"/>
  <c r="AS14" i="2" s="1"/>
  <c r="AT14" i="2" s="1"/>
  <c r="AU14" i="2" s="1"/>
  <c r="AV14" i="2" s="1"/>
  <c r="AW14" i="2" s="1"/>
  <c r="AX14" i="2" s="1"/>
  <c r="AY14" i="2" s="1"/>
  <c r="AZ14" i="2" s="1"/>
  <c r="BA14" i="2" s="1"/>
  <c r="BB14" i="2" s="1"/>
  <c r="BC14" i="2" s="1"/>
  <c r="BD14" i="2" s="1"/>
  <c r="BE14" i="2" s="1"/>
  <c r="BF14" i="2" s="1"/>
  <c r="BG14" i="2" s="1"/>
  <c r="BH14" i="2" s="1"/>
  <c r="BI14" i="2" s="1"/>
  <c r="BJ14" i="2" s="1"/>
  <c r="BK14" i="2" s="1"/>
  <c r="BL14" i="2" s="1"/>
  <c r="BM14" i="2" s="1"/>
  <c r="BN14" i="2" s="1"/>
  <c r="BO14" i="2" s="1"/>
  <c r="BP14" i="2" s="1"/>
  <c r="BQ14" i="2" s="1"/>
  <c r="BR14" i="2" s="1"/>
  <c r="BS14" i="2" s="1"/>
  <c r="BT14" i="2" s="1"/>
  <c r="BU14" i="2" s="1"/>
  <c r="BV14" i="2" s="1"/>
  <c r="BW14" i="2" s="1"/>
  <c r="BX14" i="2" s="1"/>
  <c r="BY14" i="2" s="1"/>
  <c r="BZ14" i="2" s="1"/>
  <c r="CA14" i="2" s="1"/>
  <c r="CB14" i="2" s="1"/>
  <c r="CC14" i="2" s="1"/>
  <c r="CD14" i="2" s="1"/>
  <c r="CE14" i="2" s="1"/>
  <c r="CF14" i="2" s="1"/>
  <c r="CG14" i="2" s="1"/>
  <c r="CH14" i="2" s="1"/>
  <c r="CI14" i="2" s="1"/>
  <c r="CJ14" i="2" s="1"/>
  <c r="CK14" i="2" s="1"/>
  <c r="CL14" i="2" s="1"/>
  <c r="CM14" i="2" s="1"/>
  <c r="CN14" i="2" s="1"/>
  <c r="CO14" i="2" s="1"/>
  <c r="CP14" i="2" s="1"/>
  <c r="CQ14" i="2" s="1"/>
  <c r="CR14" i="2" s="1"/>
  <c r="CS14" i="2" s="1"/>
  <c r="CT14" i="2" s="1"/>
  <c r="CU14" i="2" s="1"/>
  <c r="CV14" i="2" s="1"/>
  <c r="CW14" i="2" s="1"/>
  <c r="CX14" i="2" s="1"/>
  <c r="CY14" i="2" s="1"/>
  <c r="CZ14" i="2" s="1"/>
  <c r="DA14" i="2" s="1"/>
  <c r="DB14" i="2" s="1"/>
  <c r="DC14" i="2" s="1"/>
  <c r="DD14" i="2" s="1"/>
  <c r="DE14" i="2" s="1"/>
  <c r="DF14" i="2" s="1"/>
  <c r="DG14" i="2" s="1"/>
  <c r="DH14" i="2" s="1"/>
  <c r="DI14" i="2" s="1"/>
  <c r="DJ14" i="2" s="1"/>
  <c r="DK14" i="2" s="1"/>
  <c r="DL14" i="2" s="1"/>
  <c r="DM14" i="2" s="1"/>
  <c r="DN14" i="2" s="1"/>
  <c r="DO14" i="2" s="1"/>
  <c r="DP14" i="2" s="1"/>
  <c r="DQ14" i="2" s="1"/>
  <c r="O30" i="2"/>
  <c r="P27" i="2" l="1"/>
  <c r="O29" i="2"/>
  <c r="Q27" i="2" l="1"/>
  <c r="R27" i="2" s="1"/>
  <c r="S27" i="2" s="1"/>
  <c r="T27" i="2" s="1"/>
  <c r="U27" i="2" s="1"/>
  <c r="V27" i="2" s="1"/>
  <c r="W27" i="2" s="1"/>
  <c r="X27" i="2" s="1"/>
  <c r="Y27" i="2" s="1"/>
  <c r="Z27" i="2" s="1"/>
  <c r="AA27" i="2" s="1"/>
  <c r="AB27" i="2" s="1"/>
  <c r="AC27" i="2" s="1"/>
  <c r="AD27" i="2" s="1"/>
  <c r="AE27" i="2" s="1"/>
  <c r="AF27" i="2" s="1"/>
  <c r="AG27" i="2" s="1"/>
  <c r="AH27" i="2" s="1"/>
  <c r="AI27" i="2" s="1"/>
  <c r="AJ27" i="2" s="1"/>
  <c r="AK27" i="2" s="1"/>
  <c r="AL27" i="2" s="1"/>
  <c r="AM27" i="2" s="1"/>
  <c r="AN27" i="2" s="1"/>
  <c r="AO27" i="2" s="1"/>
  <c r="AP27" i="2" s="1"/>
  <c r="AQ27" i="2" s="1"/>
  <c r="AR27" i="2" s="1"/>
  <c r="AS27" i="2" s="1"/>
  <c r="AT27" i="2" s="1"/>
  <c r="AU27" i="2" s="1"/>
  <c r="AV27" i="2" s="1"/>
  <c r="AW27" i="2" s="1"/>
  <c r="AX27" i="2" s="1"/>
  <c r="AY27" i="2" s="1"/>
  <c r="AZ27" i="2" s="1"/>
  <c r="BA27" i="2" s="1"/>
  <c r="BB27" i="2" s="1"/>
  <c r="BC27" i="2" s="1"/>
  <c r="BD27" i="2" s="1"/>
  <c r="BE27" i="2" s="1"/>
  <c r="BF27" i="2" s="1"/>
  <c r="BG27" i="2" s="1"/>
  <c r="BH27" i="2" s="1"/>
  <c r="BI27" i="2" s="1"/>
  <c r="BJ27" i="2" s="1"/>
  <c r="BK27" i="2" s="1"/>
  <c r="BL27" i="2" s="1"/>
  <c r="BM27" i="2" s="1"/>
  <c r="BN27" i="2" s="1"/>
  <c r="BO27" i="2" s="1"/>
  <c r="BP27" i="2" s="1"/>
  <c r="BQ27" i="2" s="1"/>
  <c r="BR27" i="2" s="1"/>
  <c r="BS27" i="2" s="1"/>
  <c r="BT27" i="2" s="1"/>
  <c r="BU27" i="2" s="1"/>
  <c r="BV27" i="2" s="1"/>
  <c r="BW27" i="2" s="1"/>
  <c r="BX27" i="2" s="1"/>
  <c r="BY27" i="2" s="1"/>
  <c r="BZ27" i="2" s="1"/>
  <c r="CA27" i="2" s="1"/>
  <c r="CB27" i="2" s="1"/>
  <c r="CC27" i="2" s="1"/>
  <c r="CD27" i="2" s="1"/>
  <c r="CE27" i="2" s="1"/>
  <c r="CF27" i="2" s="1"/>
  <c r="CG27" i="2" s="1"/>
  <c r="CH27" i="2" s="1"/>
  <c r="CI27" i="2" s="1"/>
  <c r="CJ27" i="2" s="1"/>
  <c r="CK27" i="2" s="1"/>
  <c r="CL27" i="2" s="1"/>
  <c r="CM27" i="2" s="1"/>
  <c r="CN27" i="2" s="1"/>
  <c r="CO27" i="2" s="1"/>
  <c r="CP27" i="2" s="1"/>
  <c r="CQ27" i="2" s="1"/>
  <c r="CR27" i="2" s="1"/>
  <c r="CS27" i="2" s="1"/>
  <c r="CT27" i="2" s="1"/>
  <c r="CU27" i="2" s="1"/>
  <c r="CV27" i="2" s="1"/>
  <c r="CW27" i="2" s="1"/>
  <c r="CX27" i="2" s="1"/>
  <c r="CY27" i="2" s="1"/>
  <c r="CZ27" i="2" s="1"/>
  <c r="DA27" i="2" s="1"/>
  <c r="DB27" i="2" s="1"/>
  <c r="DC27" i="2" s="1"/>
  <c r="DD27" i="2" s="1"/>
  <c r="DE27" i="2" s="1"/>
  <c r="DF27" i="2" s="1"/>
  <c r="DG27" i="2" s="1"/>
  <c r="DH27" i="2" s="1"/>
  <c r="DI27" i="2" s="1"/>
  <c r="DJ27" i="2" s="1"/>
  <c r="DK27" i="2" s="1"/>
  <c r="DL27" i="2" s="1"/>
  <c r="DM27" i="2" s="1"/>
  <c r="DN27" i="2" s="1"/>
  <c r="DO27" i="2" s="1"/>
  <c r="DP27" i="2" s="1"/>
  <c r="DQ27" i="2" s="1"/>
  <c r="DR27" i="2" s="1"/>
  <c r="DS27" i="2" s="1"/>
  <c r="DT27" i="2" s="1"/>
  <c r="DU27" i="2" s="1"/>
  <c r="DV27" i="2" s="1"/>
  <c r="DW27" i="2" s="1"/>
  <c r="DX27" i="2" s="1"/>
  <c r="DY27" i="2" s="1"/>
  <c r="DZ27" i="2" s="1"/>
  <c r="EA27" i="2" s="1"/>
  <c r="EB27" i="2" s="1"/>
  <c r="EC27" i="2" s="1"/>
  <c r="ED27" i="2" s="1"/>
  <c r="EE27" i="2" s="1"/>
  <c r="EF27" i="2" s="1"/>
  <c r="EG27" i="2" s="1"/>
  <c r="EH27" i="2" s="1"/>
  <c r="EI27" i="2" s="1"/>
  <c r="EJ27" i="2" s="1"/>
  <c r="EK27" i="2" s="1"/>
  <c r="EL27" i="2" s="1"/>
  <c r="EM27" i="2" s="1"/>
  <c r="EN27" i="2" s="1"/>
  <c r="EO27" i="2" s="1"/>
  <c r="EP27" i="2" s="1"/>
  <c r="EQ27" i="2" s="1"/>
  <c r="R33" i="2" l="1"/>
  <c r="R34" i="2" s="1"/>
  <c r="R35" i="2" s="1"/>
</calcChain>
</file>

<file path=xl/sharedStrings.xml><?xml version="1.0" encoding="utf-8"?>
<sst xmlns="http://schemas.openxmlformats.org/spreadsheetml/2006/main" count="49" uniqueCount="42">
  <si>
    <t>Price</t>
  </si>
  <si>
    <t>Shares</t>
  </si>
  <si>
    <t>MC</t>
  </si>
  <si>
    <t>Cash</t>
  </si>
  <si>
    <t>Debt</t>
  </si>
  <si>
    <t>EV</t>
  </si>
  <si>
    <t>FCF</t>
  </si>
  <si>
    <t>Revenue</t>
  </si>
  <si>
    <t>Net Income</t>
  </si>
  <si>
    <t>Gross Margin</t>
  </si>
  <si>
    <t>CFFO</t>
  </si>
  <si>
    <t>Q124</t>
  </si>
  <si>
    <t>Q224</t>
  </si>
  <si>
    <t>Q324</t>
  </si>
  <si>
    <t>Q424</t>
  </si>
  <si>
    <t>Q125</t>
  </si>
  <si>
    <t>Maturity</t>
  </si>
  <si>
    <t>Discount</t>
  </si>
  <si>
    <t>NPV</t>
  </si>
  <si>
    <t>Diff</t>
  </si>
  <si>
    <t>Pretax Income</t>
  </si>
  <si>
    <t>Tax</t>
  </si>
  <si>
    <t>MAU</t>
  </si>
  <si>
    <t>COGS</t>
  </si>
  <si>
    <t>R&amp;D</t>
  </si>
  <si>
    <t>S&amp;M</t>
  </si>
  <si>
    <t>G&amp;A</t>
  </si>
  <si>
    <t>OPEX</t>
  </si>
  <si>
    <t>Other Income</t>
  </si>
  <si>
    <t>Gross Profit</t>
  </si>
  <si>
    <t>Interest</t>
  </si>
  <si>
    <t>CX</t>
  </si>
  <si>
    <t>Net Cash</t>
  </si>
  <si>
    <t>ROIC</t>
  </si>
  <si>
    <t>EPS</t>
  </si>
  <si>
    <t>PE</t>
  </si>
  <si>
    <t>FCF Margin</t>
  </si>
  <si>
    <t>Operating Margin</t>
  </si>
  <si>
    <t>Operating Income</t>
  </si>
  <si>
    <t>OPEX Margin</t>
  </si>
  <si>
    <t>Revenue y/y</t>
  </si>
  <si>
    <t>Is their AI going to return enough at a low enough expense to justify the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</si>
</sst>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3" fontId="1" fillId="0" borderId="0" xfId="0" applyNumberFormat="1" applyFont="1"/>
    <xf numFmtId="1" fontId="1" fillId="0" borderId="0" xfId="0" applyNumberFormat="1" applyFont="1"/>
    <xf numFmtId="3" fontId="2" fillId="0" borderId="0" xfId="0" applyNumberFormat="1" applyFont="1"/>
    <xf numFmtId="4" fontId="1" fillId="0" borderId="0" xfId="0" applyNumberFormat="1" applyFont="1"/>
    <xf numFmtId="9" fontId="1" fillId="0" borderId="0" xfId="0" applyNumberFormat="1" applyFont="1"/>
    <xf numFmtId="9" fontId="2" fillId="0" borderId="0" xfId="0" applyNumberFormat="1" applyFont="1"/>
    <xf numFmtId="164" fontId="1" fillId="0" borderId="0" xfId="0" applyNumberFormat="1" applyFont="1"/>
    <xf numFmtId="10" fontId="1" fillId="0" borderId="0" xfId="0" applyNumberFormat="1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0</xdr:row>
      <xdr:rowOff>0</xdr:rowOff>
    </xdr:from>
    <xdr:to>
      <xdr:col>10</xdr:col>
      <xdr:colOff>19050</xdr:colOff>
      <xdr:row>44</xdr:row>
      <xdr:rowOff>180975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840F20E6-FE19-897D-49EA-F937B6646118}"/>
            </a:ext>
          </a:extLst>
        </xdr:cNvPr>
        <xdr:cNvCxnSpPr/>
      </xdr:nvCxnSpPr>
      <xdr:spPr>
        <a:xfrm flipH="1">
          <a:off x="6096000" y="0"/>
          <a:ext cx="19050" cy="5514975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600075</xdr:colOff>
      <xdr:row>0</xdr:row>
      <xdr:rowOff>9525</xdr:rowOff>
    </xdr:from>
    <xdr:to>
      <xdr:col>5</xdr:col>
      <xdr:colOff>0</xdr:colOff>
      <xdr:row>44</xdr:row>
      <xdr:rowOff>161925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A586A3CB-0BEC-9DEB-5BD0-735C76F36144}"/>
            </a:ext>
          </a:extLst>
        </xdr:cNvPr>
        <xdr:cNvCxnSpPr/>
      </xdr:nvCxnSpPr>
      <xdr:spPr>
        <a:xfrm>
          <a:off x="3038475" y="9525"/>
          <a:ext cx="9525" cy="548640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DAB11-F388-4BB8-9EB8-C99DB9269CC8}">
  <dimension ref="A1:P24"/>
  <sheetViews>
    <sheetView zoomScale="115" zoomScaleNormal="115" workbookViewId="0">
      <selection activeCell="O6" sqref="O6"/>
    </sheetView>
  </sheetViews>
  <sheetFormatPr defaultRowHeight="12.75" x14ac:dyDescent="0.2"/>
  <cols>
    <col min="1" max="16384" width="9.140625" style="10"/>
  </cols>
  <sheetData>
    <row r="1" spans="1:16" x14ac:dyDescent="0.2">
      <c r="A1" s="9"/>
    </row>
    <row r="2" spans="1:16" x14ac:dyDescent="0.2">
      <c r="N2" s="10" t="s">
        <v>0</v>
      </c>
      <c r="O2" s="4">
        <v>32</v>
      </c>
    </row>
    <row r="3" spans="1:16" x14ac:dyDescent="0.2">
      <c r="B3" s="10" t="s">
        <v>41</v>
      </c>
      <c r="N3" s="10" t="s">
        <v>1</v>
      </c>
      <c r="O3" s="1">
        <v>678.24</v>
      </c>
      <c r="P3" s="10" t="s">
        <v>14</v>
      </c>
    </row>
    <row r="4" spans="1:16" x14ac:dyDescent="0.2">
      <c r="N4" s="10" t="s">
        <v>2</v>
      </c>
      <c r="O4" s="1">
        <f>O3*O2</f>
        <v>21703.68</v>
      </c>
    </row>
    <row r="5" spans="1:16" x14ac:dyDescent="0.2">
      <c r="N5" s="10" t="s">
        <v>3</v>
      </c>
      <c r="O5" s="1">
        <f>1136.4+1376.4</f>
        <v>2512.8000000000002</v>
      </c>
      <c r="P5" s="10" t="s">
        <v>14</v>
      </c>
    </row>
    <row r="6" spans="1:16" x14ac:dyDescent="0.2">
      <c r="N6" s="10" t="s">
        <v>4</v>
      </c>
      <c r="O6" s="1">
        <v>0</v>
      </c>
      <c r="P6" s="10" t="s">
        <v>14</v>
      </c>
    </row>
    <row r="7" spans="1:16" x14ac:dyDescent="0.2">
      <c r="N7" s="10" t="s">
        <v>5</v>
      </c>
      <c r="O7" s="1">
        <f>O4+O6-O5</f>
        <v>19190.88</v>
      </c>
    </row>
    <row r="8" spans="1:16" x14ac:dyDescent="0.2">
      <c r="N8" s="10" t="s">
        <v>35</v>
      </c>
      <c r="O8" s="10">
        <f>O2/model!K29</f>
        <v>15.685737144393444</v>
      </c>
    </row>
    <row r="22" spans="4:5" x14ac:dyDescent="0.2">
      <c r="D22" s="1"/>
      <c r="E22" s="4"/>
    </row>
    <row r="23" spans="4:5" x14ac:dyDescent="0.2">
      <c r="E23" s="4"/>
    </row>
    <row r="24" spans="4:5" x14ac:dyDescent="0.2">
      <c r="E24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6302D-E6E4-44F9-948E-28184C84453C}">
  <dimension ref="A1:EQ36"/>
  <sheetViews>
    <sheetView tabSelected="1" zoomScale="130" zoomScaleNormal="130" workbookViewId="0">
      <pane xSplit="1" ySplit="1" topLeftCell="H8" activePane="bottomRight" state="frozen"/>
      <selection pane="topRight" activeCell="B1" sqref="B1"/>
      <selection pane="bottomLeft" activeCell="A2" sqref="A2"/>
      <selection pane="bottomRight" activeCell="Q32" sqref="Q32"/>
    </sheetView>
  </sheetViews>
  <sheetFormatPr defaultRowHeight="12.75" x14ac:dyDescent="0.2"/>
  <cols>
    <col min="1" max="1" width="15.85546875" style="1" customWidth="1"/>
    <col min="2" max="16" width="9.140625" style="1"/>
    <col min="17" max="17" width="10.85546875" style="1" bestFit="1" customWidth="1"/>
    <col min="18" max="16384" width="9.140625" style="1"/>
  </cols>
  <sheetData>
    <row r="1" spans="1:121" x14ac:dyDescent="0.2"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H1" s="2">
        <f>I1-1</f>
        <v>2022</v>
      </c>
      <c r="I1" s="2">
        <f>J1-1</f>
        <v>2023</v>
      </c>
      <c r="J1" s="2">
        <v>2024</v>
      </c>
      <c r="K1" s="2">
        <f>J1+1</f>
        <v>2025</v>
      </c>
      <c r="L1" s="2">
        <f t="shared" ref="L1:O1" si="0">K1+1</f>
        <v>2026</v>
      </c>
      <c r="M1" s="2">
        <f t="shared" si="0"/>
        <v>2027</v>
      </c>
      <c r="N1" s="2">
        <f t="shared" si="0"/>
        <v>2028</v>
      </c>
      <c r="O1" s="2">
        <f t="shared" si="0"/>
        <v>2029</v>
      </c>
    </row>
    <row r="2" spans="1:121" x14ac:dyDescent="0.2">
      <c r="A2" s="3" t="s">
        <v>7</v>
      </c>
      <c r="B2" s="3"/>
      <c r="C2" s="3"/>
      <c r="D2" s="3"/>
      <c r="E2" s="3">
        <v>1154</v>
      </c>
      <c r="F2" s="3">
        <v>850</v>
      </c>
      <c r="G2" s="3"/>
      <c r="H2" s="3">
        <v>2802</v>
      </c>
      <c r="I2" s="3">
        <v>3055</v>
      </c>
      <c r="J2" s="3">
        <v>3646</v>
      </c>
      <c r="K2" s="3">
        <f>J2*1.15</f>
        <v>4192.8999999999996</v>
      </c>
      <c r="L2" s="3">
        <f>K2*1.11</f>
        <v>4654.1189999999997</v>
      </c>
      <c r="M2" s="3">
        <f t="shared" ref="M2:O2" si="1">L2*1.11</f>
        <v>5166.0720899999997</v>
      </c>
      <c r="N2" s="3">
        <f t="shared" si="1"/>
        <v>5734.3400198999998</v>
      </c>
      <c r="O2" s="3">
        <f t="shared" si="1"/>
        <v>6365.1174220890007</v>
      </c>
    </row>
    <row r="3" spans="1:121" x14ac:dyDescent="0.2">
      <c r="A3" s="1" t="s">
        <v>23</v>
      </c>
      <c r="E3" s="1">
        <v>196.9</v>
      </c>
      <c r="F3" s="1">
        <f>E3*F20</f>
        <v>163.42699999999999</v>
      </c>
      <c r="G3" s="5"/>
      <c r="H3" s="5"/>
      <c r="I3" s="1">
        <v>688.76</v>
      </c>
      <c r="J3" s="1">
        <v>750.35500000000002</v>
      </c>
      <c r="K3" s="1">
        <f>K2*(1-K20)</f>
        <v>829.60833249999973</v>
      </c>
      <c r="L3" s="1">
        <f>L2*(1-L20)</f>
        <v>883.53271156574988</v>
      </c>
      <c r="M3" s="1">
        <f>M2*(1-M20)</f>
        <v>938.86780203636226</v>
      </c>
      <c r="N3" s="1">
        <f>N2*(1-N20)</f>
        <v>995.22129266396541</v>
      </c>
      <c r="O3" s="1">
        <f>O2*(1-O20)</f>
        <v>1052.0914169846819</v>
      </c>
    </row>
    <row r="4" spans="1:121" x14ac:dyDescent="0.2">
      <c r="A4" s="1" t="s">
        <v>29</v>
      </c>
      <c r="B4" s="1">
        <f>B2-B3</f>
        <v>0</v>
      </c>
      <c r="C4" s="1">
        <f>C2-C3</f>
        <v>0</v>
      </c>
      <c r="D4" s="1">
        <f>D2-D3</f>
        <v>0</v>
      </c>
      <c r="E4" s="1">
        <f>E2-E3</f>
        <v>957.1</v>
      </c>
      <c r="F4" s="1">
        <f>F2-F3</f>
        <v>686.57299999999998</v>
      </c>
      <c r="H4" s="1">
        <f>H2-H3</f>
        <v>2802</v>
      </c>
      <c r="I4" s="1">
        <f t="shared" ref="I4:O4" si="2">I2-I3</f>
        <v>2366.2399999999998</v>
      </c>
      <c r="J4" s="1">
        <f t="shared" si="2"/>
        <v>2895.645</v>
      </c>
      <c r="K4" s="1">
        <f t="shared" si="2"/>
        <v>3363.2916674999997</v>
      </c>
      <c r="L4" s="1">
        <f t="shared" si="2"/>
        <v>3770.5862884342496</v>
      </c>
      <c r="M4" s="1">
        <f t="shared" si="2"/>
        <v>4227.2042879636374</v>
      </c>
      <c r="N4" s="1">
        <f t="shared" si="2"/>
        <v>4739.1187272360348</v>
      </c>
      <c r="O4" s="1">
        <f t="shared" si="2"/>
        <v>5313.0260051043188</v>
      </c>
    </row>
    <row r="5" spans="1:121" x14ac:dyDescent="0.2">
      <c r="A5" s="1" t="s">
        <v>24</v>
      </c>
      <c r="E5" s="1">
        <v>320.7</v>
      </c>
      <c r="I5" s="1">
        <v>1068.4000000000001</v>
      </c>
      <c r="J5" s="1">
        <v>1240.5640000000001</v>
      </c>
      <c r="K5" s="1">
        <f>J5*1.05</f>
        <v>1302.5922</v>
      </c>
      <c r="L5" s="1">
        <f t="shared" ref="L5:O5" si="3">K5*1.05</f>
        <v>1367.72181</v>
      </c>
      <c r="M5" s="1">
        <f t="shared" si="3"/>
        <v>1436.1079005000001</v>
      </c>
      <c r="N5" s="1">
        <f t="shared" si="3"/>
        <v>1507.9132955250002</v>
      </c>
      <c r="O5" s="1">
        <f t="shared" si="3"/>
        <v>1583.3089603012502</v>
      </c>
    </row>
    <row r="6" spans="1:121" x14ac:dyDescent="0.2">
      <c r="A6" s="1" t="s">
        <v>25</v>
      </c>
      <c r="E6" s="1">
        <v>271.10000000000002</v>
      </c>
      <c r="I6" s="1">
        <v>911.1</v>
      </c>
      <c r="J6" s="1">
        <v>1011.772</v>
      </c>
      <c r="K6" s="1">
        <f>J6*1.05</f>
        <v>1062.3606000000002</v>
      </c>
      <c r="L6" s="1">
        <f t="shared" ref="L6:O6" si="4">K6*1.05</f>
        <v>1115.4786300000003</v>
      </c>
      <c r="M6" s="1">
        <f t="shared" si="4"/>
        <v>1171.2525615000004</v>
      </c>
      <c r="N6" s="1">
        <f t="shared" si="4"/>
        <v>1229.8151895750004</v>
      </c>
      <c r="O6" s="1">
        <f t="shared" si="4"/>
        <v>1291.3059490537505</v>
      </c>
    </row>
    <row r="7" spans="1:121" x14ac:dyDescent="0.2">
      <c r="A7" s="1" t="s">
        <v>26</v>
      </c>
      <c r="E7" s="1">
        <v>103.7</v>
      </c>
      <c r="I7" s="1">
        <v>512.4</v>
      </c>
      <c r="J7" s="1">
        <v>463.65800000000002</v>
      </c>
      <c r="K7" s="1">
        <f>J7*1.01</f>
        <v>468.29458</v>
      </c>
      <c r="L7" s="1">
        <f t="shared" ref="L7:O7" si="5">K7*1.01</f>
        <v>472.97752580000002</v>
      </c>
      <c r="M7" s="1">
        <f t="shared" si="5"/>
        <v>477.70730105800004</v>
      </c>
      <c r="N7" s="1">
        <f t="shared" si="5"/>
        <v>482.48437406858005</v>
      </c>
      <c r="O7" s="1">
        <f t="shared" si="5"/>
        <v>487.30921780926587</v>
      </c>
    </row>
    <row r="8" spans="1:121" x14ac:dyDescent="0.2">
      <c r="A8" s="1" t="s">
        <v>27</v>
      </c>
      <c r="B8" s="1">
        <f>SUM(B5:B7)</f>
        <v>0</v>
      </c>
      <c r="C8" s="1">
        <f t="shared" ref="C8:H8" si="6">SUM(C5:C7)</f>
        <v>0</v>
      </c>
      <c r="D8" s="1">
        <f t="shared" si="6"/>
        <v>0</v>
      </c>
      <c r="E8" s="1">
        <f t="shared" si="6"/>
        <v>695.5</v>
      </c>
      <c r="F8" s="1">
        <f t="shared" si="6"/>
        <v>0</v>
      </c>
      <c r="H8" s="1">
        <f t="shared" si="6"/>
        <v>0</v>
      </c>
      <c r="I8" s="1">
        <f t="shared" ref="I8" si="7">SUM(I5:I7)</f>
        <v>2491.9</v>
      </c>
      <c r="J8" s="1">
        <f t="shared" ref="J8" si="8">SUM(J5:J7)</f>
        <v>2715.9940000000001</v>
      </c>
      <c r="K8" s="1">
        <f>K2*K23</f>
        <v>2967.2234449999996</v>
      </c>
      <c r="L8" s="1">
        <f t="shared" ref="L8:O8" si="9">L2*L23</f>
        <v>3128.9371227524994</v>
      </c>
      <c r="M8" s="1">
        <f t="shared" si="9"/>
        <v>3299.4641959425103</v>
      </c>
      <c r="N8" s="1">
        <f t="shared" si="9"/>
        <v>3479.2849946213769</v>
      </c>
      <c r="O8" s="1">
        <f t="shared" si="9"/>
        <v>3668.9060268282428</v>
      </c>
    </row>
    <row r="9" spans="1:121" x14ac:dyDescent="0.2">
      <c r="A9" s="1" t="s">
        <v>38</v>
      </c>
      <c r="H9" s="1">
        <f>H4-H8</f>
        <v>2802</v>
      </c>
      <c r="I9" s="1">
        <f>I4-I8</f>
        <v>-125.66000000000031</v>
      </c>
      <c r="J9" s="1">
        <f t="shared" ref="J9:O9" si="10">J4-J8</f>
        <v>179.65099999999984</v>
      </c>
      <c r="K9" s="1">
        <f t="shared" si="10"/>
        <v>396.06822250000005</v>
      </c>
      <c r="L9" s="1">
        <f t="shared" si="10"/>
        <v>641.64916568175022</v>
      </c>
      <c r="M9" s="1">
        <f t="shared" si="10"/>
        <v>927.74009202112711</v>
      </c>
      <c r="N9" s="1">
        <f t="shared" si="10"/>
        <v>1259.8337326146579</v>
      </c>
      <c r="O9" s="1">
        <f t="shared" si="10"/>
        <v>1644.1199782760759</v>
      </c>
    </row>
    <row r="10" spans="1:121" x14ac:dyDescent="0.2">
      <c r="A10" s="1" t="s">
        <v>30</v>
      </c>
      <c r="E10" s="1">
        <v>28.6</v>
      </c>
      <c r="I10" s="1">
        <v>105.4</v>
      </c>
      <c r="J10" s="1">
        <v>127</v>
      </c>
      <c r="K10" s="1">
        <f>J30*$R$30</f>
        <v>50.256000000000007</v>
      </c>
      <c r="L10" s="1">
        <f>K30*$R$30</f>
        <v>58.200571160500004</v>
      </c>
      <c r="M10" s="1">
        <f>L30*$R$30</f>
        <v>70.657896476292066</v>
      </c>
      <c r="N10" s="1">
        <f>M30*$R$30</f>
        <v>88.429380671546127</v>
      </c>
      <c r="O10" s="1">
        <f>N30*$R$30</f>
        <v>112.42846408804057</v>
      </c>
    </row>
    <row r="11" spans="1:121" x14ac:dyDescent="0.2">
      <c r="A11" s="1" t="s">
        <v>28</v>
      </c>
      <c r="E11" s="1">
        <v>-13.3</v>
      </c>
      <c r="I11" s="1">
        <v>3.8</v>
      </c>
      <c r="J11" s="1">
        <v>-19.215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</row>
    <row r="12" spans="1:121" x14ac:dyDescent="0.2">
      <c r="A12" s="1" t="s">
        <v>20</v>
      </c>
      <c r="B12" s="1">
        <f>B4-B8+B11+B10</f>
        <v>0</v>
      </c>
      <c r="C12" s="1">
        <f t="shared" ref="C12:D12" si="11">C4-C8+C11+C10</f>
        <v>0</v>
      </c>
      <c r="D12" s="1">
        <f t="shared" si="11"/>
        <v>0</v>
      </c>
      <c r="E12" s="1">
        <f>E4-E8+E11+E10</f>
        <v>276.90000000000003</v>
      </c>
      <c r="F12" s="1">
        <f>F4-F8+F11+F10</f>
        <v>686.57299999999998</v>
      </c>
      <c r="H12" s="1">
        <f>H9+SUM(H10:H11)</f>
        <v>2802</v>
      </c>
      <c r="I12" s="1">
        <f>I9+SUM(I10:I11)</f>
        <v>-16.460000000000306</v>
      </c>
      <c r="J12" s="1">
        <f t="shared" ref="J12:O12" si="12">J9+SUM(J10:J11)</f>
        <v>287.43599999999981</v>
      </c>
      <c r="K12" s="1">
        <f t="shared" si="12"/>
        <v>446.32422250000008</v>
      </c>
      <c r="L12" s="1">
        <f t="shared" si="12"/>
        <v>699.84973684225019</v>
      </c>
      <c r="M12" s="1">
        <f t="shared" si="12"/>
        <v>998.39798849741919</v>
      </c>
      <c r="N12" s="1">
        <f t="shared" si="12"/>
        <v>1348.2631132862041</v>
      </c>
      <c r="O12" s="1">
        <f t="shared" si="12"/>
        <v>1756.5484423641165</v>
      </c>
    </row>
    <row r="13" spans="1:121" x14ac:dyDescent="0.2">
      <c r="A13" s="1" t="s">
        <v>21</v>
      </c>
      <c r="E13" s="1">
        <v>-1570.6</v>
      </c>
      <c r="I13" s="1">
        <v>19.170000000000002</v>
      </c>
      <c r="J13" s="1">
        <v>-1574.501</v>
      </c>
      <c r="K13" s="1">
        <f>K12*0.11</f>
        <v>49.095664475000007</v>
      </c>
      <c r="L13" s="1">
        <f t="shared" ref="L13:O13" si="13">L12*0.11</f>
        <v>76.983471052647516</v>
      </c>
      <c r="M13" s="1">
        <f t="shared" si="13"/>
        <v>109.82377873471611</v>
      </c>
      <c r="N13" s="1">
        <f t="shared" si="13"/>
        <v>148.30894246148245</v>
      </c>
      <c r="O13" s="1">
        <f t="shared" si="13"/>
        <v>193.22032866005281</v>
      </c>
    </row>
    <row r="14" spans="1:121" s="3" customFormat="1" x14ac:dyDescent="0.2">
      <c r="A14" s="3" t="s">
        <v>8</v>
      </c>
      <c r="B14" s="3">
        <f>B12-B13</f>
        <v>0</v>
      </c>
      <c r="C14" s="3">
        <f>C12-C13</f>
        <v>0</v>
      </c>
      <c r="D14" s="3">
        <f>D12-D13</f>
        <v>0</v>
      </c>
      <c r="E14" s="3">
        <f>E12-E13</f>
        <v>1847.5</v>
      </c>
      <c r="F14" s="3">
        <f>F12-F13</f>
        <v>686.57299999999998</v>
      </c>
      <c r="H14" s="3">
        <v>-96</v>
      </c>
      <c r="I14" s="3">
        <v>-35</v>
      </c>
      <c r="J14" s="3">
        <f t="shared" ref="J14:O14" si="14">J12-J13</f>
        <v>1861.9369999999999</v>
      </c>
      <c r="K14" s="3">
        <f t="shared" si="14"/>
        <v>397.2285580250001</v>
      </c>
      <c r="L14" s="3">
        <f t="shared" si="14"/>
        <v>622.86626578960272</v>
      </c>
      <c r="M14" s="3">
        <f t="shared" si="14"/>
        <v>888.57420976270305</v>
      </c>
      <c r="N14" s="3">
        <f t="shared" si="14"/>
        <v>1199.9541708247216</v>
      </c>
      <c r="O14" s="3">
        <f t="shared" si="14"/>
        <v>1563.3281137040635</v>
      </c>
      <c r="P14" s="3">
        <f>O14*(1+$R$31)</f>
        <v>1578.9613948411043</v>
      </c>
      <c r="Q14" s="3">
        <f>P14*(1+$R$31)</f>
        <v>1594.7510087895153</v>
      </c>
      <c r="R14" s="3">
        <f>Q14*(1+$R$31)</f>
        <v>1610.6985188774104</v>
      </c>
      <c r="S14" s="3">
        <f>R14*(1+$R$31)</f>
        <v>1626.8055040661845</v>
      </c>
      <c r="T14" s="3">
        <f>S14*(1+$R$31)</f>
        <v>1643.0735591068465</v>
      </c>
      <c r="U14" s="3">
        <f>T14*(1+$R$31)</f>
        <v>1659.5042946979149</v>
      </c>
      <c r="V14" s="3">
        <f>U14*(1+$R$31)</f>
        <v>1676.0993376448941</v>
      </c>
      <c r="W14" s="3">
        <f>V14*(1+$R$31)</f>
        <v>1692.8603310213432</v>
      </c>
      <c r="X14" s="3">
        <f>W14*(1+$R$31)</f>
        <v>1709.7889343315567</v>
      </c>
      <c r="Y14" s="3">
        <f>X14*(1+$R$31)</f>
        <v>1726.8868236748722</v>
      </c>
      <c r="Z14" s="3">
        <f>Y14*(1+$R$31)</f>
        <v>1744.1556919116208</v>
      </c>
      <c r="AA14" s="3">
        <f>Z14*(1+$R$31)</f>
        <v>1761.597248830737</v>
      </c>
      <c r="AB14" s="3">
        <f>AA14*(1+$R$31)</f>
        <v>1779.2132213190444</v>
      </c>
      <c r="AC14" s="3">
        <f>AB14*(1+$R$31)</f>
        <v>1797.0053535322347</v>
      </c>
      <c r="AD14" s="3">
        <f>AC14*(1+$R$31)</f>
        <v>1814.9754070675572</v>
      </c>
      <c r="AE14" s="3">
        <f>AD14*(1+$R$31)</f>
        <v>1833.1251611382327</v>
      </c>
      <c r="AF14" s="3">
        <f>AE14*(1+$R$31)</f>
        <v>1851.4564127496151</v>
      </c>
      <c r="AG14" s="3">
        <f>AF14*(1+$R$31)</f>
        <v>1869.9709768771113</v>
      </c>
      <c r="AH14" s="3">
        <f>AG14*(1+$R$31)</f>
        <v>1888.6706866458824</v>
      </c>
      <c r="AI14" s="3">
        <f>AH14*(1+$R$31)</f>
        <v>1907.5573935123412</v>
      </c>
      <c r="AJ14" s="3">
        <f>AI14*(1+$R$31)</f>
        <v>1926.6329674474646</v>
      </c>
      <c r="AK14" s="3">
        <f>AJ14*(1+$R$31)</f>
        <v>1945.8992971219393</v>
      </c>
      <c r="AL14" s="3">
        <f>AK14*(1+$R$31)</f>
        <v>1965.3582900931588</v>
      </c>
      <c r="AM14" s="3">
        <f>AL14*(1+$R$31)</f>
        <v>1985.0118729940903</v>
      </c>
      <c r="AN14" s="3">
        <f>AM14*(1+$R$31)</f>
        <v>2004.8619917240312</v>
      </c>
      <c r="AO14" s="3">
        <f>AN14*(1+$R$31)</f>
        <v>2024.9106116412715</v>
      </c>
      <c r="AP14" s="3">
        <f>AO14*(1+$R$31)</f>
        <v>2045.1597177576843</v>
      </c>
      <c r="AQ14" s="3">
        <f>AP14*(1+$R$31)</f>
        <v>2065.6113149352614</v>
      </c>
      <c r="AR14" s="3">
        <f>AQ14*(1+$R$31)</f>
        <v>2086.267428084614</v>
      </c>
      <c r="AS14" s="3">
        <f>AR14*(1+$R$31)</f>
        <v>2107.1301023654601</v>
      </c>
      <c r="AT14" s="3">
        <f>AS14*(1+$R$31)</f>
        <v>2128.2014033891146</v>
      </c>
      <c r="AU14" s="3">
        <f>AT14*(1+$R$31)</f>
        <v>2149.4834174230059</v>
      </c>
      <c r="AV14" s="3">
        <f>AU14*(1+$R$31)</f>
        <v>2170.9782515972361</v>
      </c>
      <c r="AW14" s="3">
        <f>AV14*(1+$R$31)</f>
        <v>2192.6880341132082</v>
      </c>
      <c r="AX14" s="3">
        <f>AW14*(1+$R$31)</f>
        <v>2214.6149144543401</v>
      </c>
      <c r="AY14" s="3">
        <f>AX14*(1+$R$31)</f>
        <v>2236.7610635988835</v>
      </c>
      <c r="AZ14" s="3">
        <f>AY14*(1+$R$31)</f>
        <v>2259.1286742348725</v>
      </c>
      <c r="BA14" s="3">
        <f>AZ14*(1+$R$31)</f>
        <v>2281.719960977221</v>
      </c>
      <c r="BB14" s="3">
        <f>BA14*(1+$R$31)</f>
        <v>2304.5371605869932</v>
      </c>
      <c r="BC14" s="3">
        <f>BB14*(1+$R$31)</f>
        <v>2327.5825321928633</v>
      </c>
      <c r="BD14" s="3">
        <f>BC14*(1+$R$31)</f>
        <v>2350.8583575147918</v>
      </c>
      <c r="BE14" s="3">
        <f>BD14*(1+$R$31)</f>
        <v>2374.3669410899397</v>
      </c>
      <c r="BF14" s="3">
        <f>BE14*(1+$R$31)</f>
        <v>2398.1106105008389</v>
      </c>
      <c r="BG14" s="3">
        <f>BF14*(1+$R$31)</f>
        <v>2422.0917166058475</v>
      </c>
      <c r="BH14" s="3">
        <f>BG14*(1+$R$31)</f>
        <v>2446.3126337719059</v>
      </c>
      <c r="BI14" s="3">
        <f>BH14*(1+$R$31)</f>
        <v>2470.775760109625</v>
      </c>
      <c r="BJ14" s="3">
        <f>BI14*(1+$R$31)</f>
        <v>2495.4835177107211</v>
      </c>
      <c r="BK14" s="3">
        <f>BJ14*(1+$R$31)</f>
        <v>2520.4383528878284</v>
      </c>
      <c r="BL14" s="3">
        <f>BK14*(1+$R$31)</f>
        <v>2545.6427364167066</v>
      </c>
      <c r="BM14" s="3">
        <f>BL14*(1+$R$31)</f>
        <v>2571.0991637808738</v>
      </c>
      <c r="BN14" s="3">
        <f>BM14*(1+$R$31)</f>
        <v>2596.8101554186824</v>
      </c>
      <c r="BO14" s="3">
        <f>BN14*(1+$R$31)</f>
        <v>2622.7782569728693</v>
      </c>
      <c r="BP14" s="3">
        <f>BO14*(1+$R$31)</f>
        <v>2649.006039542598</v>
      </c>
      <c r="BQ14" s="3">
        <f>BP14*(1+$R$31)</f>
        <v>2675.4960999380241</v>
      </c>
      <c r="BR14" s="3">
        <f>BQ14*(1+$R$31)</f>
        <v>2702.2510609374044</v>
      </c>
      <c r="BS14" s="3">
        <f>BR14*(1+$R$31)</f>
        <v>2729.2735715467784</v>
      </c>
      <c r="BT14" s="3">
        <f>BS14*(1+$R$31)</f>
        <v>2756.566307262246</v>
      </c>
      <c r="BU14" s="3">
        <f>BT14*(1+$R$31)</f>
        <v>2784.1319703348686</v>
      </c>
      <c r="BV14" s="3">
        <f>BU14*(1+$R$31)</f>
        <v>2811.9732900382173</v>
      </c>
      <c r="BW14" s="3">
        <f>BV14*(1+$R$31)</f>
        <v>2840.0930229385995</v>
      </c>
      <c r="BX14" s="3">
        <f>BW14*(1+$R$31)</f>
        <v>2868.4939531679856</v>
      </c>
      <c r="BY14" s="3">
        <f>BX14*(1+$R$31)</f>
        <v>2897.1788926996655</v>
      </c>
      <c r="BZ14" s="3">
        <f>BY14*(1+$R$31)</f>
        <v>2926.1506816266624</v>
      </c>
      <c r="CA14" s="3">
        <f>BZ14*(1+$R$31)</f>
        <v>2955.4121884429292</v>
      </c>
      <c r="CB14" s="3">
        <f>CA14*(1+$R$31)</f>
        <v>2984.9663103273583</v>
      </c>
      <c r="CC14" s="3">
        <f>CB14*(1+$R$31)</f>
        <v>3014.8159734306319</v>
      </c>
      <c r="CD14" s="3">
        <f>CC14*(1+$R$31)</f>
        <v>3044.9641331649382</v>
      </c>
      <c r="CE14" s="3">
        <f>CD14*(1+$R$31)</f>
        <v>3075.4137744965874</v>
      </c>
      <c r="CF14" s="3">
        <f>CE14*(1+$R$31)</f>
        <v>3106.1679122415535</v>
      </c>
      <c r="CG14" s="3">
        <f>CF14*(1+$R$31)</f>
        <v>3137.2295913639691</v>
      </c>
      <c r="CH14" s="3">
        <f>CG14*(1+$R$31)</f>
        <v>3168.601887277609</v>
      </c>
      <c r="CI14" s="3">
        <f>CH14*(1+$R$31)</f>
        <v>3200.287906150385</v>
      </c>
      <c r="CJ14" s="3">
        <f>CI14*(1+$R$31)</f>
        <v>3232.2907852118888</v>
      </c>
      <c r="CK14" s="3">
        <f>CJ14*(1+$R$31)</f>
        <v>3264.6136930640077</v>
      </c>
      <c r="CL14" s="3">
        <f>CK14*(1+$R$31)</f>
        <v>3297.259829994648</v>
      </c>
      <c r="CM14" s="3">
        <f>CL14*(1+$R$31)</f>
        <v>3330.2324282945947</v>
      </c>
      <c r="CN14" s="3">
        <f>CM14*(1+$R$31)</f>
        <v>3363.5347525775405</v>
      </c>
      <c r="CO14" s="3">
        <f>CN14*(1+$R$31)</f>
        <v>3397.1701001033161</v>
      </c>
      <c r="CP14" s="3">
        <f>CO14*(1+$R$31)</f>
        <v>3431.1418011043493</v>
      </c>
      <c r="CQ14" s="3">
        <f>CP14*(1+$R$31)</f>
        <v>3465.4532191153926</v>
      </c>
      <c r="CR14" s="3">
        <f>CQ14*(1+$R$31)</f>
        <v>3500.1077513065466</v>
      </c>
      <c r="CS14" s="3">
        <f>CR14*(1+$R$31)</f>
        <v>3535.108828819612</v>
      </c>
      <c r="CT14" s="3">
        <f>CS14*(1+$R$31)</f>
        <v>3570.459917107808</v>
      </c>
      <c r="CU14" s="3">
        <f>CT14*(1+$R$31)</f>
        <v>3606.1645162788859</v>
      </c>
      <c r="CV14" s="3">
        <f>CU14*(1+$R$31)</f>
        <v>3642.2261614416748</v>
      </c>
      <c r="CW14" s="3">
        <f>CV14*(1+$R$31)</f>
        <v>3678.6484230560914</v>
      </c>
      <c r="CX14" s="3">
        <f>CW14*(1+$R$31)</f>
        <v>3715.4349072866521</v>
      </c>
      <c r="CY14" s="3">
        <f>CX14*(1+$R$31)</f>
        <v>3752.5892563595185</v>
      </c>
      <c r="CZ14" s="3">
        <f>CY14*(1+$R$31)</f>
        <v>3790.1151489231138</v>
      </c>
      <c r="DA14" s="3">
        <f>CZ14*(1+$R$31)</f>
        <v>3828.0163004123451</v>
      </c>
      <c r="DB14" s="3">
        <f>DA14*(1+$R$31)</f>
        <v>3866.2964634164687</v>
      </c>
      <c r="DC14" s="3">
        <f>DB14*(1+$R$31)</f>
        <v>3904.9594280506335</v>
      </c>
      <c r="DD14" s="3">
        <f>DC14*(1+$R$31)</f>
        <v>3944.0090223311399</v>
      </c>
      <c r="DE14" s="3">
        <f>DD14*(1+$R$31)</f>
        <v>3983.4491125544514</v>
      </c>
      <c r="DF14" s="3">
        <f>DE14*(1+$R$31)</f>
        <v>4023.2836036799958</v>
      </c>
      <c r="DG14" s="3">
        <f>DF14*(1+$R$31)</f>
        <v>4063.516439716796</v>
      </c>
      <c r="DH14" s="3">
        <f>DG14*(1+$R$31)</f>
        <v>4104.1516041139639</v>
      </c>
      <c r="DI14" s="3">
        <f>DH14*(1+$R$31)</f>
        <v>4145.1931201551033</v>
      </c>
      <c r="DJ14" s="3">
        <f>DI14*(1+$R$31)</f>
        <v>4186.6450513566542</v>
      </c>
      <c r="DK14" s="3">
        <f>DJ14*(1+$R$31)</f>
        <v>4228.5115018702209</v>
      </c>
      <c r="DL14" s="3">
        <f>DK14*(1+$R$31)</f>
        <v>4270.7966168889234</v>
      </c>
      <c r="DM14" s="3">
        <f>DL14*(1+$R$31)</f>
        <v>4313.5045830578129</v>
      </c>
      <c r="DN14" s="3">
        <f>DM14*(1+$R$31)</f>
        <v>4356.6396288883907</v>
      </c>
      <c r="DO14" s="3">
        <f>DN14*(1+$R$31)</f>
        <v>4400.2060251772746</v>
      </c>
      <c r="DP14" s="3">
        <f>DO14*(1+$R$31)</f>
        <v>4444.2080854290471</v>
      </c>
      <c r="DQ14" s="3">
        <f>DP14*(1+$R$31)</f>
        <v>4488.650166283338</v>
      </c>
    </row>
    <row r="15" spans="1:121" s="3" customFormat="1" x14ac:dyDescent="0.2">
      <c r="A15" s="1" t="s">
        <v>1</v>
      </c>
      <c r="J15" s="1">
        <v>678.24</v>
      </c>
      <c r="K15" s="1">
        <v>678.24</v>
      </c>
      <c r="L15" s="1">
        <v>678.24</v>
      </c>
      <c r="M15" s="1">
        <v>678.24</v>
      </c>
      <c r="N15" s="1">
        <v>678.24</v>
      </c>
      <c r="O15" s="1">
        <v>678.24</v>
      </c>
    </row>
    <row r="16" spans="1:121" s="3" customFormat="1" x14ac:dyDescent="0.2">
      <c r="A16" s="1" t="s">
        <v>34</v>
      </c>
      <c r="J16" s="4">
        <f>J14/J15</f>
        <v>2.7452479948100965</v>
      </c>
      <c r="K16" s="4">
        <f t="shared" ref="K16:O16" si="15">K14/K15</f>
        <v>0.58567551018076214</v>
      </c>
      <c r="L16" s="4">
        <f t="shared" si="15"/>
        <v>0.91835672592239137</v>
      </c>
      <c r="M16" s="4">
        <f t="shared" si="15"/>
        <v>1.3101176718605554</v>
      </c>
      <c r="N16" s="4">
        <f t="shared" si="15"/>
        <v>1.7692176380406959</v>
      </c>
      <c r="O16" s="4">
        <f t="shared" si="15"/>
        <v>2.3049777566997869</v>
      </c>
    </row>
    <row r="17" spans="1:147" x14ac:dyDescent="0.2">
      <c r="H17" s="5"/>
      <c r="I17" s="5"/>
      <c r="J17" s="5"/>
      <c r="K17" s="5"/>
      <c r="L17" s="5"/>
      <c r="M17" s="5"/>
      <c r="N17" s="5"/>
      <c r="O17" s="5"/>
    </row>
    <row r="18" spans="1:147" x14ac:dyDescent="0.2">
      <c r="A18" s="3" t="s">
        <v>40</v>
      </c>
      <c r="B18" s="3"/>
      <c r="C18" s="3"/>
      <c r="D18" s="3"/>
      <c r="E18" s="3"/>
      <c r="F18" s="3"/>
      <c r="G18" s="3"/>
      <c r="H18" s="3"/>
      <c r="I18" s="6">
        <f t="shared" ref="I18:O18" si="16">I2/H2-1</f>
        <v>9.0292648108494022E-2</v>
      </c>
      <c r="J18" s="6">
        <f t="shared" si="16"/>
        <v>0.1934533551554829</v>
      </c>
      <c r="K18" s="6">
        <f t="shared" si="16"/>
        <v>0.14999999999999991</v>
      </c>
      <c r="L18" s="6">
        <f t="shared" si="16"/>
        <v>0.1100000000000001</v>
      </c>
      <c r="M18" s="6">
        <f t="shared" si="16"/>
        <v>0.1100000000000001</v>
      </c>
      <c r="N18" s="6">
        <f t="shared" si="16"/>
        <v>0.1100000000000001</v>
      </c>
      <c r="O18" s="6">
        <f t="shared" si="16"/>
        <v>0.1100000000000001</v>
      </c>
    </row>
    <row r="19" spans="1:147" x14ac:dyDescent="0.2">
      <c r="A19" s="3"/>
      <c r="B19" s="3"/>
      <c r="C19" s="3"/>
      <c r="D19" s="3"/>
      <c r="E19" s="3"/>
      <c r="F19" s="3"/>
      <c r="G19" s="3"/>
      <c r="H19" s="3"/>
      <c r="I19" s="6"/>
      <c r="J19" s="6"/>
      <c r="K19" s="6"/>
      <c r="L19" s="6"/>
      <c r="M19" s="6"/>
      <c r="N19" s="6"/>
      <c r="O19" s="6"/>
    </row>
    <row r="20" spans="1:147" x14ac:dyDescent="0.2">
      <c r="A20" s="1" t="s">
        <v>9</v>
      </c>
      <c r="B20" s="5" t="e">
        <f>B4/B2</f>
        <v>#DIV/0!</v>
      </c>
      <c r="C20" s="5" t="e">
        <f>C4/C2</f>
        <v>#DIV/0!</v>
      </c>
      <c r="D20" s="5" t="e">
        <f>D4/D2</f>
        <v>#DIV/0!</v>
      </c>
      <c r="E20" s="5">
        <f>E4/E2</f>
        <v>0.82937608318890821</v>
      </c>
      <c r="F20" s="5">
        <v>0.83</v>
      </c>
      <c r="H20" s="5">
        <f>H4/H2</f>
        <v>1</v>
      </c>
      <c r="I20" s="5">
        <f>I4/I2</f>
        <v>0.77454664484451707</v>
      </c>
      <c r="J20" s="5">
        <f>J4/J2</f>
        <v>0.79419775095995615</v>
      </c>
      <c r="K20" s="5">
        <f>J20*1.01</f>
        <v>0.80213972846955572</v>
      </c>
      <c r="L20" s="5">
        <f t="shared" ref="L20:O20" si="17">K20*1.01</f>
        <v>0.81016112575425125</v>
      </c>
      <c r="M20" s="5">
        <f t="shared" si="17"/>
        <v>0.81826273701179375</v>
      </c>
      <c r="N20" s="5">
        <f t="shared" si="17"/>
        <v>0.82644536438191174</v>
      </c>
      <c r="O20" s="5">
        <f t="shared" si="17"/>
        <v>0.83470981802573085</v>
      </c>
    </row>
    <row r="21" spans="1:147" x14ac:dyDescent="0.2">
      <c r="A21" s="1" t="s">
        <v>37</v>
      </c>
      <c r="E21" s="5"/>
      <c r="F21" s="5"/>
      <c r="H21" s="5">
        <f t="shared" ref="H21:O21" si="18">H9/H2</f>
        <v>1</v>
      </c>
      <c r="I21" s="5">
        <f t="shared" si="18"/>
        <v>-4.1132569558101573E-2</v>
      </c>
      <c r="J21" s="5">
        <f t="shared" si="18"/>
        <v>4.9273450356555087E-2</v>
      </c>
      <c r="K21" s="5">
        <f t="shared" si="18"/>
        <v>9.4461642896324763E-2</v>
      </c>
      <c r="L21" s="5">
        <f t="shared" si="18"/>
        <v>0.13786694445968189</v>
      </c>
      <c r="M21" s="5">
        <f t="shared" si="18"/>
        <v>0.17958326478195297</v>
      </c>
      <c r="N21" s="5">
        <f t="shared" si="18"/>
        <v>0.21969986576356315</v>
      </c>
      <c r="O21" s="5">
        <f t="shared" si="18"/>
        <v>0.25830159433829952</v>
      </c>
    </row>
    <row r="22" spans="1:147" x14ac:dyDescent="0.2">
      <c r="A22" s="1" t="s">
        <v>36</v>
      </c>
      <c r="E22" s="5"/>
      <c r="F22" s="5"/>
      <c r="H22" s="5">
        <f>H27/H2</f>
        <v>0.12169878658101356</v>
      </c>
      <c r="I22" s="5">
        <f>I27/I2</f>
        <v>0.18854337152209494</v>
      </c>
      <c r="J22" s="5">
        <f>J27/J2</f>
        <v>0.20405924300603401</v>
      </c>
      <c r="K22" s="5">
        <f>J22*1.01</f>
        <v>0.20609983543609434</v>
      </c>
      <c r="L22" s="5">
        <f t="shared" ref="L22:O22" si="19">K22*1.05</f>
        <v>0.21640482720789905</v>
      </c>
      <c r="M22" s="5">
        <f t="shared" si="19"/>
        <v>0.22722506856829403</v>
      </c>
      <c r="N22" s="5">
        <f t="shared" si="19"/>
        <v>0.23858632199670873</v>
      </c>
      <c r="O22" s="5">
        <f t="shared" si="19"/>
        <v>0.2505156380965442</v>
      </c>
    </row>
    <row r="23" spans="1:147" x14ac:dyDescent="0.2">
      <c r="A23" s="1" t="s">
        <v>39</v>
      </c>
      <c r="E23" s="5"/>
      <c r="F23" s="5"/>
      <c r="H23" s="5">
        <f>H8/H2</f>
        <v>0</v>
      </c>
      <c r="I23" s="5">
        <f t="shared" ref="I23:J23" si="20">I8/I2</f>
        <v>0.8156792144026187</v>
      </c>
      <c r="J23" s="5">
        <f t="shared" si="20"/>
        <v>0.74492430060340098</v>
      </c>
      <c r="K23" s="5">
        <f>J23*0.95</f>
        <v>0.70767808557323086</v>
      </c>
      <c r="L23" s="5">
        <f t="shared" ref="L23:O23" si="21">K23*0.95</f>
        <v>0.6722941812945693</v>
      </c>
      <c r="M23" s="5">
        <f t="shared" si="21"/>
        <v>0.63867947222984078</v>
      </c>
      <c r="N23" s="5">
        <f t="shared" si="21"/>
        <v>0.6067454986183487</v>
      </c>
      <c r="O23" s="5">
        <f t="shared" si="21"/>
        <v>0.57640822368743128</v>
      </c>
      <c r="R23" s="5"/>
    </row>
    <row r="24" spans="1:147" x14ac:dyDescent="0.2">
      <c r="H24" s="5"/>
      <c r="I24" s="5"/>
      <c r="J24" s="5"/>
      <c r="K24" s="5"/>
      <c r="L24" s="5"/>
      <c r="M24" s="5"/>
      <c r="N24" s="5"/>
      <c r="O24" s="5"/>
    </row>
    <row r="25" spans="1:147" x14ac:dyDescent="0.2">
      <c r="A25" s="1" t="s">
        <v>10</v>
      </c>
      <c r="H25" s="1">
        <v>469</v>
      </c>
      <c r="I25" s="1">
        <v>613</v>
      </c>
      <c r="J25" s="1">
        <v>965</v>
      </c>
      <c r="K25" s="1">
        <f>K2*0.35</f>
        <v>1467.5149999999999</v>
      </c>
      <c r="L25" s="1">
        <f t="shared" ref="L25:O25" si="22">L2*0.35</f>
        <v>1628.9416499999998</v>
      </c>
      <c r="M25" s="1">
        <f t="shared" si="22"/>
        <v>1808.1252314999997</v>
      </c>
      <c r="N25" s="1">
        <f t="shared" si="22"/>
        <v>2007.0190069649998</v>
      </c>
      <c r="O25" s="1">
        <f t="shared" si="22"/>
        <v>2227.7910977311499</v>
      </c>
    </row>
    <row r="26" spans="1:147" x14ac:dyDescent="0.2">
      <c r="A26" s="1" t="s">
        <v>31</v>
      </c>
      <c r="H26" s="1">
        <v>128</v>
      </c>
      <c r="I26" s="1">
        <v>37</v>
      </c>
      <c r="J26" s="1">
        <v>221</v>
      </c>
      <c r="K26" s="1">
        <f>K2*0.02</f>
        <v>83.85799999999999</v>
      </c>
      <c r="L26" s="1">
        <f>L2*0.02</f>
        <v>93.082380000000001</v>
      </c>
      <c r="M26" s="1">
        <f>M2*0.02</f>
        <v>103.3214418</v>
      </c>
      <c r="N26" s="1">
        <f>N2*0.02</f>
        <v>114.686800398</v>
      </c>
      <c r="O26" s="1">
        <f>O2*0.02</f>
        <v>127.30234844178001</v>
      </c>
    </row>
    <row r="27" spans="1:147" x14ac:dyDescent="0.2">
      <c r="A27" s="3" t="s">
        <v>6</v>
      </c>
      <c r="B27" s="3">
        <f>B25-B26</f>
        <v>0</v>
      </c>
      <c r="C27" s="3">
        <f>C25-C26</f>
        <v>0</v>
      </c>
      <c r="D27" s="3">
        <f>D25-D26</f>
        <v>0</v>
      </c>
      <c r="E27" s="3">
        <f>E25-E26</f>
        <v>0</v>
      </c>
      <c r="F27" s="3">
        <f>F25-F26</f>
        <v>0</v>
      </c>
      <c r="G27" s="3"/>
      <c r="H27" s="3">
        <f>H25-H26</f>
        <v>341</v>
      </c>
      <c r="I27" s="3">
        <f>I25-I26</f>
        <v>576</v>
      </c>
      <c r="J27" s="3">
        <f>J25-J26</f>
        <v>744</v>
      </c>
      <c r="K27" s="3">
        <f>K25-K26</f>
        <v>1383.6569999999999</v>
      </c>
      <c r="L27" s="3">
        <f t="shared" ref="L27:O27" si="23">L25-L26</f>
        <v>1535.8592699999997</v>
      </c>
      <c r="M27" s="3">
        <f t="shared" si="23"/>
        <v>1704.8037896999997</v>
      </c>
      <c r="N27" s="3">
        <f t="shared" si="23"/>
        <v>1892.3322065669997</v>
      </c>
      <c r="O27" s="3">
        <f t="shared" si="23"/>
        <v>2100.4887492893699</v>
      </c>
      <c r="P27" s="3">
        <f t="shared" ref="P27:AU27" si="24">O27*(1+$R$31)</f>
        <v>2121.4936367822638</v>
      </c>
      <c r="Q27" s="3">
        <f t="shared" si="24"/>
        <v>2142.7085731500865</v>
      </c>
      <c r="R27" s="3">
        <f t="shared" si="24"/>
        <v>2164.1356588815875</v>
      </c>
      <c r="S27" s="3">
        <f t="shared" si="24"/>
        <v>2185.7770154704035</v>
      </c>
      <c r="T27" s="3">
        <f t="shared" si="24"/>
        <v>2207.6347856251077</v>
      </c>
      <c r="U27" s="3">
        <f t="shared" si="24"/>
        <v>2229.711133481359</v>
      </c>
      <c r="V27" s="3">
        <f t="shared" si="24"/>
        <v>2252.0082448161725</v>
      </c>
      <c r="W27" s="3">
        <f t="shared" si="24"/>
        <v>2274.5283272643342</v>
      </c>
      <c r="X27" s="3">
        <f t="shared" si="24"/>
        <v>2297.2736105369777</v>
      </c>
      <c r="Y27" s="3">
        <f t="shared" si="24"/>
        <v>2320.2463466423474</v>
      </c>
      <c r="Z27" s="3">
        <f t="shared" si="24"/>
        <v>2343.4488101087709</v>
      </c>
      <c r="AA27" s="3">
        <f t="shared" si="24"/>
        <v>2366.8832982098588</v>
      </c>
      <c r="AB27" s="3">
        <f t="shared" si="24"/>
        <v>2390.5521311919574</v>
      </c>
      <c r="AC27" s="3">
        <f t="shared" si="24"/>
        <v>2414.4576525038769</v>
      </c>
      <c r="AD27" s="3">
        <f t="shared" si="24"/>
        <v>2438.6022290289156</v>
      </c>
      <c r="AE27" s="3">
        <f t="shared" si="24"/>
        <v>2462.9882513192047</v>
      </c>
      <c r="AF27" s="3">
        <f t="shared" si="24"/>
        <v>2487.6181338323968</v>
      </c>
      <c r="AG27" s="3">
        <f t="shared" si="24"/>
        <v>2512.4943151707207</v>
      </c>
      <c r="AH27" s="3">
        <f t="shared" si="24"/>
        <v>2537.6192583224279</v>
      </c>
      <c r="AI27" s="3">
        <f t="shared" si="24"/>
        <v>2562.995450905652</v>
      </c>
      <c r="AJ27" s="3">
        <f t="shared" si="24"/>
        <v>2588.6254054147084</v>
      </c>
      <c r="AK27" s="3">
        <f t="shared" si="24"/>
        <v>2614.5116594688557</v>
      </c>
      <c r="AL27" s="3">
        <f t="shared" si="24"/>
        <v>2640.6567760635444</v>
      </c>
      <c r="AM27" s="3">
        <f t="shared" si="24"/>
        <v>2667.0633438241798</v>
      </c>
      <c r="AN27" s="3">
        <f t="shared" si="24"/>
        <v>2693.7339772624218</v>
      </c>
      <c r="AO27" s="3">
        <f t="shared" si="24"/>
        <v>2720.6713170350463</v>
      </c>
      <c r="AP27" s="3">
        <f t="shared" si="24"/>
        <v>2747.878030205397</v>
      </c>
      <c r="AQ27" s="3">
        <f t="shared" si="24"/>
        <v>2775.356810507451</v>
      </c>
      <c r="AR27" s="3">
        <f t="shared" si="24"/>
        <v>2803.1103786125254</v>
      </c>
      <c r="AS27" s="3">
        <f t="shared" si="24"/>
        <v>2831.1414823986506</v>
      </c>
      <c r="AT27" s="3">
        <f t="shared" si="24"/>
        <v>2859.4528972226371</v>
      </c>
      <c r="AU27" s="3">
        <f t="shared" si="24"/>
        <v>2888.0474261948634</v>
      </c>
      <c r="AV27" s="3">
        <f t="shared" ref="AV27:CA27" si="25">AU27*(1+$R$31)</f>
        <v>2916.927900456812</v>
      </c>
      <c r="AW27" s="3">
        <f t="shared" si="25"/>
        <v>2946.0971794613802</v>
      </c>
      <c r="AX27" s="3">
        <f t="shared" si="25"/>
        <v>2975.5581512559938</v>
      </c>
      <c r="AY27" s="3">
        <f t="shared" si="25"/>
        <v>3005.313732768554</v>
      </c>
      <c r="AZ27" s="3">
        <f t="shared" si="25"/>
        <v>3035.3668700962394</v>
      </c>
      <c r="BA27" s="3">
        <f t="shared" si="25"/>
        <v>3065.7205387972017</v>
      </c>
      <c r="BB27" s="3">
        <f t="shared" si="25"/>
        <v>3096.3777441851739</v>
      </c>
      <c r="BC27" s="3">
        <f t="shared" si="25"/>
        <v>3127.3415216270255</v>
      </c>
      <c r="BD27" s="3">
        <f t="shared" si="25"/>
        <v>3158.6149368432957</v>
      </c>
      <c r="BE27" s="3">
        <f t="shared" si="25"/>
        <v>3190.2010862117286</v>
      </c>
      <c r="BF27" s="3">
        <f t="shared" si="25"/>
        <v>3222.1030970738457</v>
      </c>
      <c r="BG27" s="3">
        <f t="shared" si="25"/>
        <v>3254.3241280445841</v>
      </c>
      <c r="BH27" s="3">
        <f t="shared" si="25"/>
        <v>3286.8673693250298</v>
      </c>
      <c r="BI27" s="3">
        <f t="shared" si="25"/>
        <v>3319.7360430182803</v>
      </c>
      <c r="BJ27" s="3">
        <f t="shared" si="25"/>
        <v>3352.9334034484632</v>
      </c>
      <c r="BK27" s="3">
        <f t="shared" si="25"/>
        <v>3386.4627374829479</v>
      </c>
      <c r="BL27" s="3">
        <f t="shared" si="25"/>
        <v>3420.3273648577774</v>
      </c>
      <c r="BM27" s="3">
        <f t="shared" si="25"/>
        <v>3454.530638506355</v>
      </c>
      <c r="BN27" s="3">
        <f t="shared" si="25"/>
        <v>3489.0759448914187</v>
      </c>
      <c r="BO27" s="3">
        <f t="shared" si="25"/>
        <v>3523.9667043403329</v>
      </c>
      <c r="BP27" s="3">
        <f t="shared" si="25"/>
        <v>3559.206371383736</v>
      </c>
      <c r="BQ27" s="3">
        <f t="shared" si="25"/>
        <v>3594.7984350975735</v>
      </c>
      <c r="BR27" s="3">
        <f t="shared" si="25"/>
        <v>3630.7464194485492</v>
      </c>
      <c r="BS27" s="3">
        <f t="shared" si="25"/>
        <v>3667.0538836430346</v>
      </c>
      <c r="BT27" s="3">
        <f t="shared" si="25"/>
        <v>3703.7244224794649</v>
      </c>
      <c r="BU27" s="3">
        <f t="shared" si="25"/>
        <v>3740.7616667042598</v>
      </c>
      <c r="BV27" s="3">
        <f t="shared" si="25"/>
        <v>3778.1692833713023</v>
      </c>
      <c r="BW27" s="3">
        <f t="shared" si="25"/>
        <v>3815.9509762050152</v>
      </c>
      <c r="BX27" s="3">
        <f t="shared" si="25"/>
        <v>3854.1104859670654</v>
      </c>
      <c r="BY27" s="3">
        <f t="shared" si="25"/>
        <v>3892.6515908267361</v>
      </c>
      <c r="BZ27" s="3">
        <f t="shared" si="25"/>
        <v>3931.5781067350035</v>
      </c>
      <c r="CA27" s="3">
        <f t="shared" si="25"/>
        <v>3970.8938878023537</v>
      </c>
      <c r="CB27" s="3">
        <f t="shared" ref="CB27:DG27" si="26">CA27*(1+$R$31)</f>
        <v>4010.6028266803773</v>
      </c>
      <c r="CC27" s="3">
        <f t="shared" si="26"/>
        <v>4050.708854947181</v>
      </c>
      <c r="CD27" s="3">
        <f t="shared" si="26"/>
        <v>4091.2159434966529</v>
      </c>
      <c r="CE27" s="3">
        <f t="shared" si="26"/>
        <v>4132.1281029316197</v>
      </c>
      <c r="CF27" s="3">
        <f t="shared" si="26"/>
        <v>4173.4493839609358</v>
      </c>
      <c r="CG27" s="3">
        <f t="shared" si="26"/>
        <v>4215.1838778005449</v>
      </c>
      <c r="CH27" s="3">
        <f t="shared" si="26"/>
        <v>4257.3357165785501</v>
      </c>
      <c r="CI27" s="3">
        <f t="shared" si="26"/>
        <v>4299.9090737443357</v>
      </c>
      <c r="CJ27" s="3">
        <f t="shared" si="26"/>
        <v>4342.9081644817788</v>
      </c>
      <c r="CK27" s="3">
        <f t="shared" si="26"/>
        <v>4386.3372461265963</v>
      </c>
      <c r="CL27" s="3">
        <f t="shared" si="26"/>
        <v>4430.2006185878627</v>
      </c>
      <c r="CM27" s="3">
        <f t="shared" si="26"/>
        <v>4474.5026247737414</v>
      </c>
      <c r="CN27" s="3">
        <f t="shared" si="26"/>
        <v>4519.2476510214792</v>
      </c>
      <c r="CO27" s="3">
        <f t="shared" si="26"/>
        <v>4564.4401275316941</v>
      </c>
      <c r="CP27" s="3">
        <f t="shared" si="26"/>
        <v>4610.0845288070113</v>
      </c>
      <c r="CQ27" s="3">
        <f t="shared" si="26"/>
        <v>4656.1853740950819</v>
      </c>
      <c r="CR27" s="3">
        <f t="shared" si="26"/>
        <v>4702.7472278360328</v>
      </c>
      <c r="CS27" s="3">
        <f t="shared" si="26"/>
        <v>4749.7747001143935</v>
      </c>
      <c r="CT27" s="3">
        <f t="shared" si="26"/>
        <v>4797.272447115537</v>
      </c>
      <c r="CU27" s="3">
        <f t="shared" si="26"/>
        <v>4845.2451715866928</v>
      </c>
      <c r="CV27" s="3">
        <f t="shared" si="26"/>
        <v>4893.6976233025598</v>
      </c>
      <c r="CW27" s="3">
        <f t="shared" si="26"/>
        <v>4942.634599535585</v>
      </c>
      <c r="CX27" s="3">
        <f t="shared" si="26"/>
        <v>4992.0609455309414</v>
      </c>
      <c r="CY27" s="3">
        <f t="shared" si="26"/>
        <v>5041.9815549862506</v>
      </c>
      <c r="CZ27" s="3">
        <f t="shared" si="26"/>
        <v>5092.4013705361131</v>
      </c>
      <c r="DA27" s="3">
        <f t="shared" si="26"/>
        <v>5143.3253842414742</v>
      </c>
      <c r="DB27" s="3">
        <f t="shared" si="26"/>
        <v>5194.7586380838893</v>
      </c>
      <c r="DC27" s="3">
        <f t="shared" si="26"/>
        <v>5246.7062244647286</v>
      </c>
      <c r="DD27" s="3">
        <f t="shared" si="26"/>
        <v>5299.173286709376</v>
      </c>
      <c r="DE27" s="3">
        <f t="shared" si="26"/>
        <v>5352.1650195764696</v>
      </c>
      <c r="DF27" s="3">
        <f t="shared" si="26"/>
        <v>5405.6866697722344</v>
      </c>
      <c r="DG27" s="3">
        <f t="shared" si="26"/>
        <v>5459.7435364699568</v>
      </c>
      <c r="DH27" s="3">
        <f t="shared" ref="DH27:EQ27" si="27">DG27*(1+$R$31)</f>
        <v>5514.3409718346566</v>
      </c>
      <c r="DI27" s="3">
        <f t="shared" si="27"/>
        <v>5569.484381553003</v>
      </c>
      <c r="DJ27" s="3">
        <f t="shared" si="27"/>
        <v>5625.1792253685335</v>
      </c>
      <c r="DK27" s="3">
        <f t="shared" si="27"/>
        <v>5681.4310176222189</v>
      </c>
      <c r="DL27" s="3">
        <f t="shared" si="27"/>
        <v>5738.2453277984414</v>
      </c>
      <c r="DM27" s="3">
        <f t="shared" si="27"/>
        <v>5795.6277810764259</v>
      </c>
      <c r="DN27" s="3">
        <f t="shared" si="27"/>
        <v>5853.5840588871906</v>
      </c>
      <c r="DO27" s="3">
        <f t="shared" si="27"/>
        <v>5912.1198994760625</v>
      </c>
      <c r="DP27" s="3">
        <f t="shared" si="27"/>
        <v>5971.2410984708231</v>
      </c>
      <c r="DQ27" s="3">
        <f t="shared" si="27"/>
        <v>6030.9535094555313</v>
      </c>
      <c r="DR27" s="3">
        <f t="shared" si="27"/>
        <v>6091.2630445500863</v>
      </c>
      <c r="DS27" s="3">
        <f t="shared" si="27"/>
        <v>6152.1756749955875</v>
      </c>
      <c r="DT27" s="3">
        <f t="shared" si="27"/>
        <v>6213.6974317455433</v>
      </c>
      <c r="DU27" s="3">
        <f t="shared" si="27"/>
        <v>6275.8344060629988</v>
      </c>
      <c r="DV27" s="3">
        <f t="shared" si="27"/>
        <v>6338.5927501236292</v>
      </c>
      <c r="DW27" s="3">
        <f t="shared" si="27"/>
        <v>6401.9786776248657</v>
      </c>
      <c r="DX27" s="3">
        <f t="shared" si="27"/>
        <v>6465.9984644011147</v>
      </c>
      <c r="DY27" s="3">
        <f t="shared" si="27"/>
        <v>6530.658449045126</v>
      </c>
      <c r="DZ27" s="3">
        <f t="shared" si="27"/>
        <v>6595.9650335355773</v>
      </c>
      <c r="EA27" s="3">
        <f t="shared" si="27"/>
        <v>6661.9246838709332</v>
      </c>
      <c r="EB27" s="3">
        <f t="shared" si="27"/>
        <v>6728.5439307096431</v>
      </c>
      <c r="EC27" s="3">
        <f t="shared" si="27"/>
        <v>6795.8293700167396</v>
      </c>
      <c r="ED27" s="3">
        <f t="shared" si="27"/>
        <v>6863.7876637169074</v>
      </c>
      <c r="EE27" s="3">
        <f t="shared" si="27"/>
        <v>6932.4255403540765</v>
      </c>
      <c r="EF27" s="3">
        <f t="shared" si="27"/>
        <v>7001.749795757617</v>
      </c>
      <c r="EG27" s="3">
        <f t="shared" si="27"/>
        <v>7071.7672937151929</v>
      </c>
      <c r="EH27" s="3">
        <f t="shared" si="27"/>
        <v>7142.4849666523451</v>
      </c>
      <c r="EI27" s="3">
        <f t="shared" si="27"/>
        <v>7213.9098163188683</v>
      </c>
      <c r="EJ27" s="3">
        <f t="shared" si="27"/>
        <v>7286.0489144820567</v>
      </c>
      <c r="EK27" s="3">
        <f t="shared" si="27"/>
        <v>7358.9094036268771</v>
      </c>
      <c r="EL27" s="3">
        <f t="shared" si="27"/>
        <v>7432.4984976631458</v>
      </c>
      <c r="EM27" s="3">
        <f t="shared" si="27"/>
        <v>7506.8234826397775</v>
      </c>
      <c r="EN27" s="3">
        <f t="shared" si="27"/>
        <v>7581.8917174661756</v>
      </c>
      <c r="EO27" s="3">
        <f t="shared" si="27"/>
        <v>7657.7106346408373</v>
      </c>
      <c r="EP27" s="3">
        <f t="shared" si="27"/>
        <v>7734.2877409872453</v>
      </c>
      <c r="EQ27" s="3">
        <f t="shared" si="27"/>
        <v>7811.6306183971183</v>
      </c>
    </row>
    <row r="28" spans="1:147" x14ac:dyDescent="0.2">
      <c r="H28" s="5"/>
      <c r="I28" s="5"/>
      <c r="J28" s="5"/>
      <c r="K28" s="5"/>
      <c r="L28" s="5"/>
      <c r="M28" s="5"/>
      <c r="N28" s="5"/>
      <c r="O28" s="5"/>
    </row>
    <row r="29" spans="1:147" x14ac:dyDescent="0.2">
      <c r="H29" s="5"/>
      <c r="I29" s="5"/>
      <c r="J29" s="4">
        <f>J27/J15</f>
        <v>1.0969568294409058</v>
      </c>
      <c r="K29" s="4">
        <f>K27/K15</f>
        <v>2.0400698867657465</v>
      </c>
      <c r="L29" s="4">
        <f>L27/L15</f>
        <v>2.2644775743099781</v>
      </c>
      <c r="M29" s="4">
        <f>M27/M15</f>
        <v>2.5135701074840759</v>
      </c>
      <c r="N29" s="4">
        <f>N27/N15</f>
        <v>2.7900628193073245</v>
      </c>
      <c r="O29" s="4">
        <f>O27/O15</f>
        <v>3.0969697294311302</v>
      </c>
    </row>
    <row r="30" spans="1:147" x14ac:dyDescent="0.2">
      <c r="A30" s="1" t="s">
        <v>32</v>
      </c>
      <c r="J30" s="1">
        <f>J32-J34</f>
        <v>2512.8000000000002</v>
      </c>
      <c r="K30" s="1">
        <f>J30+K14</f>
        <v>2910.0285580250002</v>
      </c>
      <c r="L30" s="1">
        <f>K30+L14</f>
        <v>3532.8948238146031</v>
      </c>
      <c r="M30" s="1">
        <f>L30+M14</f>
        <v>4421.4690335773066</v>
      </c>
      <c r="N30" s="1">
        <f>M30+N14</f>
        <v>5621.4232044020282</v>
      </c>
      <c r="O30" s="1">
        <f>N30+O14</f>
        <v>7184.7513181060913</v>
      </c>
      <c r="Q30" s="1" t="s">
        <v>33</v>
      </c>
      <c r="R30" s="7">
        <v>0.02</v>
      </c>
    </row>
    <row r="31" spans="1:147" x14ac:dyDescent="0.2">
      <c r="Q31" s="1" t="s">
        <v>16</v>
      </c>
      <c r="R31" s="7">
        <v>0.01</v>
      </c>
    </row>
    <row r="32" spans="1:147" x14ac:dyDescent="0.2">
      <c r="A32" s="1" t="s">
        <v>3</v>
      </c>
      <c r="J32" s="1">
        <f>1136.4+1376.4</f>
        <v>2512.8000000000002</v>
      </c>
      <c r="Q32" s="1" t="s">
        <v>17</v>
      </c>
      <c r="R32" s="8">
        <v>8.5000000000000006E-2</v>
      </c>
    </row>
    <row r="33" spans="1:18" x14ac:dyDescent="0.2">
      <c r="Q33" s="1" t="s">
        <v>18</v>
      </c>
      <c r="R33" s="1">
        <f>NPV(R32,K27:EQ27)+main!O5-main!O6</f>
        <v>28000.176101595349</v>
      </c>
    </row>
    <row r="34" spans="1:18" x14ac:dyDescent="0.2">
      <c r="A34" s="1" t="s">
        <v>4</v>
      </c>
      <c r="J34" s="1">
        <v>0</v>
      </c>
      <c r="Q34" s="1" t="s">
        <v>0</v>
      </c>
      <c r="R34" s="4">
        <f>R33/main!O3</f>
        <v>41.283581183055183</v>
      </c>
    </row>
    <row r="35" spans="1:18" x14ac:dyDescent="0.2">
      <c r="Q35" s="1" t="s">
        <v>19</v>
      </c>
      <c r="R35" s="5">
        <f>R34/main!O2-1</f>
        <v>0.29011191197047448</v>
      </c>
    </row>
    <row r="36" spans="1:18" x14ac:dyDescent="0.2">
      <c r="A36" s="1" t="s">
        <v>22</v>
      </c>
      <c r="E36" s="1">
        <v>553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Render Flores</dc:creator>
  <cp:lastModifiedBy>Liam R</cp:lastModifiedBy>
  <dcterms:created xsi:type="dcterms:W3CDTF">2025-02-23T08:30:41Z</dcterms:created>
  <dcterms:modified xsi:type="dcterms:W3CDTF">2025-06-16T04:02:33Z</dcterms:modified>
</cp:coreProperties>
</file>