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D1EB1477-57A1-42DE-A542-6E2E5D65DF53}" xr6:coauthVersionLast="47" xr6:coauthVersionMax="47" xr10:uidLastSave="{00000000-0000-0000-0000-000000000000}"/>
  <bookViews>
    <workbookView xWindow="1620" yWindow="345" windowWidth="22125" windowHeight="14250" activeTab="1" xr2:uid="{D545362F-A2DB-409B-B278-689260F0007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2" l="1"/>
  <c r="O9" i="2"/>
  <c r="P9" i="2"/>
  <c r="Q9" i="2" s="1"/>
  <c r="M9" i="2"/>
  <c r="Q4" i="2"/>
  <c r="P4" i="2"/>
  <c r="O4" i="2"/>
  <c r="N4" i="2"/>
  <c r="N11" i="2"/>
  <c r="O11" i="2" s="1"/>
  <c r="P11" i="2" s="1"/>
  <c r="Q11" i="2" s="1"/>
  <c r="M11" i="2"/>
  <c r="O26" i="2"/>
  <c r="P26" i="2" s="1"/>
  <c r="Q26" i="2" s="1"/>
  <c r="N10" i="2"/>
  <c r="O10" i="2" s="1"/>
  <c r="P10" i="2" s="1"/>
  <c r="Q10" i="2" s="1"/>
  <c r="M10" i="2"/>
  <c r="N8" i="2"/>
  <c r="O8" i="2" s="1"/>
  <c r="P8" i="2" s="1"/>
  <c r="Q8" i="2" s="1"/>
  <c r="M8" i="2"/>
  <c r="K27" i="2"/>
  <c r="L27" i="2"/>
  <c r="M27" i="2"/>
  <c r="J27" i="2"/>
  <c r="K26" i="2"/>
  <c r="L26" i="2"/>
  <c r="J26" i="2"/>
  <c r="K7" i="2"/>
  <c r="L7" i="2"/>
  <c r="J7" i="2"/>
  <c r="M26" i="2"/>
  <c r="N26" i="2" s="1"/>
  <c r="K13" i="2"/>
  <c r="L13" i="2"/>
  <c r="J13" i="2"/>
  <c r="K12" i="2"/>
  <c r="L12" i="2"/>
  <c r="J12" i="2"/>
  <c r="J29" i="2" s="1"/>
  <c r="M4" i="2"/>
  <c r="DO33" i="2"/>
  <c r="DP33" i="2"/>
  <c r="L37" i="2"/>
  <c r="L36" i="2"/>
  <c r="L35" i="2" s="1"/>
  <c r="M14" i="2" s="1"/>
  <c r="M20" i="2"/>
  <c r="N20" i="2" s="1"/>
  <c r="O20" i="2" s="1"/>
  <c r="L22" i="2"/>
  <c r="K22" i="2"/>
  <c r="K2" i="2"/>
  <c r="L2" i="2"/>
  <c r="J2" i="2"/>
  <c r="K29" i="2"/>
  <c r="L29" i="2"/>
  <c r="K1" i="2"/>
  <c r="L1" i="2" s="1"/>
  <c r="M1" i="2" s="1"/>
  <c r="N1" i="2" s="1"/>
  <c r="O1" i="2" s="1"/>
  <c r="P1" i="2" s="1"/>
  <c r="Q1" i="2" s="1"/>
  <c r="M6" i="1"/>
  <c r="M5" i="1"/>
  <c r="M4" i="1"/>
  <c r="M7" i="1" s="1"/>
  <c r="M3" i="1"/>
  <c r="M12" i="2" l="1"/>
  <c r="N12" i="2"/>
  <c r="O12" i="2"/>
  <c r="M6" i="2"/>
  <c r="N22" i="2"/>
  <c r="M22" i="2"/>
  <c r="O22" i="2"/>
  <c r="P20" i="2"/>
  <c r="N6" i="2"/>
  <c r="J28" i="2"/>
  <c r="L16" i="2"/>
  <c r="L18" i="2" s="1"/>
  <c r="L19" i="2" s="1"/>
  <c r="K16" i="2"/>
  <c r="Q12" i="2" l="1"/>
  <c r="P12" i="2"/>
  <c r="N29" i="2"/>
  <c r="L28" i="2"/>
  <c r="K28" i="2"/>
  <c r="J16" i="2"/>
  <c r="Q20" i="2"/>
  <c r="O6" i="2"/>
  <c r="J18" i="2"/>
  <c r="J19" i="2" s="1"/>
  <c r="K18" i="2"/>
  <c r="K19" i="2" s="1"/>
  <c r="P22" i="2" l="1"/>
  <c r="P6" i="2"/>
  <c r="O29" i="2" l="1"/>
  <c r="Q22" i="2"/>
  <c r="Q6" i="2"/>
  <c r="P29" i="2" l="1"/>
  <c r="Q29" i="2"/>
  <c r="M29" i="2"/>
  <c r="Q5" i="2"/>
  <c r="Q7" i="2" s="1"/>
  <c r="P5" i="2"/>
  <c r="O5" i="2"/>
  <c r="O7" i="2" s="1"/>
  <c r="N5" i="2"/>
  <c r="N7" i="2" s="1"/>
  <c r="M5" i="2"/>
  <c r="N13" i="2" l="1"/>
  <c r="N28" i="2" s="1"/>
  <c r="N27" i="2"/>
  <c r="Q13" i="2"/>
  <c r="Q28" i="2" s="1"/>
  <c r="Q27" i="2"/>
  <c r="O13" i="2"/>
  <c r="O28" i="2" s="1"/>
  <c r="O27" i="2"/>
  <c r="M7" i="2"/>
  <c r="M13" i="2" s="1"/>
  <c r="P7" i="2"/>
  <c r="P13" i="2" l="1"/>
  <c r="P28" i="2" s="1"/>
  <c r="P27" i="2"/>
  <c r="M28" i="2"/>
  <c r="M16" i="2"/>
  <c r="M17" i="2" l="1"/>
  <c r="M18" i="2" s="1"/>
  <c r="M35" i="2" l="1"/>
  <c r="N14" i="2" s="1"/>
  <c r="N16" i="2" s="1"/>
  <c r="N17" i="2" s="1"/>
  <c r="M19" i="2"/>
  <c r="N18" i="2" l="1"/>
  <c r="N19" i="2" l="1"/>
  <c r="N35" i="2"/>
  <c r="O14" i="2" l="1"/>
  <c r="O16" i="2" s="1"/>
  <c r="O17" i="2" s="1"/>
  <c r="O18" i="2" l="1"/>
  <c r="O19" i="2" l="1"/>
  <c r="O35" i="2"/>
  <c r="P14" i="2" l="1"/>
  <c r="P16" i="2" s="1"/>
  <c r="P17" i="2" s="1"/>
  <c r="P18" i="2" l="1"/>
  <c r="P33" i="2" s="1"/>
  <c r="P19" i="2" l="1"/>
  <c r="P35" i="2"/>
  <c r="Q14" i="2" l="1"/>
  <c r="Q16" i="2" s="1"/>
  <c r="Q17" i="2" s="1"/>
  <c r="Q18" i="2" l="1"/>
  <c r="Q33" i="2" s="1"/>
  <c r="Q19" i="2" l="1"/>
  <c r="R18" i="2"/>
  <c r="Q35" i="2"/>
  <c r="R33" i="2" l="1"/>
  <c r="S18" i="2"/>
  <c r="T18" i="2" l="1"/>
  <c r="S33" i="2"/>
  <c r="U18" i="2" l="1"/>
  <c r="T33" i="2"/>
  <c r="V18" i="2" l="1"/>
  <c r="U33" i="2"/>
  <c r="W18" i="2" l="1"/>
  <c r="V33" i="2"/>
  <c r="X18" i="2" l="1"/>
  <c r="W33" i="2"/>
  <c r="X33" i="2" l="1"/>
  <c r="Y18" i="2"/>
  <c r="Y33" i="2" l="1"/>
  <c r="Z18" i="2"/>
  <c r="Z33" i="2" l="1"/>
  <c r="AA18" i="2"/>
  <c r="AA33" i="2" l="1"/>
  <c r="AB18" i="2"/>
  <c r="AC18" i="2" l="1"/>
  <c r="AB33" i="2"/>
  <c r="AD18" i="2" l="1"/>
  <c r="AC33" i="2"/>
  <c r="AE18" i="2" l="1"/>
  <c r="AD33" i="2"/>
  <c r="AE33" i="2" l="1"/>
  <c r="AF18" i="2"/>
  <c r="AG18" i="2" l="1"/>
  <c r="AF33" i="2"/>
  <c r="AG33" i="2" l="1"/>
  <c r="AH18" i="2"/>
  <c r="AH33" i="2" l="1"/>
  <c r="AI18" i="2"/>
  <c r="AJ18" i="2" l="1"/>
  <c r="AI33" i="2"/>
  <c r="AK18" i="2" l="1"/>
  <c r="AJ33" i="2"/>
  <c r="AL18" i="2" l="1"/>
  <c r="AK33" i="2"/>
  <c r="AL33" i="2" l="1"/>
  <c r="AM18" i="2"/>
  <c r="AN18" i="2" l="1"/>
  <c r="AM33" i="2"/>
  <c r="AN33" i="2" l="1"/>
  <c r="AO18" i="2"/>
  <c r="AO33" i="2" l="1"/>
  <c r="AP18" i="2"/>
  <c r="AP33" i="2" l="1"/>
  <c r="AQ18" i="2"/>
  <c r="AR18" i="2" l="1"/>
  <c r="AQ33" i="2"/>
  <c r="AS18" i="2" l="1"/>
  <c r="AR33" i="2"/>
  <c r="AT18" i="2" l="1"/>
  <c r="AS33" i="2"/>
  <c r="AT33" i="2" l="1"/>
  <c r="AU18" i="2"/>
  <c r="AV18" i="2" l="1"/>
  <c r="AU33" i="2"/>
  <c r="AW18" i="2" l="1"/>
  <c r="AV33" i="2"/>
  <c r="AW33" i="2" l="1"/>
  <c r="AX18" i="2"/>
  <c r="AX33" i="2" l="1"/>
  <c r="AY18" i="2"/>
  <c r="AZ18" i="2" l="1"/>
  <c r="AY33" i="2"/>
  <c r="BA18" i="2" l="1"/>
  <c r="AZ33" i="2"/>
  <c r="BA33" i="2" l="1"/>
  <c r="BB18" i="2"/>
  <c r="BC18" i="2" l="1"/>
  <c r="BB33" i="2"/>
  <c r="BD18" i="2" l="1"/>
  <c r="BC33" i="2"/>
  <c r="BD33" i="2" l="1"/>
  <c r="BE18" i="2"/>
  <c r="BE33" i="2" l="1"/>
  <c r="BF18" i="2"/>
  <c r="BF33" i="2" l="1"/>
  <c r="BG18" i="2"/>
  <c r="BH18" i="2" l="1"/>
  <c r="BG33" i="2"/>
  <c r="BI18" i="2" l="1"/>
  <c r="BH33" i="2"/>
  <c r="BJ18" i="2" l="1"/>
  <c r="BI33" i="2"/>
  <c r="BK18" i="2" l="1"/>
  <c r="BJ33" i="2"/>
  <c r="BL18" i="2" l="1"/>
  <c r="BK33" i="2"/>
  <c r="BM18" i="2" l="1"/>
  <c r="BL33" i="2"/>
  <c r="BM33" i="2" l="1"/>
  <c r="BN18" i="2"/>
  <c r="BN33" i="2" l="1"/>
  <c r="BO18" i="2"/>
  <c r="BO33" i="2" l="1"/>
  <c r="BP18" i="2"/>
  <c r="BQ18" i="2" l="1"/>
  <c r="BP33" i="2"/>
  <c r="BQ33" i="2" l="1"/>
  <c r="BR18" i="2"/>
  <c r="BR33" i="2" l="1"/>
  <c r="BS18" i="2"/>
  <c r="BS33" i="2" l="1"/>
  <c r="BT18" i="2"/>
  <c r="BU18" i="2" l="1"/>
  <c r="BT33" i="2"/>
  <c r="BU33" i="2" l="1"/>
  <c r="BV18" i="2"/>
  <c r="BV33" i="2" l="1"/>
  <c r="BW18" i="2"/>
  <c r="BX18" i="2" l="1"/>
  <c r="BW33" i="2"/>
  <c r="BX33" i="2" l="1"/>
  <c r="BY18" i="2"/>
  <c r="BZ18" i="2" l="1"/>
  <c r="BY33" i="2"/>
  <c r="BZ33" i="2" l="1"/>
  <c r="CA18" i="2"/>
  <c r="CB18" i="2" l="1"/>
  <c r="CA33" i="2"/>
  <c r="CB33" i="2" l="1"/>
  <c r="CC18" i="2"/>
  <c r="CC33" i="2" l="1"/>
  <c r="CD18" i="2"/>
  <c r="CD33" i="2" l="1"/>
  <c r="CE18" i="2"/>
  <c r="CF18" i="2" l="1"/>
  <c r="CE33" i="2"/>
  <c r="CF33" i="2" l="1"/>
  <c r="CG18" i="2"/>
  <c r="CH18" i="2" l="1"/>
  <c r="CG33" i="2"/>
  <c r="CI18" i="2" l="1"/>
  <c r="CH33" i="2"/>
  <c r="CI33" i="2" l="1"/>
  <c r="CJ18" i="2"/>
  <c r="CK18" i="2" l="1"/>
  <c r="CJ33" i="2"/>
  <c r="CL18" i="2" l="1"/>
  <c r="CK33" i="2"/>
  <c r="CL33" i="2" l="1"/>
  <c r="CM18" i="2"/>
  <c r="CN18" i="2" l="1"/>
  <c r="CM33" i="2"/>
  <c r="CO18" i="2" l="1"/>
  <c r="CN33" i="2"/>
  <c r="CP18" i="2" l="1"/>
  <c r="CO33" i="2"/>
  <c r="CP33" i="2" l="1"/>
  <c r="CQ18" i="2"/>
  <c r="CR18" i="2" l="1"/>
  <c r="CQ33" i="2"/>
  <c r="CR33" i="2" l="1"/>
  <c r="CS18" i="2"/>
  <c r="CT18" i="2" l="1"/>
  <c r="CS33" i="2"/>
  <c r="CT33" i="2" l="1"/>
  <c r="CU18" i="2"/>
  <c r="CU33" i="2" l="1"/>
  <c r="CV18" i="2"/>
  <c r="CW18" i="2" l="1"/>
  <c r="CV33" i="2"/>
  <c r="CX18" i="2" l="1"/>
  <c r="CW33" i="2"/>
  <c r="CY18" i="2" l="1"/>
  <c r="CX33" i="2"/>
  <c r="CZ18" i="2" l="1"/>
  <c r="CY33" i="2"/>
  <c r="DA18" i="2" l="1"/>
  <c r="CZ33" i="2"/>
  <c r="DA33" i="2" l="1"/>
  <c r="DB18" i="2"/>
  <c r="DB33" i="2" l="1"/>
  <c r="DC18" i="2"/>
  <c r="DD18" i="2" l="1"/>
  <c r="DC33" i="2"/>
  <c r="DE18" i="2" l="1"/>
  <c r="DD33" i="2"/>
  <c r="DF18" i="2" l="1"/>
  <c r="DE33" i="2"/>
  <c r="DG18" i="2" l="1"/>
  <c r="DF33" i="2"/>
  <c r="DH18" i="2" l="1"/>
  <c r="DG33" i="2"/>
  <c r="DH33" i="2" l="1"/>
  <c r="DI18" i="2"/>
  <c r="DI33" i="2" l="1"/>
  <c r="DJ18" i="2"/>
  <c r="DJ33" i="2" l="1"/>
  <c r="DK18" i="2"/>
  <c r="DK33" i="2" l="1"/>
  <c r="DL18" i="2"/>
  <c r="DM18" i="2" l="1"/>
  <c r="DL33" i="2"/>
  <c r="DN18" i="2" l="1"/>
  <c r="DN33" i="2" s="1"/>
  <c r="DM33" i="2"/>
  <c r="T24" i="2" l="1"/>
  <c r="T25" i="2" s="1"/>
  <c r="T26" i="2" s="1"/>
</calcChain>
</file>

<file path=xl/sharedStrings.xml><?xml version="1.0" encoding="utf-8"?>
<sst xmlns="http://schemas.openxmlformats.org/spreadsheetml/2006/main" count="51" uniqueCount="43">
  <si>
    <t>Price</t>
  </si>
  <si>
    <t>Shares</t>
  </si>
  <si>
    <t>MC</t>
  </si>
  <si>
    <t>Cash</t>
  </si>
  <si>
    <t>Debt</t>
  </si>
  <si>
    <t>EV</t>
  </si>
  <si>
    <t>Main</t>
  </si>
  <si>
    <t>Revenue</t>
  </si>
  <si>
    <t>COGS</t>
  </si>
  <si>
    <t>Gross Profit</t>
  </si>
  <si>
    <t>Developer Exchange Fees</t>
  </si>
  <si>
    <t>Infrastructure &amp; Trust and Safety</t>
  </si>
  <si>
    <t>R&amp;D</t>
  </si>
  <si>
    <t>G&amp;A</t>
  </si>
  <si>
    <t>S&amp;M</t>
  </si>
  <si>
    <t>Operating Expenses</t>
  </si>
  <si>
    <t>Operating Income</t>
  </si>
  <si>
    <t>Interest Income</t>
  </si>
  <si>
    <t>Interest Expense</t>
  </si>
  <si>
    <t>Pretax Income</t>
  </si>
  <si>
    <t>Tax</t>
  </si>
  <si>
    <t>Net Income</t>
  </si>
  <si>
    <t>EPS</t>
  </si>
  <si>
    <t>Revenue y/y</t>
  </si>
  <si>
    <t>Operating Margin</t>
  </si>
  <si>
    <t>OPEX Margin</t>
  </si>
  <si>
    <t>CFFO</t>
  </si>
  <si>
    <t>CX</t>
  </si>
  <si>
    <t>FCF</t>
  </si>
  <si>
    <t>Net Cash</t>
  </si>
  <si>
    <t>Q124</t>
  </si>
  <si>
    <t>Q225</t>
  </si>
  <si>
    <t>Q325</t>
  </si>
  <si>
    <t>Q425</t>
  </si>
  <si>
    <t>Q125</t>
  </si>
  <si>
    <t>DevEx % of R</t>
  </si>
  <si>
    <t>ROIC</t>
  </si>
  <si>
    <t>Maturity</t>
  </si>
  <si>
    <t>Discount</t>
  </si>
  <si>
    <t>NPV</t>
  </si>
  <si>
    <t>Diff</t>
  </si>
  <si>
    <t>COGS Gross Margin</t>
  </si>
  <si>
    <t>Gross Margin DEVEX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</si>
</sst>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3" fontId="4" fillId="0" borderId="0" xfId="1" applyNumberFormat="1" applyFont="1"/>
    <xf numFmtId="1" fontId="1" fillId="0" borderId="0" xfId="0" applyNumberFormat="1" applyFont="1"/>
    <xf numFmtId="9" fontId="1" fillId="0" borderId="0" xfId="0" applyNumberFormat="1" applyFont="1"/>
    <xf numFmtId="3" fontId="3" fillId="0" borderId="0" xfId="0" applyNumberFormat="1" applyFont="1"/>
    <xf numFmtId="10" fontId="1" fillId="0" borderId="0" xfId="0" applyNumberFormat="1" applyFont="1"/>
    <xf numFmtId="9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0</xdr:row>
      <xdr:rowOff>19050</xdr:rowOff>
    </xdr:from>
    <xdr:to>
      <xdr:col>12</xdr:col>
      <xdr:colOff>19050</xdr:colOff>
      <xdr:row>47</xdr:row>
      <xdr:rowOff>171450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F9F43BF-BB83-2418-0651-232DDADA80E4}"/>
            </a:ext>
          </a:extLst>
        </xdr:cNvPr>
        <xdr:cNvCxnSpPr/>
      </xdr:nvCxnSpPr>
      <xdr:spPr>
        <a:xfrm>
          <a:off x="9248775" y="19050"/>
          <a:ext cx="38100" cy="7981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0</xdr:row>
      <xdr:rowOff>0</xdr:rowOff>
    </xdr:from>
    <xdr:to>
      <xdr:col>7</xdr:col>
      <xdr:colOff>38100</xdr:colOff>
      <xdr:row>47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8F7D69B-8DE2-4959-A572-5F0D1AC0B5F8}"/>
            </a:ext>
          </a:extLst>
        </xdr:cNvPr>
        <xdr:cNvCxnSpPr/>
      </xdr:nvCxnSpPr>
      <xdr:spPr>
        <a:xfrm>
          <a:off x="5838825" y="0"/>
          <a:ext cx="38100" cy="7981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8537A-CAB1-4105-ABA0-9FB819746A55}">
  <dimension ref="A1:N7"/>
  <sheetViews>
    <sheetView zoomScale="115" zoomScaleNormal="115" workbookViewId="0">
      <selection activeCell="M3" sqref="M3"/>
    </sheetView>
  </sheetViews>
  <sheetFormatPr defaultRowHeight="12.75" x14ac:dyDescent="0.2"/>
  <cols>
    <col min="1" max="16384" width="9" style="2"/>
  </cols>
  <sheetData>
    <row r="1" spans="1:14" x14ac:dyDescent="0.2">
      <c r="A1" s="1"/>
    </row>
    <row r="2" spans="1:14" x14ac:dyDescent="0.2">
      <c r="L2" s="2" t="s">
        <v>0</v>
      </c>
      <c r="M2" s="3">
        <v>96</v>
      </c>
    </row>
    <row r="3" spans="1:14" x14ac:dyDescent="0.2">
      <c r="L3" s="2" t="s">
        <v>1</v>
      </c>
      <c r="M3" s="4">
        <f>629.99+48.293</f>
        <v>678.28300000000002</v>
      </c>
      <c r="N3" s="2" t="s">
        <v>34</v>
      </c>
    </row>
    <row r="4" spans="1:14" x14ac:dyDescent="0.2">
      <c r="L4" s="2" t="s">
        <v>2</v>
      </c>
      <c r="M4" s="4">
        <f>M3*M2</f>
        <v>65115.168000000005</v>
      </c>
    </row>
    <row r="5" spans="1:14" x14ac:dyDescent="0.2">
      <c r="L5" s="2" t="s">
        <v>3</v>
      </c>
      <c r="M5" s="4">
        <f>1158.68+1585.85</f>
        <v>2744.5299999999997</v>
      </c>
      <c r="N5" s="2" t="s">
        <v>34</v>
      </c>
    </row>
    <row r="6" spans="1:14" x14ac:dyDescent="0.2">
      <c r="L6" s="2" t="s">
        <v>4</v>
      </c>
      <c r="M6" s="4">
        <f>1006.7+56.15+667+1606.2</f>
        <v>3336.05</v>
      </c>
      <c r="N6" s="2" t="s">
        <v>34</v>
      </c>
    </row>
    <row r="7" spans="1:14" x14ac:dyDescent="0.2">
      <c r="L7" s="2" t="s">
        <v>5</v>
      </c>
      <c r="M7" s="4">
        <f>M4+M6-M5</f>
        <v>65706.688000000009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B609E-4374-4BEC-B6D4-612C377C6303}">
  <dimension ref="A1:DP37"/>
  <sheetViews>
    <sheetView tabSelected="1" zoomScale="130" zoomScaleNormal="130" workbookViewId="0">
      <pane xSplit="2" ySplit="1" topLeftCell="K3" activePane="bottomRight" state="frozen"/>
      <selection pane="topRight" activeCell="C1" sqref="C1"/>
      <selection pane="bottomLeft" activeCell="A2" sqref="A2"/>
      <selection pane="bottomRight" activeCell="U9" sqref="U9"/>
    </sheetView>
  </sheetViews>
  <sheetFormatPr defaultRowHeight="12.75" x14ac:dyDescent="0.2"/>
  <cols>
    <col min="1" max="1" width="4.625" style="4" customWidth="1"/>
    <col min="2" max="2" width="27" style="4" customWidth="1"/>
    <col min="3" max="16384" width="9" style="4"/>
  </cols>
  <sheetData>
    <row r="1" spans="1:17" x14ac:dyDescent="0.2">
      <c r="A1" s="5" t="s">
        <v>6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31</v>
      </c>
      <c r="J1" s="6">
        <v>2022</v>
      </c>
      <c r="K1" s="6">
        <f>J1+1</f>
        <v>2023</v>
      </c>
      <c r="L1" s="6">
        <f t="shared" ref="L1:Q1" si="0">K1+1</f>
        <v>2024</v>
      </c>
      <c r="M1" s="6">
        <f t="shared" si="0"/>
        <v>2025</v>
      </c>
      <c r="N1" s="6">
        <f t="shared" si="0"/>
        <v>2026</v>
      </c>
      <c r="O1" s="6">
        <f t="shared" si="0"/>
        <v>2027</v>
      </c>
      <c r="P1" s="6">
        <f>O1+1</f>
        <v>2028</v>
      </c>
      <c r="Q1" s="6">
        <f t="shared" si="0"/>
        <v>2029</v>
      </c>
    </row>
    <row r="2" spans="1:17" x14ac:dyDescent="0.2">
      <c r="A2" s="5"/>
      <c r="B2" s="4" t="s">
        <v>35</v>
      </c>
      <c r="J2" s="7">
        <f>J6/J4</f>
        <v>0.28035955056179773</v>
      </c>
      <c r="K2" s="7">
        <f>K6/K4</f>
        <v>0.26462917976564737</v>
      </c>
      <c r="L2" s="7">
        <f>L6/L4</f>
        <v>0.25619100499722375</v>
      </c>
      <c r="M2" s="7">
        <v>0.26</v>
      </c>
      <c r="N2" s="7">
        <v>0.26</v>
      </c>
      <c r="O2" s="7">
        <v>0.24</v>
      </c>
      <c r="P2" s="7">
        <v>0.24</v>
      </c>
      <c r="Q2" s="7">
        <v>0.24</v>
      </c>
    </row>
    <row r="3" spans="1:17" x14ac:dyDescent="0.2">
      <c r="A3" s="5"/>
      <c r="J3" s="7"/>
      <c r="K3" s="7"/>
      <c r="L3" s="7"/>
      <c r="M3" s="6"/>
      <c r="N3" s="6"/>
      <c r="O3" s="6"/>
      <c r="P3" s="6"/>
      <c r="Q3" s="6"/>
    </row>
    <row r="4" spans="1:17" s="8" customFormat="1" x14ac:dyDescent="0.2">
      <c r="A4" s="4"/>
      <c r="B4" s="8" t="s">
        <v>7</v>
      </c>
      <c r="J4" s="8">
        <v>2225</v>
      </c>
      <c r="K4" s="8">
        <v>2799.2</v>
      </c>
      <c r="L4" s="8">
        <v>3602</v>
      </c>
      <c r="M4" s="8">
        <f>L4*1.3</f>
        <v>4682.6000000000004</v>
      </c>
      <c r="N4" s="8">
        <f>M4*1.33</f>
        <v>6227.8580000000011</v>
      </c>
      <c r="O4" s="8">
        <f>N4*1.35</f>
        <v>8407.6083000000017</v>
      </c>
      <c r="P4" s="8">
        <f>O4*1.38</f>
        <v>11602.499454000001</v>
      </c>
      <c r="Q4" s="8">
        <f>P4*1.4</f>
        <v>16243.4992356</v>
      </c>
    </row>
    <row r="5" spans="1:17" x14ac:dyDescent="0.2">
      <c r="B5" s="4" t="s">
        <v>8</v>
      </c>
      <c r="J5" s="4">
        <v>547.65</v>
      </c>
      <c r="K5" s="4">
        <v>649.1</v>
      </c>
      <c r="L5" s="4">
        <v>801.16</v>
      </c>
      <c r="M5" s="4">
        <f>M4*(1-M26)</f>
        <v>1005.0970799999999</v>
      </c>
      <c r="N5" s="4">
        <f>N4*(1-N26)</f>
        <v>1287.8683275640003</v>
      </c>
      <c r="O5" s="4">
        <f>O4*(1-O26)</f>
        <v>1671.9323816335145</v>
      </c>
      <c r="P5" s="4">
        <f>P4*(1-P26)</f>
        <v>2214.3143589807914</v>
      </c>
      <c r="Q5" s="4">
        <f>Q4*(1-Q26)</f>
        <v>2968.6055112428394</v>
      </c>
    </row>
    <row r="6" spans="1:17" x14ac:dyDescent="0.2">
      <c r="B6" s="4" t="s">
        <v>10</v>
      </c>
      <c r="J6" s="4">
        <v>623.79999999999995</v>
      </c>
      <c r="K6" s="4">
        <v>740.75</v>
      </c>
      <c r="L6" s="4">
        <v>922.8</v>
      </c>
      <c r="M6" s="4">
        <f>M4*M2</f>
        <v>1217.4760000000001</v>
      </c>
      <c r="N6" s="4">
        <f>N4*N2</f>
        <v>1619.2430800000004</v>
      </c>
      <c r="O6" s="4">
        <f>O4*O2</f>
        <v>2017.8259920000003</v>
      </c>
      <c r="P6" s="4">
        <f>P4*P2</f>
        <v>2784.5998689600001</v>
      </c>
      <c r="Q6" s="4">
        <f>Q4*Q2</f>
        <v>3898.4398165439998</v>
      </c>
    </row>
    <row r="7" spans="1:17" x14ac:dyDescent="0.2">
      <c r="B7" s="4" t="s">
        <v>9</v>
      </c>
      <c r="J7" s="4">
        <f>J4-SUM(J5:J6)</f>
        <v>1053.5500000000002</v>
      </c>
      <c r="K7" s="4">
        <f t="shared" ref="K7:Q7" si="1">K4-SUM(K5:K6)</f>
        <v>1409.35</v>
      </c>
      <c r="L7" s="4">
        <f t="shared" si="1"/>
        <v>1878.04</v>
      </c>
      <c r="M7" s="4">
        <f t="shared" si="1"/>
        <v>2460.0269200000002</v>
      </c>
      <c r="N7" s="4">
        <f t="shared" si="1"/>
        <v>3320.7465924360004</v>
      </c>
      <c r="O7" s="4">
        <f t="shared" si="1"/>
        <v>4717.8499263664871</v>
      </c>
      <c r="P7" s="4">
        <f t="shared" si="1"/>
        <v>6603.5852260592092</v>
      </c>
      <c r="Q7" s="4">
        <f t="shared" si="1"/>
        <v>9376.4539078131602</v>
      </c>
    </row>
    <row r="8" spans="1:17" x14ac:dyDescent="0.2">
      <c r="B8" s="4" t="s">
        <v>11</v>
      </c>
      <c r="J8" s="4">
        <v>689.1</v>
      </c>
      <c r="K8" s="4">
        <v>878.4</v>
      </c>
      <c r="L8" s="4">
        <v>915.4</v>
      </c>
      <c r="M8" s="4">
        <f>L8*1.05</f>
        <v>961.17000000000007</v>
      </c>
      <c r="N8" s="4">
        <f t="shared" ref="N8:Q9" si="2">M8*1.05</f>
        <v>1009.2285000000002</v>
      </c>
      <c r="O8" s="4">
        <f t="shared" si="2"/>
        <v>1059.6899250000001</v>
      </c>
      <c r="P8" s="4">
        <f t="shared" si="2"/>
        <v>1112.6744212500003</v>
      </c>
      <c r="Q8" s="4">
        <f t="shared" si="2"/>
        <v>1168.3081423125004</v>
      </c>
    </row>
    <row r="9" spans="1:17" x14ac:dyDescent="0.2">
      <c r="B9" s="4" t="s">
        <v>12</v>
      </c>
      <c r="I9" s="7"/>
      <c r="J9" s="4">
        <v>873.5</v>
      </c>
      <c r="K9" s="4">
        <v>1253.5999999999999</v>
      </c>
      <c r="L9" s="4">
        <v>1444.2</v>
      </c>
      <c r="M9" s="4">
        <f>L9*1.1</f>
        <v>1588.6200000000001</v>
      </c>
      <c r="N9" s="4">
        <f t="shared" ref="N9:Q9" si="3">M9*1.1</f>
        <v>1747.4820000000002</v>
      </c>
      <c r="O9" s="4">
        <f t="shared" si="3"/>
        <v>1922.2302000000004</v>
      </c>
      <c r="P9" s="4">
        <f t="shared" si="3"/>
        <v>2114.4532200000008</v>
      </c>
      <c r="Q9" s="4">
        <f t="shared" si="3"/>
        <v>2325.8985420000013</v>
      </c>
    </row>
    <row r="10" spans="1:17" x14ac:dyDescent="0.2">
      <c r="B10" s="4" t="s">
        <v>13</v>
      </c>
      <c r="I10" s="7"/>
      <c r="J10" s="4">
        <v>297.3</v>
      </c>
      <c r="K10" s="4">
        <v>390.1</v>
      </c>
      <c r="L10" s="4">
        <v>407.5</v>
      </c>
      <c r="M10" s="4">
        <f>L10*1.03</f>
        <v>419.72500000000002</v>
      </c>
      <c r="N10" s="4">
        <f t="shared" ref="N10:Q10" si="4">M10*1.03</f>
        <v>432.31675000000001</v>
      </c>
      <c r="O10" s="4">
        <f t="shared" si="4"/>
        <v>445.28625250000005</v>
      </c>
      <c r="P10" s="4">
        <f t="shared" si="4"/>
        <v>458.64484007500005</v>
      </c>
      <c r="Q10" s="4">
        <f t="shared" si="4"/>
        <v>472.40418527725006</v>
      </c>
    </row>
    <row r="11" spans="1:17" x14ac:dyDescent="0.2">
      <c r="B11" s="4" t="s">
        <v>14</v>
      </c>
      <c r="J11" s="4">
        <v>117.5</v>
      </c>
      <c r="K11" s="4">
        <v>146.5</v>
      </c>
      <c r="L11" s="4">
        <v>174.2</v>
      </c>
      <c r="M11" s="4">
        <f>L11*1.06</f>
        <v>184.65199999999999</v>
      </c>
      <c r="N11" s="4">
        <f t="shared" ref="N11:Q11" si="5">M11*1.06</f>
        <v>195.73112</v>
      </c>
      <c r="O11" s="4">
        <f t="shared" si="5"/>
        <v>207.47498720000002</v>
      </c>
      <c r="P11" s="4">
        <f t="shared" si="5"/>
        <v>219.92348643200003</v>
      </c>
      <c r="Q11" s="4">
        <f t="shared" si="5"/>
        <v>233.11889561792006</v>
      </c>
    </row>
    <row r="12" spans="1:17" x14ac:dyDescent="0.2">
      <c r="B12" s="4" t="s">
        <v>15</v>
      </c>
      <c r="J12" s="4">
        <f>SUM(J8:J11)</f>
        <v>1977.3999999999999</v>
      </c>
      <c r="K12" s="4">
        <f t="shared" ref="K12:Q12" si="6">SUM(K8:K11)</f>
        <v>2668.6</v>
      </c>
      <c r="L12" s="4">
        <f t="shared" si="6"/>
        <v>2941.2999999999997</v>
      </c>
      <c r="M12" s="4">
        <f t="shared" si="6"/>
        <v>3154.1669999999999</v>
      </c>
      <c r="N12" s="4">
        <f t="shared" si="6"/>
        <v>3384.75837</v>
      </c>
      <c r="O12" s="4">
        <f t="shared" si="6"/>
        <v>3634.6813647000008</v>
      </c>
      <c r="P12" s="4">
        <f t="shared" si="6"/>
        <v>3905.6959677570012</v>
      </c>
      <c r="Q12" s="4">
        <f t="shared" si="6"/>
        <v>4199.7297652076722</v>
      </c>
    </row>
    <row r="13" spans="1:17" x14ac:dyDescent="0.2">
      <c r="B13" s="4" t="s">
        <v>16</v>
      </c>
      <c r="J13" s="4">
        <f>J7-J12</f>
        <v>-923.84999999999968</v>
      </c>
      <c r="K13" s="4">
        <f t="shared" ref="K13:Q13" si="7">K7-K12</f>
        <v>-1259.25</v>
      </c>
      <c r="L13" s="4">
        <f t="shared" si="7"/>
        <v>-1063.2599999999998</v>
      </c>
      <c r="M13" s="4">
        <f t="shared" si="7"/>
        <v>-694.14007999999967</v>
      </c>
      <c r="N13" s="4">
        <f t="shared" si="7"/>
        <v>-64.011777563999658</v>
      </c>
      <c r="O13" s="4">
        <f t="shared" si="7"/>
        <v>1083.1685616664863</v>
      </c>
      <c r="P13" s="4">
        <f t="shared" si="7"/>
        <v>2697.889258302208</v>
      </c>
      <c r="Q13" s="4">
        <f t="shared" si="7"/>
        <v>5176.7241426054879</v>
      </c>
    </row>
    <row r="14" spans="1:17" x14ac:dyDescent="0.2">
      <c r="B14" s="4" t="s">
        <v>17</v>
      </c>
      <c r="J14" s="4">
        <v>38.799999999999997</v>
      </c>
      <c r="K14" s="4">
        <v>141.80000000000001</v>
      </c>
      <c r="L14" s="4">
        <v>179.5</v>
      </c>
      <c r="M14" s="4">
        <f>L35*$T$21</f>
        <v>-11.83040000000001</v>
      </c>
      <c r="N14" s="4">
        <f>M35*$T$21</f>
        <v>-23.125927680000004</v>
      </c>
      <c r="O14" s="4">
        <f>N35*$T$21</f>
        <v>-24.520130963903998</v>
      </c>
      <c r="P14" s="4">
        <f>O35*$T$21</f>
        <v>-7.5817560726626816</v>
      </c>
      <c r="Q14" s="4">
        <f>P35*$T$21</f>
        <v>35.463163963010039</v>
      </c>
    </row>
    <row r="15" spans="1:17" x14ac:dyDescent="0.2">
      <c r="B15" s="4" t="s">
        <v>18</v>
      </c>
      <c r="J15" s="4">
        <v>-39.9</v>
      </c>
      <c r="K15" s="4">
        <v>-41</v>
      </c>
      <c r="L15" s="4">
        <v>-41.2</v>
      </c>
      <c r="M15" s="7"/>
    </row>
    <row r="16" spans="1:17" x14ac:dyDescent="0.2">
      <c r="B16" s="4" t="s">
        <v>19</v>
      </c>
      <c r="J16" s="4">
        <f>SUM(J13:J15)</f>
        <v>-924.9499999999997</v>
      </c>
      <c r="K16" s="4">
        <f t="shared" ref="K16:L16" si="8">SUM(K13:K15)</f>
        <v>-1158.45</v>
      </c>
      <c r="L16" s="4">
        <f t="shared" si="8"/>
        <v>-924.95999999999981</v>
      </c>
      <c r="M16" s="4">
        <f t="shared" ref="M16" si="9">SUM(M13:M15)</f>
        <v>-705.97047999999972</v>
      </c>
      <c r="N16" s="4">
        <f t="shared" ref="N16" si="10">SUM(N13:N15)</f>
        <v>-87.137705243999662</v>
      </c>
      <c r="O16" s="4">
        <f t="shared" ref="O16" si="11">SUM(O13:O15)</f>
        <v>1058.6484307025823</v>
      </c>
      <c r="P16" s="4">
        <f t="shared" ref="P16" si="12">SUM(P13:P15)</f>
        <v>2690.3075022295452</v>
      </c>
      <c r="Q16" s="4">
        <f t="shared" ref="Q16" si="13">SUM(Q13:Q15)</f>
        <v>5212.1873065684977</v>
      </c>
    </row>
    <row r="17" spans="1:118" x14ac:dyDescent="0.2">
      <c r="B17" s="4" t="s">
        <v>20</v>
      </c>
      <c r="J17" s="4">
        <v>3.5</v>
      </c>
      <c r="K17" s="4">
        <v>0.4</v>
      </c>
      <c r="L17" s="4">
        <v>4.0999999999999996</v>
      </c>
      <c r="M17" s="4">
        <f>M16*0.2</f>
        <v>-141.19409599999994</v>
      </c>
      <c r="N17" s="4">
        <f t="shared" ref="N17:Q17" si="14">N16*0.2</f>
        <v>-17.427541048799934</v>
      </c>
      <c r="O17" s="4">
        <f t="shared" si="14"/>
        <v>211.72968614051649</v>
      </c>
      <c r="P17" s="4">
        <f t="shared" si="14"/>
        <v>538.06150044590902</v>
      </c>
      <c r="Q17" s="4">
        <f t="shared" si="14"/>
        <v>1042.4374613136995</v>
      </c>
    </row>
    <row r="18" spans="1:118" s="8" customFormat="1" x14ac:dyDescent="0.2">
      <c r="A18" s="4"/>
      <c r="B18" s="8" t="s">
        <v>21</v>
      </c>
      <c r="J18" s="8">
        <f>J16-J17</f>
        <v>-928.4499999999997</v>
      </c>
      <c r="K18" s="8">
        <f t="shared" ref="K18:L18" si="15">K16-K17</f>
        <v>-1158.8500000000001</v>
      </c>
      <c r="L18" s="8">
        <f t="shared" si="15"/>
        <v>-929.05999999999983</v>
      </c>
      <c r="M18" s="8">
        <f t="shared" ref="M18" si="16">M16-M17</f>
        <v>-564.77638399999978</v>
      </c>
      <c r="N18" s="8">
        <f t="shared" ref="N18" si="17">N16-N17</f>
        <v>-69.710164195199724</v>
      </c>
      <c r="O18" s="8">
        <f t="shared" ref="O18" si="18">O16-O17</f>
        <v>846.91874456206585</v>
      </c>
      <c r="P18" s="8">
        <f t="shared" ref="P18" si="19">P16-P17</f>
        <v>2152.2460017836361</v>
      </c>
      <c r="Q18" s="8">
        <f t="shared" ref="Q18" si="20">Q16-Q17</f>
        <v>4169.7498452547979</v>
      </c>
      <c r="R18" s="8">
        <f>Q18*(1+$T$22)</f>
        <v>4253.1448421598943</v>
      </c>
      <c r="S18" s="8">
        <f>R18*(1+$T$22)</f>
        <v>4338.2077390030927</v>
      </c>
      <c r="T18" s="8">
        <f>S18*(1+$T$22)</f>
        <v>4424.9718937831549</v>
      </c>
      <c r="U18" s="8">
        <f>T18*(1+$T$22)</f>
        <v>4513.4713316588177</v>
      </c>
      <c r="V18" s="8">
        <f>U18*(1+$T$22)</f>
        <v>4603.7407582919941</v>
      </c>
      <c r="W18" s="8">
        <f>V18*(1+$T$22)</f>
        <v>4695.815573457834</v>
      </c>
      <c r="X18" s="8">
        <f>W18*(1+$T$22)</f>
        <v>4789.7318849269905</v>
      </c>
      <c r="Y18" s="8">
        <f>X18*(1+$T$22)</f>
        <v>4885.5265226255306</v>
      </c>
      <c r="Z18" s="8">
        <f>Y18*(1+$T$22)</f>
        <v>4983.2370530780408</v>
      </c>
      <c r="AA18" s="8">
        <f>Z18*(1+$T$22)</f>
        <v>5082.9017941396014</v>
      </c>
      <c r="AB18" s="8">
        <f>AA18*(1+$T$22)</f>
        <v>5184.5598300223937</v>
      </c>
      <c r="AC18" s="8">
        <f>AB18*(1+$T$22)</f>
        <v>5288.2510266228419</v>
      </c>
      <c r="AD18" s="8">
        <f>AC18*(1+$T$22)</f>
        <v>5394.016047155299</v>
      </c>
      <c r="AE18" s="8">
        <f>AD18*(1+$T$22)</f>
        <v>5501.8963680984052</v>
      </c>
      <c r="AF18" s="8">
        <f>AE18*(1+$T$22)</f>
        <v>5611.9342954603735</v>
      </c>
      <c r="AG18" s="8">
        <f>AF18*(1+$T$22)</f>
        <v>5724.1729813695811</v>
      </c>
      <c r="AH18" s="8">
        <f>AG18*(1+$T$22)</f>
        <v>5838.6564409969724</v>
      </c>
      <c r="AI18" s="8">
        <f>AH18*(1+$T$22)</f>
        <v>5955.4295698169117</v>
      </c>
      <c r="AJ18" s="8">
        <f>AI18*(1+$T$22)</f>
        <v>6074.5381612132496</v>
      </c>
      <c r="AK18" s="8">
        <f>AJ18*(1+$T$22)</f>
        <v>6196.0289244375144</v>
      </c>
      <c r="AL18" s="8">
        <f>AK18*(1+$T$22)</f>
        <v>6319.9495029262653</v>
      </c>
      <c r="AM18" s="8">
        <f>AL18*(1+$T$22)</f>
        <v>6446.3484929847909</v>
      </c>
      <c r="AN18" s="8">
        <f>AM18*(1+$T$22)</f>
        <v>6575.2754628444873</v>
      </c>
      <c r="AO18" s="8">
        <f>AN18*(1+$T$22)</f>
        <v>6706.7809721013773</v>
      </c>
      <c r="AP18" s="8">
        <f>AO18*(1+$T$22)</f>
        <v>6840.916591543405</v>
      </c>
      <c r="AQ18" s="8">
        <f>AP18*(1+$T$22)</f>
        <v>6977.7349233742734</v>
      </c>
      <c r="AR18" s="8">
        <f>AQ18*(1+$T$22)</f>
        <v>7117.2896218417591</v>
      </c>
      <c r="AS18" s="8">
        <f>AR18*(1+$T$22)</f>
        <v>7259.635414278594</v>
      </c>
      <c r="AT18" s="8">
        <f>AS18*(1+$T$22)</f>
        <v>7404.8281225641658</v>
      </c>
      <c r="AU18" s="8">
        <f>AT18*(1+$T$22)</f>
        <v>7552.9246850154495</v>
      </c>
      <c r="AV18" s="8">
        <f>AU18*(1+$T$22)</f>
        <v>7703.9831787157591</v>
      </c>
      <c r="AW18" s="8">
        <f>AV18*(1+$T$22)</f>
        <v>7858.0628422900745</v>
      </c>
      <c r="AX18" s="8">
        <f>AW18*(1+$T$22)</f>
        <v>8015.2240991358758</v>
      </c>
      <c r="AY18" s="8">
        <f>AX18*(1+$T$22)</f>
        <v>8175.5285811185931</v>
      </c>
      <c r="AZ18" s="8">
        <f>AY18*(1+$T$22)</f>
        <v>8339.0391527409647</v>
      </c>
      <c r="BA18" s="8">
        <f>AZ18*(1+$T$22)</f>
        <v>8505.8199357957837</v>
      </c>
      <c r="BB18" s="8">
        <f>BA18*(1+$T$22)</f>
        <v>8675.9363345116999</v>
      </c>
      <c r="BC18" s="8">
        <f>BB18*(1+$T$22)</f>
        <v>8849.4550612019339</v>
      </c>
      <c r="BD18" s="8">
        <f>BC18*(1+$T$22)</f>
        <v>9026.4441624259725</v>
      </c>
      <c r="BE18" s="8">
        <f>BD18*(1+$T$22)</f>
        <v>9206.9730456744928</v>
      </c>
      <c r="BF18" s="8">
        <f>BE18*(1+$T$22)</f>
        <v>9391.1125065879824</v>
      </c>
      <c r="BG18" s="8">
        <f>BF18*(1+$T$22)</f>
        <v>9578.9347567197419</v>
      </c>
      <c r="BH18" s="8">
        <f>BG18*(1+$T$22)</f>
        <v>9770.5134518541363</v>
      </c>
      <c r="BI18" s="8">
        <f>BH18*(1+$T$22)</f>
        <v>9965.92372089122</v>
      </c>
      <c r="BJ18" s="8">
        <f>BI18*(1+$T$22)</f>
        <v>10165.242195309045</v>
      </c>
      <c r="BK18" s="8">
        <f>BJ18*(1+$T$22)</f>
        <v>10368.547039215226</v>
      </c>
      <c r="BL18" s="8">
        <f>BK18*(1+$T$22)</f>
        <v>10575.917979999531</v>
      </c>
      <c r="BM18" s="8">
        <f>BL18*(1+$T$22)</f>
        <v>10787.436339599522</v>
      </c>
      <c r="BN18" s="8">
        <f>BM18*(1+$T$22)</f>
        <v>11003.185066391514</v>
      </c>
      <c r="BO18" s="8">
        <f>BN18*(1+$T$22)</f>
        <v>11223.248767719344</v>
      </c>
      <c r="BP18" s="8">
        <f>BO18*(1+$T$22)</f>
        <v>11447.713743073731</v>
      </c>
      <c r="BQ18" s="8">
        <f>BP18*(1+$T$22)</f>
        <v>11676.668017935206</v>
      </c>
      <c r="BR18" s="8">
        <f>BQ18*(1+$T$22)</f>
        <v>11910.20137829391</v>
      </c>
      <c r="BS18" s="8">
        <f>BR18*(1+$T$22)</f>
        <v>12148.405405859789</v>
      </c>
      <c r="BT18" s="8">
        <f>BS18*(1+$T$22)</f>
        <v>12391.373513976985</v>
      </c>
      <c r="BU18" s="8">
        <f>BT18*(1+$T$22)</f>
        <v>12639.200984256526</v>
      </c>
      <c r="BV18" s="8">
        <f>BU18*(1+$T$22)</f>
        <v>12891.985003941656</v>
      </c>
      <c r="BW18" s="8">
        <f>BV18*(1+$T$22)</f>
        <v>13149.82470402049</v>
      </c>
      <c r="BX18" s="8">
        <f>BW18*(1+$T$22)</f>
        <v>13412.821198100899</v>
      </c>
      <c r="BY18" s="8">
        <f>BX18*(1+$T$22)</f>
        <v>13681.077622062918</v>
      </c>
      <c r="BZ18" s="8">
        <f>BY18*(1+$T$22)</f>
        <v>13954.699174504176</v>
      </c>
      <c r="CA18" s="8">
        <f>BZ18*(1+$T$22)</f>
        <v>14233.79315799426</v>
      </c>
      <c r="CB18" s="8">
        <f>CA18*(1+$T$22)</f>
        <v>14518.469021154146</v>
      </c>
      <c r="CC18" s="8">
        <f>CB18*(1+$T$22)</f>
        <v>14808.838401577228</v>
      </c>
      <c r="CD18" s="8">
        <f>CC18*(1+$T$22)</f>
        <v>15105.015169608772</v>
      </c>
      <c r="CE18" s="8">
        <f>CD18*(1+$T$22)</f>
        <v>15407.115473000948</v>
      </c>
      <c r="CF18" s="8">
        <f>CE18*(1+$T$22)</f>
        <v>15715.257782460967</v>
      </c>
      <c r="CG18" s="8">
        <f>CF18*(1+$T$22)</f>
        <v>16029.562938110186</v>
      </c>
      <c r="CH18" s="8">
        <f>CG18*(1+$T$22)</f>
        <v>16350.15419687239</v>
      </c>
      <c r="CI18" s="8">
        <f>CH18*(1+$T$22)</f>
        <v>16677.157280809839</v>
      </c>
      <c r="CJ18" s="8">
        <f>CI18*(1+$T$22)</f>
        <v>17010.700426426036</v>
      </c>
      <c r="CK18" s="8">
        <f>CJ18*(1+$T$22)</f>
        <v>17350.914434954557</v>
      </c>
      <c r="CL18" s="8">
        <f>CK18*(1+$T$22)</f>
        <v>17697.932723653648</v>
      </c>
      <c r="CM18" s="8">
        <f>CL18*(1+$T$22)</f>
        <v>18051.891378126722</v>
      </c>
      <c r="CN18" s="8">
        <f>CM18*(1+$T$22)</f>
        <v>18412.929205689255</v>
      </c>
      <c r="CO18" s="8">
        <f>CN18*(1+$T$22)</f>
        <v>18781.18778980304</v>
      </c>
      <c r="CP18" s="8">
        <f>CO18*(1+$T$22)</f>
        <v>19156.811545599099</v>
      </c>
      <c r="CQ18" s="8">
        <f>CP18*(1+$T$22)</f>
        <v>19539.947776511082</v>
      </c>
      <c r="CR18" s="8">
        <f>CQ18*(1+$T$22)</f>
        <v>19930.746732041305</v>
      </c>
      <c r="CS18" s="8">
        <f>CR18*(1+$T$22)</f>
        <v>20329.361666682133</v>
      </c>
      <c r="CT18" s="8">
        <f>CS18*(1+$T$22)</f>
        <v>20735.948900015777</v>
      </c>
      <c r="CU18" s="8">
        <f>CT18*(1+$T$22)</f>
        <v>21150.667878016095</v>
      </c>
      <c r="CV18" s="8">
        <f>CU18*(1+$T$22)</f>
        <v>21573.681235576416</v>
      </c>
      <c r="CW18" s="8">
        <f>CV18*(1+$T$22)</f>
        <v>22005.154860287945</v>
      </c>
      <c r="CX18" s="8">
        <f>CW18*(1+$T$22)</f>
        <v>22445.257957493704</v>
      </c>
      <c r="CY18" s="8">
        <f>CX18*(1+$T$22)</f>
        <v>22894.16311664358</v>
      </c>
      <c r="CZ18" s="8">
        <f>CY18*(1+$T$22)</f>
        <v>23352.046378976451</v>
      </c>
      <c r="DA18" s="8">
        <f>CZ18*(1+$T$22)</f>
        <v>23819.087306555979</v>
      </c>
      <c r="DB18" s="8">
        <f>DA18*(1+$T$22)</f>
        <v>24295.469052687098</v>
      </c>
      <c r="DC18" s="8">
        <f>DB18*(1+$T$22)</f>
        <v>24781.37843374084</v>
      </c>
      <c r="DD18" s="8">
        <f>DC18*(1+$T$22)</f>
        <v>25277.006002415656</v>
      </c>
      <c r="DE18" s="8">
        <f>DD18*(1+$T$22)</f>
        <v>25782.546122463969</v>
      </c>
      <c r="DF18" s="8">
        <f>DE18*(1+$T$22)</f>
        <v>26298.19704491325</v>
      </c>
      <c r="DG18" s="8">
        <f>DF18*(1+$T$22)</f>
        <v>26824.160985811515</v>
      </c>
      <c r="DH18" s="8">
        <f>DG18*(1+$T$22)</f>
        <v>27360.644205527748</v>
      </c>
      <c r="DI18" s="8">
        <f>DH18*(1+$T$22)</f>
        <v>27907.857089638303</v>
      </c>
      <c r="DJ18" s="8">
        <f>DI18*(1+$T$22)</f>
        <v>28466.014231431069</v>
      </c>
      <c r="DK18" s="8">
        <f>DJ18*(1+$T$22)</f>
        <v>29035.334516059691</v>
      </c>
      <c r="DL18" s="8">
        <f>DK18*(1+$T$22)</f>
        <v>29616.041206380884</v>
      </c>
      <c r="DM18" s="8">
        <f>DL18*(1+$T$22)</f>
        <v>30208.362030508502</v>
      </c>
      <c r="DN18" s="8">
        <f>DM18*(1+$T$22)</f>
        <v>30812.529271118674</v>
      </c>
    </row>
    <row r="19" spans="1:118" x14ac:dyDescent="0.2">
      <c r="B19" s="4" t="s">
        <v>22</v>
      </c>
      <c r="J19" s="3">
        <f>J18/J20</f>
        <v>-1.5591099916036939</v>
      </c>
      <c r="K19" s="3">
        <f t="shared" ref="K19:L19" si="21">K18/K20</f>
        <v>-1.8797242497972426</v>
      </c>
      <c r="L19" s="3">
        <f t="shared" si="21"/>
        <v>-1.4348416988416985</v>
      </c>
      <c r="M19" s="3">
        <f t="shared" ref="M19" si="22">M18/M20</f>
        <v>-0.83070620922963745</v>
      </c>
      <c r="N19" s="3">
        <f t="shared" ref="N19" si="23">N18/N20</f>
        <v>-9.7651233780999269E-2</v>
      </c>
      <c r="O19" s="3">
        <f t="shared" ref="O19" si="24">O18/O20</f>
        <v>1.1298845628629923</v>
      </c>
      <c r="P19" s="3">
        <f t="shared" ref="P19" si="25">P18/P20</f>
        <v>2.7346071228236766</v>
      </c>
      <c r="Q19" s="3">
        <f t="shared" ref="Q19" si="26">Q18/Q20</f>
        <v>5.0457268129497175</v>
      </c>
    </row>
    <row r="20" spans="1:118" x14ac:dyDescent="0.2">
      <c r="B20" s="4" t="s">
        <v>1</v>
      </c>
      <c r="J20" s="4">
        <v>595.5</v>
      </c>
      <c r="K20" s="4">
        <v>616.5</v>
      </c>
      <c r="L20" s="4">
        <v>647.5</v>
      </c>
      <c r="M20" s="4">
        <f>L20*1.05</f>
        <v>679.875</v>
      </c>
      <c r="N20" s="4">
        <f t="shared" ref="N20:Q20" si="27">M20*1.05</f>
        <v>713.86874999999998</v>
      </c>
      <c r="O20" s="4">
        <f t="shared" si="27"/>
        <v>749.56218750000005</v>
      </c>
      <c r="P20" s="4">
        <f>O20*1.05</f>
        <v>787.04029687500008</v>
      </c>
      <c r="Q20" s="4">
        <f t="shared" si="27"/>
        <v>826.39231171875008</v>
      </c>
    </row>
    <row r="21" spans="1:118" x14ac:dyDescent="0.2">
      <c r="K21" s="3"/>
      <c r="S21" s="4" t="s">
        <v>36</v>
      </c>
      <c r="T21" s="9">
        <v>0.02</v>
      </c>
    </row>
    <row r="22" spans="1:118" s="8" customFormat="1" x14ac:dyDescent="0.2">
      <c r="A22" s="4"/>
      <c r="B22" s="8" t="s">
        <v>23</v>
      </c>
      <c r="K22" s="10">
        <f t="shared" ref="K22:Q22" si="28">K4/J4-1</f>
        <v>0.25806741573033709</v>
      </c>
      <c r="L22" s="10">
        <f t="shared" si="28"/>
        <v>0.28679622749356959</v>
      </c>
      <c r="M22" s="10">
        <f t="shared" si="28"/>
        <v>0.30000000000000004</v>
      </c>
      <c r="N22" s="10">
        <f t="shared" si="28"/>
        <v>0.33000000000000007</v>
      </c>
      <c r="O22" s="10">
        <f t="shared" si="28"/>
        <v>0.35000000000000009</v>
      </c>
      <c r="P22" s="10">
        <f t="shared" si="28"/>
        <v>0.37999999999999989</v>
      </c>
      <c r="Q22" s="10">
        <f t="shared" si="28"/>
        <v>0.39999999999999991</v>
      </c>
      <c r="S22" s="4" t="s">
        <v>37</v>
      </c>
      <c r="T22" s="9">
        <v>0.02</v>
      </c>
    </row>
    <row r="23" spans="1:118" x14ac:dyDescent="0.2">
      <c r="J23" s="7"/>
      <c r="K23" s="7"/>
      <c r="L23" s="7"/>
      <c r="M23" s="7"/>
      <c r="N23" s="7"/>
      <c r="O23" s="7"/>
      <c r="P23" s="7"/>
      <c r="Q23" s="7"/>
      <c r="S23" s="4" t="s">
        <v>38</v>
      </c>
      <c r="T23" s="9">
        <v>0.1</v>
      </c>
    </row>
    <row r="24" spans="1:118" x14ac:dyDescent="0.2">
      <c r="J24" s="7"/>
      <c r="K24" s="7"/>
      <c r="L24" s="7"/>
      <c r="M24" s="7"/>
      <c r="N24" s="7"/>
      <c r="O24" s="7"/>
      <c r="P24" s="7"/>
      <c r="Q24" s="7"/>
      <c r="S24" s="8" t="s">
        <v>39</v>
      </c>
      <c r="T24" s="8">
        <f>NPV(T23,M33:XFD33)+main!M5-main!M6</f>
        <v>43195.526291398026</v>
      </c>
    </row>
    <row r="25" spans="1:118" x14ac:dyDescent="0.2">
      <c r="S25" s="4" t="s">
        <v>0</v>
      </c>
      <c r="T25" s="4">
        <f>T24/main!M3</f>
        <v>63.683633957209636</v>
      </c>
    </row>
    <row r="26" spans="1:118" s="8" customFormat="1" x14ac:dyDescent="0.2">
      <c r="A26" s="4"/>
      <c r="B26" s="4" t="s">
        <v>41</v>
      </c>
      <c r="C26" s="4"/>
      <c r="D26" s="4"/>
      <c r="E26" s="4"/>
      <c r="F26" s="4"/>
      <c r="G26" s="4"/>
      <c r="H26" s="4"/>
      <c r="I26" s="4"/>
      <c r="J26" s="7">
        <f>(J4-J5)/J4</f>
        <v>0.75386516853932584</v>
      </c>
      <c r="K26" s="7">
        <f t="shared" ref="K26:L26" si="29">(K4-K5)/K4</f>
        <v>0.76811231780508715</v>
      </c>
      <c r="L26" s="7">
        <f t="shared" si="29"/>
        <v>0.77757912270960583</v>
      </c>
      <c r="M26" s="7">
        <f>L26*1.01</f>
        <v>0.78535491393670187</v>
      </c>
      <c r="N26" s="7">
        <f t="shared" ref="N26:Q26" si="30">M26*1.01</f>
        <v>0.79320846307606885</v>
      </c>
      <c r="O26" s="7">
        <f t="shared" si="30"/>
        <v>0.80114054770682952</v>
      </c>
      <c r="P26" s="7">
        <f>O26*1.01</f>
        <v>0.80915195318389788</v>
      </c>
      <c r="Q26" s="7">
        <f t="shared" si="30"/>
        <v>0.81724347271573683</v>
      </c>
      <c r="S26" s="4" t="s">
        <v>40</v>
      </c>
      <c r="T26" s="7">
        <f>T25/main!M2-1</f>
        <v>-0.33662881294573299</v>
      </c>
    </row>
    <row r="27" spans="1:118" s="8" customFormat="1" x14ac:dyDescent="0.2">
      <c r="A27" s="4"/>
      <c r="B27" s="8" t="s">
        <v>42</v>
      </c>
      <c r="J27" s="10">
        <f>J7/J4</f>
        <v>0.47350561797752816</v>
      </c>
      <c r="K27" s="10">
        <f t="shared" ref="K27:Q27" si="31">K7/K4</f>
        <v>0.50348313803943989</v>
      </c>
      <c r="L27" s="10">
        <f t="shared" si="31"/>
        <v>0.52138811771238203</v>
      </c>
      <c r="M27" s="10">
        <f t="shared" si="31"/>
        <v>0.52535491393670186</v>
      </c>
      <c r="N27" s="10">
        <f t="shared" si="31"/>
        <v>0.53320846307606884</v>
      </c>
      <c r="O27" s="10">
        <f t="shared" si="31"/>
        <v>0.56114054770682953</v>
      </c>
      <c r="P27" s="10">
        <f t="shared" si="31"/>
        <v>0.56915195318389789</v>
      </c>
      <c r="Q27" s="10">
        <f t="shared" si="31"/>
        <v>0.57724347271573684</v>
      </c>
    </row>
    <row r="28" spans="1:118" x14ac:dyDescent="0.2">
      <c r="B28" s="4" t="s">
        <v>24</v>
      </c>
      <c r="J28" s="7">
        <f t="shared" ref="J28:Q28" si="32">J13/J4</f>
        <v>-0.41521348314606726</v>
      </c>
      <c r="K28" s="7">
        <f t="shared" si="32"/>
        <v>-0.44986067447842243</v>
      </c>
      <c r="L28" s="7">
        <f t="shared" si="32"/>
        <v>-0.2951860077734591</v>
      </c>
      <c r="M28" s="7">
        <f t="shared" si="32"/>
        <v>-0.14823817537265613</v>
      </c>
      <c r="N28" s="7">
        <f t="shared" si="32"/>
        <v>-1.0278297540502633E-2</v>
      </c>
      <c r="O28" s="7">
        <f t="shared" si="32"/>
        <v>0.12883194875604351</v>
      </c>
      <c r="P28" s="7">
        <f t="shared" si="32"/>
        <v>0.2325265576609962</v>
      </c>
      <c r="Q28" s="7">
        <f t="shared" si="32"/>
        <v>0.3186951325894079</v>
      </c>
    </row>
    <row r="29" spans="1:118" x14ac:dyDescent="0.2">
      <c r="B29" s="4" t="s">
        <v>25</v>
      </c>
      <c r="J29" s="7">
        <f t="shared" ref="J29:Q29" si="33">J12/J4</f>
        <v>0.88871910112359542</v>
      </c>
      <c r="K29" s="7">
        <f t="shared" si="33"/>
        <v>0.95334381251786227</v>
      </c>
      <c r="L29" s="7">
        <f t="shared" si="33"/>
        <v>0.81657412548584107</v>
      </c>
      <c r="M29" s="7">
        <f t="shared" si="33"/>
        <v>0.67359308930935802</v>
      </c>
      <c r="N29" s="7">
        <f t="shared" si="33"/>
        <v>0.54348676061657142</v>
      </c>
      <c r="O29" s="7">
        <f t="shared" si="33"/>
        <v>0.43230859895078605</v>
      </c>
      <c r="P29" s="7">
        <f t="shared" si="33"/>
        <v>0.33662539552290172</v>
      </c>
      <c r="Q29" s="7">
        <f t="shared" si="33"/>
        <v>0.25854834012632888</v>
      </c>
    </row>
    <row r="31" spans="1:118" x14ac:dyDescent="0.2">
      <c r="B31" s="4" t="s">
        <v>26</v>
      </c>
    </row>
    <row r="32" spans="1:118" x14ac:dyDescent="0.2">
      <c r="B32" s="4" t="s">
        <v>27</v>
      </c>
    </row>
    <row r="33" spans="1:120" s="8" customFormat="1" x14ac:dyDescent="0.2">
      <c r="A33" s="4"/>
      <c r="B33" s="8" t="s">
        <v>28</v>
      </c>
      <c r="M33" s="8">
        <v>1000</v>
      </c>
      <c r="N33" s="8">
        <v>1200</v>
      </c>
      <c r="O33" s="8">
        <v>1500</v>
      </c>
      <c r="P33" s="8">
        <f>P18*1.1</f>
        <v>2367.4706019619998</v>
      </c>
      <c r="Q33" s="8">
        <f>Q18*1.1</f>
        <v>4586.724829780278</v>
      </c>
      <c r="R33" s="8">
        <f t="shared" ref="R33:CC33" si="34">R18*1.1</f>
        <v>4678.4593263758843</v>
      </c>
      <c r="S33" s="8">
        <f t="shared" si="34"/>
        <v>4772.0285129034028</v>
      </c>
      <c r="T33" s="8">
        <f t="shared" si="34"/>
        <v>4867.4690831614707</v>
      </c>
      <c r="U33" s="8">
        <f t="shared" si="34"/>
        <v>4964.8184648246997</v>
      </c>
      <c r="V33" s="8">
        <f t="shared" si="34"/>
        <v>5064.1148341211938</v>
      </c>
      <c r="W33" s="8">
        <f t="shared" si="34"/>
        <v>5165.397130803618</v>
      </c>
      <c r="X33" s="8">
        <f t="shared" si="34"/>
        <v>5268.7050734196901</v>
      </c>
      <c r="Y33" s="8">
        <f t="shared" si="34"/>
        <v>5374.0791748880838</v>
      </c>
      <c r="Z33" s="8">
        <f t="shared" si="34"/>
        <v>5481.5607583858455</v>
      </c>
      <c r="AA33" s="8">
        <f t="shared" si="34"/>
        <v>5591.1919735535621</v>
      </c>
      <c r="AB33" s="8">
        <f t="shared" si="34"/>
        <v>5703.0158130246336</v>
      </c>
      <c r="AC33" s="8">
        <f t="shared" si="34"/>
        <v>5817.0761292851266</v>
      </c>
      <c r="AD33" s="8">
        <f t="shared" si="34"/>
        <v>5933.4176518708291</v>
      </c>
      <c r="AE33" s="8">
        <f t="shared" si="34"/>
        <v>6052.0860049082467</v>
      </c>
      <c r="AF33" s="8">
        <f t="shared" si="34"/>
        <v>6173.1277250064113</v>
      </c>
      <c r="AG33" s="8">
        <f t="shared" si="34"/>
        <v>6296.5902795065394</v>
      </c>
      <c r="AH33" s="8">
        <f t="shared" si="34"/>
        <v>6422.5220850966698</v>
      </c>
      <c r="AI33" s="8">
        <f t="shared" si="34"/>
        <v>6550.9725267986032</v>
      </c>
      <c r="AJ33" s="8">
        <f t="shared" si="34"/>
        <v>6681.9919773345755</v>
      </c>
      <c r="AK33" s="8">
        <f t="shared" si="34"/>
        <v>6815.6318168812668</v>
      </c>
      <c r="AL33" s="8">
        <f t="shared" si="34"/>
        <v>6951.9444532188927</v>
      </c>
      <c r="AM33" s="8">
        <f t="shared" si="34"/>
        <v>7090.9833422832708</v>
      </c>
      <c r="AN33" s="8">
        <f t="shared" si="34"/>
        <v>7232.8030091289365</v>
      </c>
      <c r="AO33" s="8">
        <f t="shared" si="34"/>
        <v>7377.459069311516</v>
      </c>
      <c r="AP33" s="8">
        <f t="shared" si="34"/>
        <v>7525.008250697746</v>
      </c>
      <c r="AQ33" s="8">
        <f t="shared" si="34"/>
        <v>7675.5084157117017</v>
      </c>
      <c r="AR33" s="8">
        <f t="shared" si="34"/>
        <v>7829.0185840259355</v>
      </c>
      <c r="AS33" s="8">
        <f t="shared" si="34"/>
        <v>7985.598955706454</v>
      </c>
      <c r="AT33" s="8">
        <f t="shared" si="34"/>
        <v>8145.3109348205835</v>
      </c>
      <c r="AU33" s="8">
        <f t="shared" si="34"/>
        <v>8308.2171535169946</v>
      </c>
      <c r="AV33" s="8">
        <f t="shared" si="34"/>
        <v>8474.3814965873353</v>
      </c>
      <c r="AW33" s="8">
        <f t="shared" si="34"/>
        <v>8643.8691265190828</v>
      </c>
      <c r="AX33" s="8">
        <f t="shared" si="34"/>
        <v>8816.7465090494643</v>
      </c>
      <c r="AY33" s="8">
        <f t="shared" si="34"/>
        <v>8993.0814392304528</v>
      </c>
      <c r="AZ33" s="8">
        <f t="shared" si="34"/>
        <v>9172.9430680150617</v>
      </c>
      <c r="BA33" s="8">
        <f t="shared" si="34"/>
        <v>9356.4019293753627</v>
      </c>
      <c r="BB33" s="8">
        <f t="shared" si="34"/>
        <v>9543.5299679628715</v>
      </c>
      <c r="BC33" s="8">
        <f t="shared" si="34"/>
        <v>9734.4005673221272</v>
      </c>
      <c r="BD33" s="8">
        <f t="shared" si="34"/>
        <v>9929.0885786685703</v>
      </c>
      <c r="BE33" s="8">
        <f t="shared" si="34"/>
        <v>10127.670350241942</v>
      </c>
      <c r="BF33" s="8">
        <f t="shared" si="34"/>
        <v>10330.223757246782</v>
      </c>
      <c r="BG33" s="8">
        <f t="shared" si="34"/>
        <v>10536.828232391717</v>
      </c>
      <c r="BH33" s="8">
        <f t="shared" si="34"/>
        <v>10747.564797039551</v>
      </c>
      <c r="BI33" s="8">
        <f t="shared" si="34"/>
        <v>10962.516092980342</v>
      </c>
      <c r="BJ33" s="8">
        <f t="shared" si="34"/>
        <v>11181.766414839951</v>
      </c>
      <c r="BK33" s="8">
        <f t="shared" si="34"/>
        <v>11405.401743136748</v>
      </c>
      <c r="BL33" s="8">
        <f t="shared" si="34"/>
        <v>11633.509777999485</v>
      </c>
      <c r="BM33" s="8">
        <f t="shared" si="34"/>
        <v>11866.179973559476</v>
      </c>
      <c r="BN33" s="8">
        <f t="shared" si="34"/>
        <v>12103.503573030666</v>
      </c>
      <c r="BO33" s="8">
        <f t="shared" si="34"/>
        <v>12345.57364449128</v>
      </c>
      <c r="BP33" s="8">
        <f t="shared" si="34"/>
        <v>12592.485117381106</v>
      </c>
      <c r="BQ33" s="8">
        <f t="shared" si="34"/>
        <v>12844.334819728727</v>
      </c>
      <c r="BR33" s="8">
        <f t="shared" si="34"/>
        <v>13101.221516123302</v>
      </c>
      <c r="BS33" s="8">
        <f t="shared" si="34"/>
        <v>13363.245946445768</v>
      </c>
      <c r="BT33" s="8">
        <f t="shared" si="34"/>
        <v>13630.510865374685</v>
      </c>
      <c r="BU33" s="8">
        <f t="shared" si="34"/>
        <v>13903.121082682179</v>
      </c>
      <c r="BV33" s="8">
        <f t="shared" si="34"/>
        <v>14181.183504335822</v>
      </c>
      <c r="BW33" s="8">
        <f t="shared" si="34"/>
        <v>14464.80717442254</v>
      </c>
      <c r="BX33" s="8">
        <f t="shared" si="34"/>
        <v>14754.103317910991</v>
      </c>
      <c r="BY33" s="8">
        <f t="shared" si="34"/>
        <v>15049.185384269211</v>
      </c>
      <c r="BZ33" s="8">
        <f t="shared" si="34"/>
        <v>15350.169091954594</v>
      </c>
      <c r="CA33" s="8">
        <f t="shared" si="34"/>
        <v>15657.172473793687</v>
      </c>
      <c r="CB33" s="8">
        <f t="shared" si="34"/>
        <v>15970.315923269562</v>
      </c>
      <c r="CC33" s="8">
        <f t="shared" si="34"/>
        <v>16289.722241734953</v>
      </c>
      <c r="CD33" s="8">
        <f t="shared" ref="CD33:DP33" si="35">CD18*1.1</f>
        <v>16615.516686569652</v>
      </c>
      <c r="CE33" s="8">
        <f t="shared" si="35"/>
        <v>16947.827020301043</v>
      </c>
      <c r="CF33" s="8">
        <f t="shared" si="35"/>
        <v>17286.783560707066</v>
      </c>
      <c r="CG33" s="8">
        <f t="shared" si="35"/>
        <v>17632.519231921207</v>
      </c>
      <c r="CH33" s="8">
        <f t="shared" si="35"/>
        <v>17985.16961655963</v>
      </c>
      <c r="CI33" s="8">
        <f t="shared" si="35"/>
        <v>18344.873008890823</v>
      </c>
      <c r="CJ33" s="8">
        <f t="shared" si="35"/>
        <v>18711.770469068641</v>
      </c>
      <c r="CK33" s="8">
        <f t="shared" si="35"/>
        <v>19086.005878450014</v>
      </c>
      <c r="CL33" s="8">
        <f t="shared" si="35"/>
        <v>19467.725996019013</v>
      </c>
      <c r="CM33" s="8">
        <f t="shared" si="35"/>
        <v>19857.080515939397</v>
      </c>
      <c r="CN33" s="8">
        <f t="shared" si="35"/>
        <v>20254.222126258184</v>
      </c>
      <c r="CO33" s="8">
        <f t="shared" si="35"/>
        <v>20659.306568783344</v>
      </c>
      <c r="CP33" s="8">
        <f t="shared" si="35"/>
        <v>21072.492700159011</v>
      </c>
      <c r="CQ33" s="8">
        <f t="shared" si="35"/>
        <v>21493.942554162193</v>
      </c>
      <c r="CR33" s="8">
        <f t="shared" si="35"/>
        <v>21923.821405245439</v>
      </c>
      <c r="CS33" s="8">
        <f t="shared" si="35"/>
        <v>22362.297833350349</v>
      </c>
      <c r="CT33" s="8">
        <f t="shared" si="35"/>
        <v>22809.543790017357</v>
      </c>
      <c r="CU33" s="8">
        <f t="shared" si="35"/>
        <v>23265.734665817705</v>
      </c>
      <c r="CV33" s="8">
        <f t="shared" si="35"/>
        <v>23731.04935913406</v>
      </c>
      <c r="CW33" s="8">
        <f t="shared" si="35"/>
        <v>24205.67034631674</v>
      </c>
      <c r="CX33" s="8">
        <f t="shared" si="35"/>
        <v>24689.783753243079</v>
      </c>
      <c r="CY33" s="8">
        <f t="shared" si="35"/>
        <v>25183.579428307941</v>
      </c>
      <c r="CZ33" s="8">
        <f t="shared" si="35"/>
        <v>25687.251016874099</v>
      </c>
      <c r="DA33" s="8">
        <f t="shared" si="35"/>
        <v>26200.996037211578</v>
      </c>
      <c r="DB33" s="8">
        <f t="shared" si="35"/>
        <v>26725.015957955809</v>
      </c>
      <c r="DC33" s="8">
        <f t="shared" si="35"/>
        <v>27259.516277114926</v>
      </c>
      <c r="DD33" s="8">
        <f t="shared" si="35"/>
        <v>27804.706602657225</v>
      </c>
      <c r="DE33" s="8">
        <f t="shared" si="35"/>
        <v>28360.80073471037</v>
      </c>
      <c r="DF33" s="8">
        <f t="shared" si="35"/>
        <v>28928.016749404578</v>
      </c>
      <c r="DG33" s="8">
        <f t="shared" si="35"/>
        <v>29506.577084392669</v>
      </c>
      <c r="DH33" s="8">
        <f t="shared" si="35"/>
        <v>30096.708626080526</v>
      </c>
      <c r="DI33" s="8">
        <f t="shared" si="35"/>
        <v>30698.642798602134</v>
      </c>
      <c r="DJ33" s="8">
        <f t="shared" si="35"/>
        <v>31312.61565457418</v>
      </c>
      <c r="DK33" s="8">
        <f t="shared" si="35"/>
        <v>31938.867967665661</v>
      </c>
      <c r="DL33" s="8">
        <f t="shared" si="35"/>
        <v>32577.645327018974</v>
      </c>
      <c r="DM33" s="8">
        <f t="shared" si="35"/>
        <v>33229.198233559357</v>
      </c>
      <c r="DN33" s="8">
        <f t="shared" si="35"/>
        <v>33893.782198230547</v>
      </c>
      <c r="DO33" s="8">
        <f t="shared" si="35"/>
        <v>0</v>
      </c>
      <c r="DP33" s="8">
        <f t="shared" si="35"/>
        <v>0</v>
      </c>
    </row>
    <row r="35" spans="1:120" x14ac:dyDescent="0.2">
      <c r="B35" s="4" t="s">
        <v>29</v>
      </c>
      <c r="L35" s="4">
        <f>L36-L37</f>
        <v>-591.52000000000044</v>
      </c>
      <c r="M35" s="4">
        <f>L35+M18</f>
        <v>-1156.2963840000002</v>
      </c>
      <c r="N35" s="4">
        <f t="shared" ref="N35:Q35" si="36">M35+N18</f>
        <v>-1226.0065481951999</v>
      </c>
      <c r="O35" s="4">
        <f t="shared" si="36"/>
        <v>-379.08780363313406</v>
      </c>
      <c r="P35" s="4">
        <f>O35+P18</f>
        <v>1773.1581981505019</v>
      </c>
      <c r="Q35" s="4">
        <f t="shared" si="36"/>
        <v>5942.9080434052994</v>
      </c>
    </row>
    <row r="36" spans="1:120" x14ac:dyDescent="0.2">
      <c r="B36" s="4" t="s">
        <v>3</v>
      </c>
      <c r="L36" s="4">
        <f>1158.68+1585.85</f>
        <v>2744.5299999999997</v>
      </c>
    </row>
    <row r="37" spans="1:120" x14ac:dyDescent="0.2">
      <c r="B37" s="4" t="s">
        <v>4</v>
      </c>
      <c r="L37" s="4">
        <f>1006.7+56.15+667+1606.2</f>
        <v>3336.05</v>
      </c>
    </row>
  </sheetData>
  <hyperlinks>
    <hyperlink ref="A1" location="main!A1" display="Main" xr:uid="{58F05B1B-B3B2-434D-80FF-A7F44006E65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2025-05-17T07:32:31Z</dcterms:created>
  <dcterms:modified xsi:type="dcterms:W3CDTF">2025-06-09T06:05:19Z</dcterms:modified>
</cp:coreProperties>
</file>