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005D831-2662-48D4-B1AD-D645CE97C35C}" xr6:coauthVersionLast="47" xr6:coauthVersionMax="47" xr10:uidLastSave="{00000000-0000-0000-0000-000000000000}"/>
  <bookViews>
    <workbookView xWindow="1740" yWindow="315" windowWidth="21945" windowHeight="14610" activeTab="1" xr2:uid="{8E1B7C99-8DB6-4E57-9009-B9B2BBD70AA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2" l="1"/>
  <c r="M45" i="2"/>
  <c r="J14" i="2"/>
  <c r="J45" i="2" s="1"/>
  <c r="K14" i="2"/>
  <c r="K45" i="2" s="1"/>
  <c r="I14" i="2"/>
  <c r="I45" i="2" s="1"/>
  <c r="I13" i="2"/>
  <c r="J13" i="2" s="1"/>
  <c r="K13" i="2" s="1"/>
  <c r="L13" i="2" s="1"/>
  <c r="M13" i="2" s="1"/>
  <c r="I12" i="2"/>
  <c r="J12" i="2" s="1"/>
  <c r="K12" i="2" s="1"/>
  <c r="L12" i="2" s="1"/>
  <c r="M12" i="2" s="1"/>
  <c r="I46" i="2"/>
  <c r="I39" i="2"/>
  <c r="J39" i="2" s="1"/>
  <c r="K39" i="2" s="1"/>
  <c r="L39" i="2" s="1"/>
  <c r="I38" i="2"/>
  <c r="J38" i="2" s="1"/>
  <c r="K38" i="2" s="1"/>
  <c r="L38" i="2" s="1"/>
  <c r="M38" i="2" s="1"/>
  <c r="G47" i="2"/>
  <c r="H47" i="2"/>
  <c r="F47" i="2"/>
  <c r="H31" i="2"/>
  <c r="H32" i="2"/>
  <c r="G32" i="2"/>
  <c r="G31" i="2"/>
  <c r="G38" i="2"/>
  <c r="H38" i="2"/>
  <c r="G39" i="2"/>
  <c r="H39" i="2"/>
  <c r="F39" i="2"/>
  <c r="F38" i="2"/>
  <c r="H43" i="2"/>
  <c r="H41" i="2" s="1"/>
  <c r="I23" i="2" s="1"/>
  <c r="I28" i="2"/>
  <c r="J28" i="2" s="1"/>
  <c r="K28" i="2" s="1"/>
  <c r="L28" i="2" s="1"/>
  <c r="G20" i="2"/>
  <c r="H20" i="2"/>
  <c r="F20" i="2"/>
  <c r="G14" i="2"/>
  <c r="G17" i="2" s="1"/>
  <c r="H14" i="2"/>
  <c r="H17" i="2" s="1"/>
  <c r="F14" i="2"/>
  <c r="F17" i="2" s="1"/>
  <c r="F34" i="2" s="1"/>
  <c r="G1" i="2"/>
  <c r="H1" i="2" s="1"/>
  <c r="I1" i="2" s="1"/>
  <c r="J1" i="2" s="1"/>
  <c r="K1" i="2" s="1"/>
  <c r="L1" i="2" s="1"/>
  <c r="M1" i="2" s="1"/>
  <c r="M6" i="1"/>
  <c r="M4" i="1"/>
  <c r="J46" i="2" l="1"/>
  <c r="K46" i="2" s="1"/>
  <c r="L46" i="2" s="1"/>
  <c r="M46" i="2" s="1"/>
  <c r="M39" i="2"/>
  <c r="I15" i="2"/>
  <c r="I32" i="2"/>
  <c r="I31" i="2"/>
  <c r="H36" i="2"/>
  <c r="I36" i="2" s="1"/>
  <c r="J36" i="2" s="1"/>
  <c r="K36" i="2" s="1"/>
  <c r="L36" i="2" s="1"/>
  <c r="M36" i="2" s="1"/>
  <c r="J31" i="2"/>
  <c r="J32" i="2"/>
  <c r="G36" i="2"/>
  <c r="K32" i="2"/>
  <c r="I16" i="2"/>
  <c r="I17" i="2" s="1"/>
  <c r="F36" i="2"/>
  <c r="G21" i="2"/>
  <c r="G24" i="2" s="1"/>
  <c r="G30" i="2"/>
  <c r="H21" i="2"/>
  <c r="H24" i="2" s="1"/>
  <c r="H34" i="2"/>
  <c r="G34" i="2"/>
  <c r="H30" i="2"/>
  <c r="F21" i="2"/>
  <c r="M28" i="2"/>
  <c r="H35" i="2" l="1"/>
  <c r="I30" i="2"/>
  <c r="I22" i="2" s="1"/>
  <c r="I20" i="2"/>
  <c r="K30" i="2"/>
  <c r="K20" i="2"/>
  <c r="J30" i="2"/>
  <c r="J20" i="2"/>
  <c r="K31" i="2"/>
  <c r="M32" i="2"/>
  <c r="L32" i="2"/>
  <c r="J15" i="2"/>
  <c r="J16" i="2"/>
  <c r="G35" i="2"/>
  <c r="I21" i="2"/>
  <c r="I35" i="2" s="1"/>
  <c r="I34" i="2"/>
  <c r="F24" i="2"/>
  <c r="F35" i="2"/>
  <c r="G26" i="2"/>
  <c r="G27" i="2" s="1"/>
  <c r="H26" i="2"/>
  <c r="H27" i="2" s="1"/>
  <c r="J22" i="2" l="1"/>
  <c r="K22" i="2" s="1"/>
  <c r="I24" i="2"/>
  <c r="L14" i="2"/>
  <c r="L31" i="2"/>
  <c r="K15" i="2"/>
  <c r="K16" i="2"/>
  <c r="J17" i="2"/>
  <c r="F26" i="2"/>
  <c r="F27" i="2" s="1"/>
  <c r="I25" i="2" l="1"/>
  <c r="I26" i="2" s="1"/>
  <c r="L30" i="2"/>
  <c r="L22" i="2" s="1"/>
  <c r="L20" i="2"/>
  <c r="M31" i="2"/>
  <c r="M14" i="2"/>
  <c r="J21" i="2"/>
  <c r="J34" i="2"/>
  <c r="M16" i="2"/>
  <c r="L16" i="2"/>
  <c r="K17" i="2"/>
  <c r="M15" i="2"/>
  <c r="L15" i="2"/>
  <c r="I27" i="2" l="1"/>
  <c r="I41" i="2"/>
  <c r="J23" i="2" s="1"/>
  <c r="L17" i="2"/>
  <c r="L21" i="2" s="1"/>
  <c r="M17" i="2"/>
  <c r="M30" i="2"/>
  <c r="M22" i="2" s="1"/>
  <c r="M20" i="2"/>
  <c r="K21" i="2"/>
  <c r="K34" i="2"/>
  <c r="J24" i="2"/>
  <c r="J25" i="2" s="1"/>
  <c r="J35" i="2"/>
  <c r="L34" i="2" l="1"/>
  <c r="M21" i="2"/>
  <c r="M35" i="2" s="1"/>
  <c r="M34" i="2"/>
  <c r="J26" i="2"/>
  <c r="L35" i="2"/>
  <c r="K35" i="2"/>
  <c r="J47" i="2" l="1"/>
  <c r="J27" i="2"/>
  <c r="J41" i="2"/>
  <c r="K23" i="2" s="1"/>
  <c r="K24" i="2" s="1"/>
  <c r="K25" i="2" s="1"/>
  <c r="K26" i="2" l="1"/>
  <c r="K27" i="2" l="1"/>
  <c r="K41" i="2"/>
  <c r="L23" i="2" s="1"/>
  <c r="L24" i="2" s="1"/>
  <c r="L25" i="2" s="1"/>
  <c r="L26" i="2" s="1"/>
  <c r="K47" i="2"/>
  <c r="L47" i="2" l="1"/>
  <c r="L27" i="2"/>
  <c r="L41" i="2"/>
  <c r="M23" i="2" s="1"/>
  <c r="M24" i="2" s="1"/>
  <c r="M25" i="2" s="1"/>
  <c r="M26" i="2" l="1"/>
  <c r="M47" i="2" l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DI47" i="2" s="1"/>
  <c r="DJ47" i="2" s="1"/>
  <c r="DK47" i="2" s="1"/>
  <c r="M27" i="2"/>
  <c r="N26" i="2"/>
  <c r="M41" i="2"/>
  <c r="O26" i="2" l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P31" i="2" l="1"/>
  <c r="P32" i="2" s="1"/>
  <c r="P33" i="2" s="1"/>
</calcChain>
</file>

<file path=xl/sharedStrings.xml><?xml version="1.0" encoding="utf-8"?>
<sst xmlns="http://schemas.openxmlformats.org/spreadsheetml/2006/main" count="57" uniqueCount="52">
  <si>
    <t>Price</t>
  </si>
  <si>
    <t>Cash</t>
  </si>
  <si>
    <t>Debt</t>
  </si>
  <si>
    <t>MC</t>
  </si>
  <si>
    <t>EV</t>
  </si>
  <si>
    <t>Shares</t>
  </si>
  <si>
    <t>Q125</t>
  </si>
  <si>
    <t>Main</t>
  </si>
  <si>
    <t>Revenue</t>
  </si>
  <si>
    <t>Product Sales</t>
  </si>
  <si>
    <t>Services Sales</t>
  </si>
  <si>
    <t>Product COGS</t>
  </si>
  <si>
    <t>Service COGS</t>
  </si>
  <si>
    <t>Gross Profit</t>
  </si>
  <si>
    <t>R&amp;D</t>
  </si>
  <si>
    <t>SG&amp;A</t>
  </si>
  <si>
    <t>Operating Expenses</t>
  </si>
  <si>
    <t>Operating Income</t>
  </si>
  <si>
    <t>Interest Income</t>
  </si>
  <si>
    <t>Non-service Pension Income</t>
  </si>
  <si>
    <t>Pretax Income</t>
  </si>
  <si>
    <t>Tax</t>
  </si>
  <si>
    <t>Net Income</t>
  </si>
  <si>
    <t>EPS</t>
  </si>
  <si>
    <t>Revenue y/y</t>
  </si>
  <si>
    <t>Gross Margin</t>
  </si>
  <si>
    <t>Operating Margin</t>
  </si>
  <si>
    <t>CFFO</t>
  </si>
  <si>
    <t>CX</t>
  </si>
  <si>
    <t>FCF</t>
  </si>
  <si>
    <t>Net Cash</t>
  </si>
  <si>
    <t>OPEX Margin</t>
  </si>
  <si>
    <t>Product GM</t>
  </si>
  <si>
    <t>Service GM</t>
  </si>
  <si>
    <t>Product y/y</t>
  </si>
  <si>
    <t>Services y/y</t>
  </si>
  <si>
    <t>ROIC</t>
  </si>
  <si>
    <t>Maturity</t>
  </si>
  <si>
    <t>Discount</t>
  </si>
  <si>
    <t>NPV</t>
  </si>
  <si>
    <t>Raytheon</t>
  </si>
  <si>
    <t>Pratt &amp; Whitney</t>
  </si>
  <si>
    <t>Collins Aerospace</t>
  </si>
  <si>
    <t>Commericial</t>
  </si>
  <si>
    <t>Defense</t>
  </si>
  <si>
    <t>US</t>
  </si>
  <si>
    <t>Europe</t>
  </si>
  <si>
    <t>Asia</t>
  </si>
  <si>
    <t>Middle East</t>
  </si>
  <si>
    <t>Other</t>
  </si>
  <si>
    <t>Share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</si>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</sst>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3" fontId="2" fillId="0" borderId="0" xfId="0" applyNumberFormat="1" applyFont="1"/>
    <xf numFmtId="3" fontId="5" fillId="0" borderId="0" xfId="1" applyNumberFormat="1" applyFont="1"/>
    <xf numFmtId="1" fontId="2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9" fontId="4" fillId="0" borderId="0" xfId="0" applyNumberFormat="1" applyFont="1"/>
    <xf numFmtId="9" fontId="2" fillId="0" borderId="0" xfId="0" applyNumberFormat="1" applyFont="1"/>
    <xf numFmtId="0" fontId="4" fillId="0" borderId="0" xfId="0" applyFont="1"/>
    <xf numFmtId="0" fontId="2" fillId="0" borderId="0" xfId="0" applyFont="1"/>
    <xf numFmtId="3" fontId="1" fillId="0" borderId="0" xfId="0" applyNumberFormat="1" applyFon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28575</xdr:rowOff>
    </xdr:from>
    <xdr:to>
      <xdr:col>8</xdr:col>
      <xdr:colOff>19050</xdr:colOff>
      <xdr:row>56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8E6E57-C80B-86A2-3DAF-7BD65DEDA20A}"/>
            </a:ext>
          </a:extLst>
        </xdr:cNvPr>
        <xdr:cNvCxnSpPr/>
      </xdr:nvCxnSpPr>
      <xdr:spPr>
        <a:xfrm>
          <a:off x="5781675" y="28575"/>
          <a:ext cx="9525" cy="10334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93D5-6CE6-4695-A73A-C549E5DB3950}">
  <dimension ref="A1:N7"/>
  <sheetViews>
    <sheetView zoomScale="115" zoomScaleNormal="115" workbookViewId="0">
      <selection activeCell="A29" sqref="A29"/>
    </sheetView>
  </sheetViews>
  <sheetFormatPr defaultRowHeight="12.75" x14ac:dyDescent="0.2"/>
  <cols>
    <col min="1" max="16384" width="9" style="10"/>
  </cols>
  <sheetData>
    <row r="1" spans="1:14" x14ac:dyDescent="0.2">
      <c r="A1" s="9"/>
    </row>
    <row r="2" spans="1:14" x14ac:dyDescent="0.2">
      <c r="L2" s="10" t="s">
        <v>0</v>
      </c>
      <c r="M2" s="1">
        <v>150</v>
      </c>
    </row>
    <row r="3" spans="1:14" x14ac:dyDescent="0.2">
      <c r="L3" s="10" t="s">
        <v>5</v>
      </c>
      <c r="M3" s="1">
        <v>1335.953</v>
      </c>
      <c r="N3" s="10" t="s">
        <v>6</v>
      </c>
    </row>
    <row r="4" spans="1:14" x14ac:dyDescent="0.2">
      <c r="A4" s="10" t="s">
        <v>40</v>
      </c>
      <c r="L4" s="10" t="s">
        <v>3</v>
      </c>
      <c r="M4" s="1">
        <f>M3*M2</f>
        <v>200392.94999999998</v>
      </c>
    </row>
    <row r="5" spans="1:14" x14ac:dyDescent="0.2">
      <c r="A5" s="10" t="s">
        <v>41</v>
      </c>
      <c r="L5" s="10" t="s">
        <v>1</v>
      </c>
      <c r="M5" s="1">
        <v>5157</v>
      </c>
      <c r="N5" s="10" t="s">
        <v>6</v>
      </c>
    </row>
    <row r="6" spans="1:14" x14ac:dyDescent="0.2">
      <c r="A6" s="10" t="s">
        <v>42</v>
      </c>
      <c r="L6" s="10" t="s">
        <v>2</v>
      </c>
      <c r="M6" s="1">
        <f>38244+1646+2060+6946</f>
        <v>48896</v>
      </c>
      <c r="N6" s="10" t="s">
        <v>6</v>
      </c>
    </row>
    <row r="7" spans="1:14" x14ac:dyDescent="0.2">
      <c r="L7" s="10" t="s">
        <v>4</v>
      </c>
      <c r="M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C717-7470-43B5-9B25-D5EA9BF10CBD}">
  <dimension ref="A1:DK48"/>
  <sheetViews>
    <sheetView tabSelected="1" zoomScale="130" zoomScaleNormal="130" workbookViewId="0">
      <pane xSplit="2" ySplit="1" topLeftCell="F9" activePane="bottomRight" state="frozen"/>
      <selection pane="topRight" activeCell="C1" sqref="C1"/>
      <selection pane="bottomLeft" activeCell="A2" sqref="A2"/>
      <selection pane="bottomRight" activeCell="P13" sqref="P13"/>
    </sheetView>
  </sheetViews>
  <sheetFormatPr defaultRowHeight="12.75" x14ac:dyDescent="0.2"/>
  <cols>
    <col min="1" max="1" width="4.25" style="1" customWidth="1"/>
    <col min="2" max="2" width="17.5" style="1" customWidth="1"/>
    <col min="3" max="7" width="9" style="1"/>
    <col min="8" max="8" width="9" style="1" customWidth="1"/>
    <col min="9" max="16384" width="9" style="1"/>
  </cols>
  <sheetData>
    <row r="1" spans="1:14" x14ac:dyDescent="0.2">
      <c r="A1" s="2" t="s">
        <v>7</v>
      </c>
      <c r="F1" s="3">
        <v>2022</v>
      </c>
      <c r="G1" s="3">
        <f>F1+1</f>
        <v>2023</v>
      </c>
      <c r="H1" s="3">
        <f t="shared" ref="H1:M1" si="0">G1+1</f>
        <v>2024</v>
      </c>
      <c r="I1" s="3">
        <f t="shared" si="0"/>
        <v>2025</v>
      </c>
      <c r="J1" s="3">
        <f t="shared" si="0"/>
        <v>2026</v>
      </c>
      <c r="K1" s="3">
        <f t="shared" si="0"/>
        <v>2027</v>
      </c>
      <c r="L1" s="3">
        <f t="shared" si="0"/>
        <v>2028</v>
      </c>
      <c r="M1" s="3">
        <f t="shared" si="0"/>
        <v>2029</v>
      </c>
    </row>
    <row r="2" spans="1:14" x14ac:dyDescent="0.2">
      <c r="A2" s="2"/>
      <c r="B2" s="1" t="s">
        <v>45</v>
      </c>
      <c r="F2" s="3"/>
      <c r="G2" s="3"/>
      <c r="H2" s="3"/>
      <c r="I2" s="3"/>
      <c r="J2" s="3"/>
      <c r="K2" s="3"/>
      <c r="L2" s="3"/>
      <c r="M2" s="3"/>
    </row>
    <row r="3" spans="1:14" x14ac:dyDescent="0.2">
      <c r="A3" s="2"/>
      <c r="B3" s="1" t="s">
        <v>46</v>
      </c>
      <c r="F3" s="3"/>
      <c r="G3" s="3"/>
      <c r="H3" s="3"/>
      <c r="I3" s="3"/>
      <c r="J3" s="3"/>
      <c r="K3" s="3"/>
      <c r="L3" s="3"/>
      <c r="M3" s="3"/>
    </row>
    <row r="4" spans="1:14" x14ac:dyDescent="0.2">
      <c r="A4" s="2"/>
      <c r="B4" s="1" t="s">
        <v>47</v>
      </c>
      <c r="F4" s="3"/>
      <c r="G4" s="3"/>
      <c r="H4" s="3"/>
      <c r="I4" s="3"/>
      <c r="J4" s="3"/>
      <c r="K4" s="3"/>
      <c r="L4" s="3"/>
      <c r="M4" s="3"/>
    </row>
    <row r="5" spans="1:14" x14ac:dyDescent="0.2">
      <c r="A5" s="2"/>
      <c r="B5" s="1" t="s">
        <v>48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2"/>
      <c r="B6" s="1" t="s">
        <v>49</v>
      </c>
      <c r="F6" s="3"/>
      <c r="G6" s="3"/>
      <c r="H6" s="3"/>
      <c r="I6" s="3"/>
      <c r="J6" s="3"/>
      <c r="K6" s="3"/>
      <c r="L6" s="3"/>
      <c r="M6" s="3"/>
    </row>
    <row r="7" spans="1:14" x14ac:dyDescent="0.2">
      <c r="A7" s="2"/>
      <c r="F7" s="3"/>
      <c r="G7" s="3"/>
      <c r="H7" s="3"/>
      <c r="I7" s="3"/>
      <c r="J7" s="3"/>
      <c r="K7" s="3"/>
      <c r="L7" s="3"/>
      <c r="M7" s="3"/>
    </row>
    <row r="8" spans="1:14" x14ac:dyDescent="0.2">
      <c r="A8" s="2"/>
      <c r="B8" s="1" t="s">
        <v>43</v>
      </c>
      <c r="F8" s="3"/>
      <c r="G8" s="3"/>
      <c r="H8" s="3"/>
      <c r="I8" s="3"/>
      <c r="J8" s="3"/>
      <c r="K8" s="3"/>
      <c r="L8" s="3"/>
      <c r="M8" s="3"/>
    </row>
    <row r="9" spans="1:14" x14ac:dyDescent="0.2">
      <c r="A9" s="2"/>
      <c r="B9" s="1" t="s">
        <v>44</v>
      </c>
      <c r="F9" s="3"/>
      <c r="G9" s="3"/>
      <c r="H9" s="3"/>
      <c r="I9" s="3"/>
      <c r="J9" s="3"/>
      <c r="K9" s="3"/>
      <c r="L9" s="3"/>
      <c r="M9" s="3"/>
    </row>
    <row r="10" spans="1:14" x14ac:dyDescent="0.2">
      <c r="A10" s="2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2"/>
      <c r="B11" s="11" t="s">
        <v>51</v>
      </c>
      <c r="F11" s="3"/>
      <c r="G11" s="3"/>
      <c r="H11" s="3"/>
      <c r="L11" s="3"/>
      <c r="M11" s="3"/>
    </row>
    <row r="12" spans="1:14" x14ac:dyDescent="0.2">
      <c r="B12" s="1" t="s">
        <v>9</v>
      </c>
      <c r="F12" s="1">
        <v>50773</v>
      </c>
      <c r="G12" s="1">
        <v>49571</v>
      </c>
      <c r="H12" s="1">
        <v>59612</v>
      </c>
      <c r="I12" s="1">
        <f>H12*1.05</f>
        <v>62592.600000000006</v>
      </c>
      <c r="J12" s="1">
        <f t="shared" ref="J12:M12" si="1">I12*1.05</f>
        <v>65722.23000000001</v>
      </c>
      <c r="K12" s="1">
        <f t="shared" si="1"/>
        <v>69008.34150000001</v>
      </c>
      <c r="L12" s="1">
        <f t="shared" si="1"/>
        <v>72458.758575000014</v>
      </c>
      <c r="M12" s="1">
        <f t="shared" si="1"/>
        <v>76081.696503750019</v>
      </c>
    </row>
    <row r="13" spans="1:14" x14ac:dyDescent="0.2">
      <c r="B13" s="1" t="s">
        <v>10</v>
      </c>
      <c r="F13" s="1">
        <v>16301</v>
      </c>
      <c r="G13" s="1">
        <v>19349</v>
      </c>
      <c r="H13" s="1">
        <v>21126</v>
      </c>
      <c r="I13" s="1">
        <f>H13*1.1</f>
        <v>23238.600000000002</v>
      </c>
      <c r="J13" s="1">
        <f t="shared" ref="J13:M13" si="2">I13*1.1</f>
        <v>25562.460000000003</v>
      </c>
      <c r="K13" s="1">
        <f t="shared" si="2"/>
        <v>28118.706000000006</v>
      </c>
      <c r="L13" s="1">
        <f t="shared" si="2"/>
        <v>30930.576600000008</v>
      </c>
      <c r="M13" s="1">
        <f t="shared" si="2"/>
        <v>34023.634260000013</v>
      </c>
    </row>
    <row r="14" spans="1:14" s="4" customFormat="1" x14ac:dyDescent="0.2">
      <c r="A14" s="1"/>
      <c r="B14" s="4" t="s">
        <v>8</v>
      </c>
      <c r="F14" s="4">
        <f>SUM(F12:F13)</f>
        <v>67074</v>
      </c>
      <c r="G14" s="4">
        <f t="shared" ref="G14:H14" si="3">SUM(G12:G13)</f>
        <v>68920</v>
      </c>
      <c r="H14" s="4">
        <f t="shared" si="3"/>
        <v>80738</v>
      </c>
      <c r="I14" s="4">
        <f>SUM(I11:I13)</f>
        <v>85831.200000000012</v>
      </c>
      <c r="J14" s="4">
        <f t="shared" ref="J14:K14" si="4">SUM(J11:J13)</f>
        <v>91284.690000000017</v>
      </c>
      <c r="K14" s="4">
        <f t="shared" si="4"/>
        <v>97127.047500000015</v>
      </c>
      <c r="L14" s="4">
        <f t="shared" ref="L14" si="5">SUM(L12:L13)</f>
        <v>103389.33517500001</v>
      </c>
      <c r="M14" s="4">
        <f t="shared" ref="M14" si="6">SUM(M12:M13)</f>
        <v>110105.33076375004</v>
      </c>
      <c r="N14" s="7"/>
    </row>
    <row r="15" spans="1:14" x14ac:dyDescent="0.2">
      <c r="B15" s="1" t="s">
        <v>11</v>
      </c>
      <c r="F15" s="1">
        <v>41927</v>
      </c>
      <c r="G15" s="1">
        <v>43425</v>
      </c>
      <c r="H15" s="1">
        <v>50768</v>
      </c>
      <c r="I15" s="1">
        <f t="shared" ref="I15:M16" si="7">I12*(1-I38)</f>
        <v>53120.676000000007</v>
      </c>
      <c r="J15" s="1">
        <f t="shared" si="7"/>
        <v>55577.799396000009</v>
      </c>
      <c r="K15" s="1">
        <f t="shared" si="7"/>
        <v>58143.656323116011</v>
      </c>
      <c r="L15" s="1">
        <f t="shared" si="7"/>
        <v>60822.680750557243</v>
      </c>
      <c r="M15" s="1">
        <f t="shared" si="7"/>
        <v>63619.457153771815</v>
      </c>
    </row>
    <row r="16" spans="1:14" x14ac:dyDescent="0.2">
      <c r="B16" s="1" t="s">
        <v>12</v>
      </c>
      <c r="F16" s="1">
        <v>11479</v>
      </c>
      <c r="G16" s="1">
        <v>13406</v>
      </c>
      <c r="H16" s="1">
        <v>14560</v>
      </c>
      <c r="I16" s="1">
        <f t="shared" si="7"/>
        <v>15871.548000000003</v>
      </c>
      <c r="J16" s="1">
        <f t="shared" si="7"/>
        <v>17296.627656000001</v>
      </c>
      <c r="K16" s="1">
        <f t="shared" si="7"/>
        <v>18844.442110032003</v>
      </c>
      <c r="L16" s="1">
        <f t="shared" si="7"/>
        <v>20524.852515455903</v>
      </c>
      <c r="M16" s="1">
        <f t="shared" si="7"/>
        <v>22348.411837141528</v>
      </c>
    </row>
    <row r="17" spans="1:109" x14ac:dyDescent="0.2">
      <c r="B17" s="1" t="s">
        <v>13</v>
      </c>
      <c r="F17" s="1">
        <f>F14-SUM(F15:F16)</f>
        <v>13668</v>
      </c>
      <c r="G17" s="1">
        <f t="shared" ref="G17:M17" si="8">G14-SUM(G15:G16)</f>
        <v>12089</v>
      </c>
      <c r="H17" s="1">
        <f t="shared" si="8"/>
        <v>15410</v>
      </c>
      <c r="I17" s="1">
        <f t="shared" si="8"/>
        <v>16838.975999999995</v>
      </c>
      <c r="J17" s="1">
        <f t="shared" si="8"/>
        <v>18410.262948000003</v>
      </c>
      <c r="K17" s="1">
        <f t="shared" si="8"/>
        <v>20138.949066852001</v>
      </c>
      <c r="L17" s="1">
        <f t="shared" si="8"/>
        <v>22041.801908986876</v>
      </c>
      <c r="M17" s="1">
        <f t="shared" si="8"/>
        <v>24137.461772836701</v>
      </c>
    </row>
    <row r="18" spans="1:109" x14ac:dyDescent="0.2">
      <c r="B18" s="1" t="s">
        <v>14</v>
      </c>
      <c r="F18" s="1">
        <v>2711</v>
      </c>
      <c r="G18" s="1">
        <v>2805</v>
      </c>
      <c r="H18" s="1">
        <v>2934</v>
      </c>
    </row>
    <row r="19" spans="1:109" x14ac:dyDescent="0.2">
      <c r="B19" s="1" t="s">
        <v>15</v>
      </c>
      <c r="F19" s="1">
        <v>5573</v>
      </c>
      <c r="G19" s="1">
        <v>5809</v>
      </c>
      <c r="H19" s="1">
        <v>5806</v>
      </c>
    </row>
    <row r="20" spans="1:109" x14ac:dyDescent="0.2">
      <c r="B20" s="1" t="s">
        <v>16</v>
      </c>
      <c r="F20" s="1">
        <f>SUM(F18:F19)</f>
        <v>8284</v>
      </c>
      <c r="G20" s="1">
        <f t="shared" ref="G20:H20" si="9">SUM(G18:G19)</f>
        <v>8614</v>
      </c>
      <c r="H20" s="1">
        <f t="shared" si="9"/>
        <v>8740</v>
      </c>
      <c r="I20" s="1">
        <f>I14*I36</f>
        <v>9198.4324744234455</v>
      </c>
      <c r="J20" s="1">
        <f>J14*J36</f>
        <v>9685.0480518103031</v>
      </c>
      <c r="K20" s="1">
        <f>K14*K36</f>
        <v>10201.856641527533</v>
      </c>
      <c r="L20" s="1">
        <f>L14*L36</f>
        <v>10751.02734859729</v>
      </c>
      <c r="M20" s="1">
        <f>M14*M36</f>
        <v>11334.901864502222</v>
      </c>
    </row>
    <row r="21" spans="1:109" x14ac:dyDescent="0.2">
      <c r="B21" s="1" t="s">
        <v>17</v>
      </c>
      <c r="F21" s="1">
        <f>F17-F20</f>
        <v>5384</v>
      </c>
      <c r="G21" s="1">
        <f t="shared" ref="G21:M21" si="10">G17-G20</f>
        <v>3475</v>
      </c>
      <c r="H21" s="1">
        <f t="shared" si="10"/>
        <v>6670</v>
      </c>
      <c r="I21" s="1">
        <f t="shared" si="10"/>
        <v>7640.5435255765497</v>
      </c>
      <c r="J21" s="1">
        <f t="shared" si="10"/>
        <v>8725.2148961897001</v>
      </c>
      <c r="K21" s="1">
        <f t="shared" si="10"/>
        <v>9937.0924253244684</v>
      </c>
      <c r="L21" s="1">
        <f t="shared" si="10"/>
        <v>11290.774560389586</v>
      </c>
      <c r="M21" s="1">
        <f t="shared" si="10"/>
        <v>12802.559908334479</v>
      </c>
    </row>
    <row r="22" spans="1:109" x14ac:dyDescent="0.2">
      <c r="B22" s="1" t="s">
        <v>19</v>
      </c>
      <c r="F22" s="1">
        <v>1889</v>
      </c>
      <c r="G22" s="1">
        <v>1780</v>
      </c>
      <c r="H22" s="1">
        <v>1518</v>
      </c>
      <c r="I22" s="1">
        <f>H22*(1+I30)</f>
        <v>1613.7600832321834</v>
      </c>
      <c r="J22" s="1">
        <f t="shared" ref="J22:M22" si="11">I22*(1+J30)</f>
        <v>1716.2941789491942</v>
      </c>
      <c r="K22" s="1">
        <f t="shared" si="11"/>
        <v>1826.1395886075954</v>
      </c>
      <c r="L22" s="1">
        <f t="shared" si="11"/>
        <v>1943.880338820011</v>
      </c>
      <c r="M22" s="1">
        <f t="shared" si="11"/>
        <v>2070.1515036212513</v>
      </c>
    </row>
    <row r="23" spans="1:109" x14ac:dyDescent="0.2">
      <c r="B23" s="1" t="s">
        <v>18</v>
      </c>
      <c r="F23" s="1">
        <v>-1276</v>
      </c>
      <c r="G23" s="1">
        <v>-1505</v>
      </c>
      <c r="H23" s="1">
        <v>-1862</v>
      </c>
      <c r="I23" s="1">
        <f>H41*$P$28</f>
        <v>-874.78</v>
      </c>
      <c r="J23" s="1">
        <f>I41*$P$28</f>
        <v>-732.32809865025149</v>
      </c>
      <c r="K23" s="1">
        <f>J41*$P$28</f>
        <v>-567.27202204994455</v>
      </c>
      <c r="L23" s="1">
        <f>K41*$P$28</f>
        <v>-376.94070218794855</v>
      </c>
      <c r="M23" s="1">
        <f>L41*$P$28</f>
        <v>-158.35956083858056</v>
      </c>
    </row>
    <row r="24" spans="1:109" x14ac:dyDescent="0.2">
      <c r="B24" s="1" t="s">
        <v>20</v>
      </c>
      <c r="F24" s="1">
        <f>SUM(F21:F23)</f>
        <v>5997</v>
      </c>
      <c r="G24" s="1">
        <f t="shared" ref="G24:H24" si="12">SUM(G21:G23)</f>
        <v>3750</v>
      </c>
      <c r="H24" s="1">
        <f t="shared" si="12"/>
        <v>6326</v>
      </c>
      <c r="I24" s="1">
        <f t="shared" ref="I24" si="13">SUM(I21:I23)</f>
        <v>8379.5236088087331</v>
      </c>
      <c r="J24" s="1">
        <f t="shared" ref="J24" si="14">SUM(J21:J23)</f>
        <v>9709.180976488642</v>
      </c>
      <c r="K24" s="1">
        <f t="shared" ref="K24" si="15">SUM(K21:K23)</f>
        <v>11195.959991882119</v>
      </c>
      <c r="L24" s="1">
        <f t="shared" ref="L24" si="16">SUM(L21:L23)</f>
        <v>12857.714197021647</v>
      </c>
      <c r="M24" s="1">
        <f t="shared" ref="M24" si="17">SUM(M21:M23)</f>
        <v>14714.35185111715</v>
      </c>
    </row>
    <row r="25" spans="1:109" x14ac:dyDescent="0.2">
      <c r="B25" s="1" t="s">
        <v>21</v>
      </c>
      <c r="F25" s="1">
        <v>790</v>
      </c>
      <c r="G25" s="1">
        <v>456</v>
      </c>
      <c r="H25" s="1">
        <v>1181</v>
      </c>
      <c r="I25" s="1">
        <f>I24*0.15</f>
        <v>1256.9285413213099</v>
      </c>
      <c r="J25" s="1">
        <f t="shared" ref="J25:M25" si="18">J24*0.15</f>
        <v>1456.3771464732963</v>
      </c>
      <c r="K25" s="1">
        <f t="shared" si="18"/>
        <v>1679.3939987823178</v>
      </c>
      <c r="L25" s="1">
        <f t="shared" si="18"/>
        <v>1928.6571295532469</v>
      </c>
      <c r="M25" s="1">
        <f t="shared" si="18"/>
        <v>2207.1527776675725</v>
      </c>
    </row>
    <row r="26" spans="1:109" s="4" customFormat="1" x14ac:dyDescent="0.2">
      <c r="A26" s="1"/>
      <c r="B26" s="4" t="s">
        <v>22</v>
      </c>
      <c r="F26" s="4">
        <f>F24-F25</f>
        <v>5207</v>
      </c>
      <c r="G26" s="4">
        <f t="shared" ref="G26:M26" si="19">G24-G25</f>
        <v>3294</v>
      </c>
      <c r="H26" s="4">
        <f t="shared" si="19"/>
        <v>5145</v>
      </c>
      <c r="I26" s="4">
        <f t="shared" si="19"/>
        <v>7122.595067487423</v>
      </c>
      <c r="J26" s="4">
        <f t="shared" si="19"/>
        <v>8252.8038300153457</v>
      </c>
      <c r="K26" s="4">
        <f t="shared" si="19"/>
        <v>9516.5659930998008</v>
      </c>
      <c r="L26" s="4">
        <f t="shared" si="19"/>
        <v>10929.0570674684</v>
      </c>
      <c r="M26" s="4">
        <f t="shared" si="19"/>
        <v>12507.199073449578</v>
      </c>
      <c r="N26" s="4">
        <f t="shared" ref="N26:AS26" si="20">M26*(1+$P$29)</f>
        <v>12632.271064184073</v>
      </c>
      <c r="O26" s="4">
        <f t="shared" si="20"/>
        <v>12758.593774825915</v>
      </c>
      <c r="P26" s="4">
        <f t="shared" si="20"/>
        <v>12886.179712574174</v>
      </c>
      <c r="Q26" s="4">
        <f t="shared" si="20"/>
        <v>13015.041509699917</v>
      </c>
      <c r="R26" s="4">
        <f t="shared" si="20"/>
        <v>13145.191924796916</v>
      </c>
      <c r="S26" s="4">
        <f t="shared" si="20"/>
        <v>13276.643844044886</v>
      </c>
      <c r="T26" s="4">
        <f t="shared" si="20"/>
        <v>13409.410282485334</v>
      </c>
      <c r="U26" s="4">
        <f t="shared" si="20"/>
        <v>13543.504385310187</v>
      </c>
      <c r="V26" s="4">
        <f t="shared" si="20"/>
        <v>13678.939429163289</v>
      </c>
      <c r="W26" s="4">
        <f t="shared" si="20"/>
        <v>13815.728823454921</v>
      </c>
      <c r="X26" s="4">
        <f t="shared" si="20"/>
        <v>13953.886111689471</v>
      </c>
      <c r="Y26" s="4">
        <f t="shared" si="20"/>
        <v>14093.424972806366</v>
      </c>
      <c r="Z26" s="4">
        <f t="shared" si="20"/>
        <v>14234.359222534429</v>
      </c>
      <c r="AA26" s="4">
        <f t="shared" si="20"/>
        <v>14376.702814759774</v>
      </c>
      <c r="AB26" s="4">
        <f t="shared" si="20"/>
        <v>14520.469842907372</v>
      </c>
      <c r="AC26" s="4">
        <f t="shared" si="20"/>
        <v>14665.674541336446</v>
      </c>
      <c r="AD26" s="4">
        <f t="shared" si="20"/>
        <v>14812.33128674981</v>
      </c>
      <c r="AE26" s="4">
        <f t="shared" si="20"/>
        <v>14960.454599617307</v>
      </c>
      <c r="AF26" s="4">
        <f t="shared" si="20"/>
        <v>15110.059145613481</v>
      </c>
      <c r="AG26" s="4">
        <f t="shared" si="20"/>
        <v>15261.159737069616</v>
      </c>
      <c r="AH26" s="4">
        <f t="shared" si="20"/>
        <v>15413.771334440313</v>
      </c>
      <c r="AI26" s="4">
        <f t="shared" si="20"/>
        <v>15567.909047784717</v>
      </c>
      <c r="AJ26" s="4">
        <f t="shared" si="20"/>
        <v>15723.588138262565</v>
      </c>
      <c r="AK26" s="4">
        <f t="shared" si="20"/>
        <v>15880.82401964519</v>
      </c>
      <c r="AL26" s="4">
        <f t="shared" si="20"/>
        <v>16039.632259841641</v>
      </c>
      <c r="AM26" s="4">
        <f t="shared" si="20"/>
        <v>16200.028582440058</v>
      </c>
      <c r="AN26" s="4">
        <f t="shared" si="20"/>
        <v>16362.028868264459</v>
      </c>
      <c r="AO26" s="4">
        <f t="shared" si="20"/>
        <v>16525.649156947104</v>
      </c>
      <c r="AP26" s="4">
        <f t="shared" si="20"/>
        <v>16690.905648516575</v>
      </c>
      <c r="AQ26" s="4">
        <f t="shared" si="20"/>
        <v>16857.81470500174</v>
      </c>
      <c r="AR26" s="4">
        <f t="shared" si="20"/>
        <v>17026.392852051758</v>
      </c>
      <c r="AS26" s="4">
        <f t="shared" si="20"/>
        <v>17196.656780572277</v>
      </c>
      <c r="AT26" s="4">
        <f t="shared" ref="AT26:BY26" si="21">AS26*(1+$P$29)</f>
        <v>17368.623348378002</v>
      </c>
      <c r="AU26" s="4">
        <f t="shared" si="21"/>
        <v>17542.30958186178</v>
      </c>
      <c r="AV26" s="4">
        <f t="shared" si="21"/>
        <v>17717.732677680397</v>
      </c>
      <c r="AW26" s="4">
        <f t="shared" si="21"/>
        <v>17894.910004457201</v>
      </c>
      <c r="AX26" s="4">
        <f t="shared" si="21"/>
        <v>18073.859104501771</v>
      </c>
      <c r="AY26" s="4">
        <f t="shared" si="21"/>
        <v>18254.597695546789</v>
      </c>
      <c r="AZ26" s="4">
        <f t="shared" si="21"/>
        <v>18437.143672502258</v>
      </c>
      <c r="BA26" s="4">
        <f t="shared" si="21"/>
        <v>18621.515109227279</v>
      </c>
      <c r="BB26" s="4">
        <f t="shared" si="21"/>
        <v>18807.730260319553</v>
      </c>
      <c r="BC26" s="4">
        <f t="shared" si="21"/>
        <v>18995.80756292275</v>
      </c>
      <c r="BD26" s="4">
        <f t="shared" si="21"/>
        <v>19185.765638551977</v>
      </c>
      <c r="BE26" s="4">
        <f t="shared" si="21"/>
        <v>19377.623294937497</v>
      </c>
      <c r="BF26" s="4">
        <f t="shared" si="21"/>
        <v>19571.399527886872</v>
      </c>
      <c r="BG26" s="4">
        <f t="shared" si="21"/>
        <v>19767.113523165739</v>
      </c>
      <c r="BH26" s="4">
        <f t="shared" si="21"/>
        <v>19964.784658397395</v>
      </c>
      <c r="BI26" s="4">
        <f t="shared" si="21"/>
        <v>20164.432504981371</v>
      </c>
      <c r="BJ26" s="4">
        <f t="shared" si="21"/>
        <v>20366.076830031183</v>
      </c>
      <c r="BK26" s="4">
        <f t="shared" si="21"/>
        <v>20569.737598331496</v>
      </c>
      <c r="BL26" s="4">
        <f t="shared" si="21"/>
        <v>20775.434974314812</v>
      </c>
      <c r="BM26" s="4">
        <f t="shared" si="21"/>
        <v>20983.189324057959</v>
      </c>
      <c r="BN26" s="4">
        <f t="shared" si="21"/>
        <v>21193.021217298538</v>
      </c>
      <c r="BO26" s="4">
        <f t="shared" si="21"/>
        <v>21404.951429471523</v>
      </c>
      <c r="BP26" s="4">
        <f t="shared" si="21"/>
        <v>21619.000943766237</v>
      </c>
      <c r="BQ26" s="4">
        <f t="shared" si="21"/>
        <v>21835.190953203899</v>
      </c>
      <c r="BR26" s="4">
        <f t="shared" si="21"/>
        <v>22053.54286273594</v>
      </c>
      <c r="BS26" s="4">
        <f t="shared" si="21"/>
        <v>22274.078291363301</v>
      </c>
      <c r="BT26" s="4">
        <f t="shared" si="21"/>
        <v>22496.819074276933</v>
      </c>
      <c r="BU26" s="4">
        <f t="shared" si="21"/>
        <v>22721.787265019702</v>
      </c>
      <c r="BV26" s="4">
        <f t="shared" si="21"/>
        <v>22949.005137669901</v>
      </c>
      <c r="BW26" s="4">
        <f t="shared" si="21"/>
        <v>23178.4951890466</v>
      </c>
      <c r="BX26" s="4">
        <f t="shared" si="21"/>
        <v>23410.280140937066</v>
      </c>
      <c r="BY26" s="4">
        <f t="shared" si="21"/>
        <v>23644.382942346438</v>
      </c>
      <c r="BZ26" s="4">
        <f t="shared" ref="BZ26:DE26" si="22">BY26*(1+$P$29)</f>
        <v>23880.826771769902</v>
      </c>
      <c r="CA26" s="4">
        <f t="shared" si="22"/>
        <v>24119.635039487603</v>
      </c>
      <c r="CB26" s="4">
        <f t="shared" si="22"/>
        <v>24360.831389882478</v>
      </c>
      <c r="CC26" s="4">
        <f t="shared" si="22"/>
        <v>24604.439703781303</v>
      </c>
      <c r="CD26" s="4">
        <f t="shared" si="22"/>
        <v>24850.484100819118</v>
      </c>
      <c r="CE26" s="4">
        <f t="shared" si="22"/>
        <v>25098.988941827309</v>
      </c>
      <c r="CF26" s="4">
        <f t="shared" si="22"/>
        <v>25349.978831245582</v>
      </c>
      <c r="CG26" s="4">
        <f t="shared" si="22"/>
        <v>25603.478619558038</v>
      </c>
      <c r="CH26" s="4">
        <f t="shared" si="22"/>
        <v>25859.51340575362</v>
      </c>
      <c r="CI26" s="4">
        <f t="shared" si="22"/>
        <v>26118.108539811157</v>
      </c>
      <c r="CJ26" s="4">
        <f t="shared" si="22"/>
        <v>26379.289625209269</v>
      </c>
      <c r="CK26" s="4">
        <f t="shared" si="22"/>
        <v>26643.082521461361</v>
      </c>
      <c r="CL26" s="4">
        <f t="shared" si="22"/>
        <v>26909.513346675976</v>
      </c>
      <c r="CM26" s="4">
        <f t="shared" si="22"/>
        <v>27178.608480142735</v>
      </c>
      <c r="CN26" s="4">
        <f t="shared" si="22"/>
        <v>27450.394564944163</v>
      </c>
      <c r="CO26" s="4">
        <f t="shared" si="22"/>
        <v>27724.898510593604</v>
      </c>
      <c r="CP26" s="4">
        <f t="shared" si="22"/>
        <v>28002.147495699541</v>
      </c>
      <c r="CQ26" s="4">
        <f t="shared" si="22"/>
        <v>28282.168970656538</v>
      </c>
      <c r="CR26" s="4">
        <f t="shared" si="22"/>
        <v>28564.990660363103</v>
      </c>
      <c r="CS26" s="4">
        <f t="shared" si="22"/>
        <v>28850.640566966733</v>
      </c>
      <c r="CT26" s="4">
        <f t="shared" si="22"/>
        <v>29139.146972636401</v>
      </c>
      <c r="CU26" s="4">
        <f t="shared" si="22"/>
        <v>29430.538442362766</v>
      </c>
      <c r="CV26" s="4">
        <f t="shared" si="22"/>
        <v>29724.843826786393</v>
      </c>
      <c r="CW26" s="4">
        <f t="shared" si="22"/>
        <v>30022.092265054256</v>
      </c>
      <c r="CX26" s="4">
        <f t="shared" si="22"/>
        <v>30322.3131877048</v>
      </c>
      <c r="CY26" s="4">
        <f t="shared" si="22"/>
        <v>30625.53631958185</v>
      </c>
      <c r="CZ26" s="4">
        <f t="shared" si="22"/>
        <v>30931.791682777668</v>
      </c>
      <c r="DA26" s="4">
        <f t="shared" si="22"/>
        <v>31241.109599605446</v>
      </c>
      <c r="DB26" s="4">
        <f t="shared" si="22"/>
        <v>31553.520695601503</v>
      </c>
      <c r="DC26" s="4">
        <f t="shared" si="22"/>
        <v>31869.055902557517</v>
      </c>
      <c r="DD26" s="4">
        <f t="shared" si="22"/>
        <v>32187.74646158309</v>
      </c>
      <c r="DE26" s="4">
        <f t="shared" si="22"/>
        <v>32509.623926198921</v>
      </c>
    </row>
    <row r="27" spans="1:109" x14ac:dyDescent="0.2">
      <c r="B27" s="1" t="s">
        <v>23</v>
      </c>
      <c r="F27" s="5">
        <f>F26/F28</f>
        <v>3.5040376850605655</v>
      </c>
      <c r="G27" s="5">
        <f t="shared" ref="G27:M27" si="23">G26/G28</f>
        <v>2.2954703832752612</v>
      </c>
      <c r="H27" s="5">
        <f t="shared" si="23"/>
        <v>3.8292646621018163</v>
      </c>
      <c r="I27" s="5">
        <f t="shared" si="23"/>
        <v>5.5801343346918912</v>
      </c>
      <c r="J27" s="5">
        <f t="shared" si="23"/>
        <v>6.8058804518355593</v>
      </c>
      <c r="K27" s="5">
        <f t="shared" si="23"/>
        <v>8.2611299262769293</v>
      </c>
      <c r="L27" s="5">
        <f t="shared" si="23"/>
        <v>9.986614308201391</v>
      </c>
      <c r="M27" s="5">
        <f t="shared" si="23"/>
        <v>12.030177655512441</v>
      </c>
    </row>
    <row r="28" spans="1:109" x14ac:dyDescent="0.2">
      <c r="B28" s="1" t="s">
        <v>5</v>
      </c>
      <c r="F28" s="1">
        <v>1486</v>
      </c>
      <c r="G28" s="1">
        <v>1435</v>
      </c>
      <c r="H28" s="1">
        <v>1343.6</v>
      </c>
      <c r="I28" s="1">
        <f>H28*0.95</f>
        <v>1276.4199999999998</v>
      </c>
      <c r="J28" s="1">
        <f t="shared" ref="J28:M28" si="24">I28*0.95</f>
        <v>1212.5989999999997</v>
      </c>
      <c r="K28" s="1">
        <f t="shared" si="24"/>
        <v>1151.9690499999997</v>
      </c>
      <c r="L28" s="1">
        <f t="shared" si="24"/>
        <v>1094.3705974999996</v>
      </c>
      <c r="M28" s="1">
        <f t="shared" si="24"/>
        <v>1039.6520676249995</v>
      </c>
      <c r="O28" s="1" t="s">
        <v>36</v>
      </c>
      <c r="P28" s="6">
        <v>0.02</v>
      </c>
    </row>
    <row r="29" spans="1:109" x14ac:dyDescent="0.2">
      <c r="O29" s="1" t="s">
        <v>37</v>
      </c>
      <c r="P29" s="6">
        <v>0.01</v>
      </c>
    </row>
    <row r="30" spans="1:109" s="4" customFormat="1" x14ac:dyDescent="0.2">
      <c r="A30" s="1"/>
      <c r="B30" s="4" t="s">
        <v>24</v>
      </c>
      <c r="G30" s="7">
        <f>G14/F14-1</f>
        <v>2.7521841548140857E-2</v>
      </c>
      <c r="H30" s="7">
        <f>H14/G14-1</f>
        <v>0.17147417295414979</v>
      </c>
      <c r="I30" s="7">
        <f t="shared" ref="I30:M30" si="25">I14/H14-1</f>
        <v>6.3083058782729573E-2</v>
      </c>
      <c r="J30" s="7">
        <f t="shared" si="25"/>
        <v>6.3537385006850799E-2</v>
      </c>
      <c r="K30" s="7">
        <f t="shared" si="25"/>
        <v>6.4001504523923947E-2</v>
      </c>
      <c r="L30" s="7">
        <f t="shared" si="25"/>
        <v>6.4475219171055365E-2</v>
      </c>
      <c r="M30" s="7">
        <f t="shared" si="25"/>
        <v>6.4958301331392798E-2</v>
      </c>
      <c r="O30" s="1" t="s">
        <v>38</v>
      </c>
      <c r="P30" s="6">
        <v>0.08</v>
      </c>
    </row>
    <row r="31" spans="1:109" x14ac:dyDescent="0.2">
      <c r="B31" s="1" t="s">
        <v>34</v>
      </c>
      <c r="F31" s="8"/>
      <c r="G31" s="8">
        <f t="shared" ref="G31:M32" si="26">G12/F12-1</f>
        <v>-2.3673999960609038E-2</v>
      </c>
      <c r="H31" s="8">
        <f t="shared" si="26"/>
        <v>0.20255794718686326</v>
      </c>
      <c r="I31" s="8">
        <f t="shared" si="26"/>
        <v>5.0000000000000044E-2</v>
      </c>
      <c r="J31" s="8">
        <f t="shared" si="26"/>
        <v>5.0000000000000044E-2</v>
      </c>
      <c r="K31" s="8">
        <f t="shared" si="26"/>
        <v>5.0000000000000044E-2</v>
      </c>
      <c r="L31" s="8">
        <f t="shared" si="26"/>
        <v>5.0000000000000044E-2</v>
      </c>
      <c r="M31" s="8">
        <f t="shared" si="26"/>
        <v>5.0000000000000044E-2</v>
      </c>
      <c r="O31" s="4" t="s">
        <v>39</v>
      </c>
      <c r="P31" s="4">
        <f>NPV(P30,I26:XFD26)+main!M5-main!M6</f>
        <v>116652.6684685853</v>
      </c>
    </row>
    <row r="32" spans="1:109" x14ac:dyDescent="0.2">
      <c r="B32" s="1" t="s">
        <v>35</v>
      </c>
      <c r="F32" s="8"/>
      <c r="G32" s="8">
        <f t="shared" si="26"/>
        <v>0.18698239371817671</v>
      </c>
      <c r="H32" s="8">
        <f t="shared" si="26"/>
        <v>9.1839371543749104E-2</v>
      </c>
      <c r="I32" s="8">
        <f t="shared" si="26"/>
        <v>0.10000000000000009</v>
      </c>
      <c r="J32" s="8">
        <f t="shared" si="26"/>
        <v>0.10000000000000009</v>
      </c>
      <c r="K32" s="8">
        <f t="shared" si="26"/>
        <v>0.10000000000000009</v>
      </c>
      <c r="L32" s="8">
        <f t="shared" si="26"/>
        <v>0.10000000000000009</v>
      </c>
      <c r="M32" s="8">
        <f t="shared" si="26"/>
        <v>0.10000000000000009</v>
      </c>
      <c r="O32" s="1" t="s">
        <v>50</v>
      </c>
      <c r="P32" s="1">
        <f>P31/main!M3</f>
        <v>87.317943422100399</v>
      </c>
    </row>
    <row r="33" spans="1:115" x14ac:dyDescent="0.2">
      <c r="P33" s="8">
        <f>P32/main!M2-1</f>
        <v>-0.41788037718599735</v>
      </c>
    </row>
    <row r="34" spans="1:115" s="4" customFormat="1" x14ac:dyDescent="0.2">
      <c r="A34" s="1"/>
      <c r="B34" s="4" t="s">
        <v>25</v>
      </c>
      <c r="F34" s="7">
        <f t="shared" ref="F34:M34" si="27">F17/F14</f>
        <v>0.20377493514625639</v>
      </c>
      <c r="G34" s="7">
        <f t="shared" si="27"/>
        <v>0.17540626813697041</v>
      </c>
      <c r="H34" s="7">
        <f t="shared" si="27"/>
        <v>0.19086427704426664</v>
      </c>
      <c r="I34" s="7">
        <f t="shared" si="27"/>
        <v>0.19618712076727335</v>
      </c>
      <c r="J34" s="7">
        <f t="shared" si="27"/>
        <v>0.20167963486538651</v>
      </c>
      <c r="K34" s="7">
        <f t="shared" si="27"/>
        <v>0.20734645585568734</v>
      </c>
      <c r="L34" s="7">
        <f t="shared" si="27"/>
        <v>0.21319222018091358</v>
      </c>
      <c r="M34" s="7">
        <f t="shared" si="27"/>
        <v>0.21922155453697137</v>
      </c>
    </row>
    <row r="35" spans="1:115" x14ac:dyDescent="0.2">
      <c r="B35" s="1" t="s">
        <v>26</v>
      </c>
      <c r="F35" s="8">
        <f t="shared" ref="F35:M35" si="28">F21/F14</f>
        <v>8.0269553030980711E-2</v>
      </c>
      <c r="G35" s="8">
        <f t="shared" si="28"/>
        <v>5.0420777713290774E-2</v>
      </c>
      <c r="H35" s="8">
        <f t="shared" si="28"/>
        <v>8.2612896034085559E-2</v>
      </c>
      <c r="I35" s="8">
        <f t="shared" si="28"/>
        <v>8.9018253567194075E-2</v>
      </c>
      <c r="J35" s="8">
        <f t="shared" si="28"/>
        <v>9.5582456337308025E-2</v>
      </c>
      <c r="K35" s="8">
        <f t="shared" si="28"/>
        <v>0.10231024911288966</v>
      </c>
      <c r="L35" s="8">
        <f t="shared" si="28"/>
        <v>0.10920637550554385</v>
      </c>
      <c r="M35" s="8">
        <f t="shared" si="28"/>
        <v>0.11627556830835536</v>
      </c>
    </row>
    <row r="36" spans="1:115" x14ac:dyDescent="0.2">
      <c r="B36" s="1" t="s">
        <v>31</v>
      </c>
      <c r="F36" s="8">
        <f>F20/F14</f>
        <v>0.12350538211527566</v>
      </c>
      <c r="G36" s="8">
        <f>G20/G14</f>
        <v>0.12498549042367962</v>
      </c>
      <c r="H36" s="8">
        <f>H20/H14</f>
        <v>0.10825138101018109</v>
      </c>
      <c r="I36" s="8">
        <f>H36*0.99</f>
        <v>0.10716886720007927</v>
      </c>
      <c r="J36" s="8">
        <f t="shared" ref="J36:M36" si="29">I36*0.99</f>
        <v>0.10609717852807848</v>
      </c>
      <c r="K36" s="8">
        <f t="shared" si="29"/>
        <v>0.10503620674279769</v>
      </c>
      <c r="L36" s="8">
        <f t="shared" si="29"/>
        <v>0.10398584467536971</v>
      </c>
      <c r="M36" s="8">
        <f t="shared" si="29"/>
        <v>0.10294598622861602</v>
      </c>
    </row>
    <row r="37" spans="1:115" x14ac:dyDescent="0.2">
      <c r="F37" s="8"/>
      <c r="G37" s="8"/>
      <c r="H37" s="8"/>
      <c r="I37" s="8"/>
      <c r="J37" s="8"/>
      <c r="K37" s="8"/>
      <c r="L37" s="8"/>
      <c r="M37" s="8"/>
    </row>
    <row r="38" spans="1:115" x14ac:dyDescent="0.2">
      <c r="B38" s="1" t="s">
        <v>32</v>
      </c>
      <c r="F38" s="8">
        <f t="shared" ref="F38:H39" si="30">(F12-F15)/F12</f>
        <v>0.17422645894471472</v>
      </c>
      <c r="G38" s="8">
        <f t="shared" si="30"/>
        <v>0.1239837808396038</v>
      </c>
      <c r="H38" s="8">
        <f t="shared" si="30"/>
        <v>0.14835939072669932</v>
      </c>
      <c r="I38" s="8">
        <f>H38*1.02</f>
        <v>0.1513265785412333</v>
      </c>
      <c r="J38" s="8">
        <f t="shared" ref="J38:M38" si="31">I38*1.02</f>
        <v>0.15435311011205796</v>
      </c>
      <c r="K38" s="8">
        <f t="shared" si="31"/>
        <v>0.15744017231429913</v>
      </c>
      <c r="L38" s="8">
        <f t="shared" si="31"/>
        <v>0.16058897576058512</v>
      </c>
      <c r="M38" s="8">
        <f t="shared" si="31"/>
        <v>0.16380075527579682</v>
      </c>
    </row>
    <row r="39" spans="1:115" x14ac:dyDescent="0.2">
      <c r="B39" s="1" t="s">
        <v>33</v>
      </c>
      <c r="F39" s="8">
        <f t="shared" si="30"/>
        <v>0.29581007300165635</v>
      </c>
      <c r="G39" s="8">
        <f t="shared" si="30"/>
        <v>0.30714765620962325</v>
      </c>
      <c r="H39" s="8">
        <f t="shared" si="30"/>
        <v>0.3108018555334659</v>
      </c>
      <c r="I39" s="8">
        <f>H39*1.02</f>
        <v>0.31701789264413521</v>
      </c>
      <c r="J39" s="8">
        <f t="shared" ref="J39:M39" si="32">I39*1.02</f>
        <v>0.32335825049701794</v>
      </c>
      <c r="K39" s="8">
        <f t="shared" si="32"/>
        <v>0.32982541550695832</v>
      </c>
      <c r="L39" s="8">
        <f t="shared" si="32"/>
        <v>0.33642192381709751</v>
      </c>
      <c r="M39" s="8">
        <f t="shared" si="32"/>
        <v>0.34315036229343948</v>
      </c>
    </row>
    <row r="41" spans="1:115" s="4" customFormat="1" x14ac:dyDescent="0.2">
      <c r="A41" s="1"/>
      <c r="B41" s="4" t="s">
        <v>30</v>
      </c>
      <c r="H41" s="4">
        <f>H42-H43</f>
        <v>-43739</v>
      </c>
      <c r="I41" s="4">
        <f>H41+I26</f>
        <v>-36616.404932512574</v>
      </c>
      <c r="J41" s="4">
        <f>I41+J26</f>
        <v>-28363.601102497229</v>
      </c>
      <c r="K41" s="4">
        <f>J41+K26</f>
        <v>-18847.035109397428</v>
      </c>
      <c r="L41" s="4">
        <f>K41+L26</f>
        <v>-7917.9780419290273</v>
      </c>
      <c r="M41" s="4">
        <f>L41+M26</f>
        <v>4589.2210315205502</v>
      </c>
    </row>
    <row r="42" spans="1:115" x14ac:dyDescent="0.2">
      <c r="B42" s="1" t="s">
        <v>1</v>
      </c>
      <c r="H42" s="1">
        <v>5157</v>
      </c>
    </row>
    <row r="43" spans="1:115" x14ac:dyDescent="0.2">
      <c r="B43" s="1" t="s">
        <v>2</v>
      </c>
      <c r="H43" s="1">
        <f>38244+1646+2060+6946</f>
        <v>48896</v>
      </c>
    </row>
    <row r="44" spans="1:115" x14ac:dyDescent="0.2">
      <c r="F44" s="8"/>
      <c r="G44" s="8"/>
      <c r="H44" s="8"/>
      <c r="J44" s="12"/>
    </row>
    <row r="45" spans="1:115" x14ac:dyDescent="0.2">
      <c r="B45" s="1" t="s">
        <v>27</v>
      </c>
      <c r="F45" s="1">
        <v>7168</v>
      </c>
      <c r="G45" s="1">
        <v>7883</v>
      </c>
      <c r="H45" s="1">
        <v>7159</v>
      </c>
      <c r="I45" s="1">
        <f>I14*0.12</f>
        <v>10299.744000000001</v>
      </c>
      <c r="J45" s="1">
        <f t="shared" ref="J45:M45" si="33">J14*0.12</f>
        <v>10954.162800000002</v>
      </c>
      <c r="K45" s="1">
        <f t="shared" si="33"/>
        <v>11655.245700000001</v>
      </c>
      <c r="L45" s="1">
        <f t="shared" si="33"/>
        <v>12406.720221000001</v>
      </c>
      <c r="M45" s="1">
        <f t="shared" si="33"/>
        <v>13212.639691650003</v>
      </c>
    </row>
    <row r="46" spans="1:115" x14ac:dyDescent="0.2">
      <c r="B46" s="1" t="s">
        <v>28</v>
      </c>
      <c r="F46" s="1">
        <v>2288</v>
      </c>
      <c r="G46" s="1">
        <v>2415</v>
      </c>
      <c r="H46" s="1">
        <v>2625</v>
      </c>
      <c r="I46" s="1">
        <f>H46</f>
        <v>2625</v>
      </c>
      <c r="J46" s="1">
        <f>I46*1.02</f>
        <v>2677.5</v>
      </c>
      <c r="K46" s="1">
        <f t="shared" ref="K46:M46" si="34">J46*1.02</f>
        <v>2731.05</v>
      </c>
      <c r="L46" s="1">
        <f t="shared" si="34"/>
        <v>2785.6710000000003</v>
      </c>
      <c r="M46" s="1">
        <f t="shared" si="34"/>
        <v>2841.3844200000003</v>
      </c>
    </row>
    <row r="47" spans="1:115" s="4" customFormat="1" x14ac:dyDescent="0.2">
      <c r="A47" s="1"/>
      <c r="B47" s="4" t="s">
        <v>29</v>
      </c>
      <c r="F47" s="4">
        <f>F45-F46</f>
        <v>4880</v>
      </c>
      <c r="G47" s="4">
        <f t="shared" ref="G47:H47" si="35">G45-G46</f>
        <v>5468</v>
      </c>
      <c r="H47" s="4">
        <f t="shared" si="35"/>
        <v>4534</v>
      </c>
      <c r="I47" s="4">
        <v>7350</v>
      </c>
      <c r="J47" s="4">
        <f t="shared" ref="J47:M47" si="36">J45-J46</f>
        <v>8276.6628000000019</v>
      </c>
      <c r="K47" s="4">
        <f t="shared" si="36"/>
        <v>8924.1957000000002</v>
      </c>
      <c r="L47" s="4">
        <f t="shared" si="36"/>
        <v>9621.0492210000011</v>
      </c>
      <c r="M47" s="4">
        <f t="shared" si="36"/>
        <v>10371.255271650003</v>
      </c>
      <c r="N47" s="4">
        <f t="shared" ref="N47:AS47" si="37">M47*(1+$P$29)</f>
        <v>10474.967824366504</v>
      </c>
      <c r="O47" s="4">
        <f t="shared" si="37"/>
        <v>10579.717502610169</v>
      </c>
      <c r="P47" s="4">
        <f t="shared" si="37"/>
        <v>10685.514677636271</v>
      </c>
      <c r="Q47" s="4">
        <f t="shared" si="37"/>
        <v>10792.369824412634</v>
      </c>
      <c r="R47" s="4">
        <f t="shared" si="37"/>
        <v>10900.293522656761</v>
      </c>
      <c r="S47" s="4">
        <f t="shared" si="37"/>
        <v>11009.296457883329</v>
      </c>
      <c r="T47" s="4">
        <f t="shared" si="37"/>
        <v>11119.389422462162</v>
      </c>
      <c r="U47" s="4">
        <f t="shared" si="37"/>
        <v>11230.583316686783</v>
      </c>
      <c r="V47" s="4">
        <f t="shared" si="37"/>
        <v>11342.88914985365</v>
      </c>
      <c r="W47" s="4">
        <f t="shared" si="37"/>
        <v>11456.318041352188</v>
      </c>
      <c r="X47" s="4">
        <f t="shared" si="37"/>
        <v>11570.881221765711</v>
      </c>
      <c r="Y47" s="4">
        <f t="shared" si="37"/>
        <v>11686.590033983368</v>
      </c>
      <c r="Z47" s="4">
        <f t="shared" si="37"/>
        <v>11803.455934323201</v>
      </c>
      <c r="AA47" s="4">
        <f t="shared" si="37"/>
        <v>11921.490493666433</v>
      </c>
      <c r="AB47" s="4">
        <f t="shared" si="37"/>
        <v>12040.705398603099</v>
      </c>
      <c r="AC47" s="4">
        <f t="shared" si="37"/>
        <v>12161.11245258913</v>
      </c>
      <c r="AD47" s="4">
        <f t="shared" si="37"/>
        <v>12282.723577115021</v>
      </c>
      <c r="AE47" s="4">
        <f t="shared" si="37"/>
        <v>12405.550812886171</v>
      </c>
      <c r="AF47" s="4">
        <f t="shared" si="37"/>
        <v>12529.606321015033</v>
      </c>
      <c r="AG47" s="4">
        <f t="shared" si="37"/>
        <v>12654.902384225185</v>
      </c>
      <c r="AH47" s="4">
        <f t="shared" si="37"/>
        <v>12781.451408067436</v>
      </c>
      <c r="AI47" s="4">
        <f t="shared" si="37"/>
        <v>12909.26592214811</v>
      </c>
      <c r="AJ47" s="4">
        <f t="shared" si="37"/>
        <v>13038.358581369592</v>
      </c>
      <c r="AK47" s="4">
        <f t="shared" si="37"/>
        <v>13168.742167183287</v>
      </c>
      <c r="AL47" s="4">
        <f t="shared" si="37"/>
        <v>13300.429588855121</v>
      </c>
      <c r="AM47" s="4">
        <f t="shared" si="37"/>
        <v>13433.433884743672</v>
      </c>
      <c r="AN47" s="4">
        <f t="shared" si="37"/>
        <v>13567.768223591109</v>
      </c>
      <c r="AO47" s="4">
        <f t="shared" si="37"/>
        <v>13703.44590582702</v>
      </c>
      <c r="AP47" s="4">
        <f t="shared" si="37"/>
        <v>13840.48036488529</v>
      </c>
      <c r="AQ47" s="4">
        <f t="shared" si="37"/>
        <v>13978.885168534143</v>
      </c>
      <c r="AR47" s="4">
        <f t="shared" si="37"/>
        <v>14118.674020219485</v>
      </c>
      <c r="AS47" s="4">
        <f t="shared" si="37"/>
        <v>14259.86076042168</v>
      </c>
      <c r="AT47" s="4">
        <f t="shared" ref="AT47:BY47" si="38">AS47*(1+$P$29)</f>
        <v>14402.459368025897</v>
      </c>
      <c r="AU47" s="4">
        <f t="shared" si="38"/>
        <v>14546.483961706155</v>
      </c>
      <c r="AV47" s="4">
        <f t="shared" si="38"/>
        <v>14691.948801323217</v>
      </c>
      <c r="AW47" s="4">
        <f t="shared" si="38"/>
        <v>14838.868289336449</v>
      </c>
      <c r="AX47" s="4">
        <f t="shared" si="38"/>
        <v>14987.256972229814</v>
      </c>
      <c r="AY47" s="4">
        <f t="shared" si="38"/>
        <v>15137.129541952112</v>
      </c>
      <c r="AZ47" s="4">
        <f t="shared" si="38"/>
        <v>15288.500837371634</v>
      </c>
      <c r="BA47" s="4">
        <f t="shared" si="38"/>
        <v>15441.38584574535</v>
      </c>
      <c r="BB47" s="4">
        <f t="shared" si="38"/>
        <v>15595.799704202804</v>
      </c>
      <c r="BC47" s="4">
        <f t="shared" si="38"/>
        <v>15751.757701244831</v>
      </c>
      <c r="BD47" s="4">
        <f t="shared" si="38"/>
        <v>15909.275278257279</v>
      </c>
      <c r="BE47" s="4">
        <f t="shared" si="38"/>
        <v>16068.368031039852</v>
      </c>
      <c r="BF47" s="4">
        <f t="shared" si="38"/>
        <v>16229.05171135025</v>
      </c>
      <c r="BG47" s="4">
        <f t="shared" si="38"/>
        <v>16391.342228463753</v>
      </c>
      <c r="BH47" s="4">
        <f t="shared" si="38"/>
        <v>16555.25565074839</v>
      </c>
      <c r="BI47" s="4">
        <f t="shared" si="38"/>
        <v>16720.808207255875</v>
      </c>
      <c r="BJ47" s="4">
        <f t="shared" si="38"/>
        <v>16888.016289328436</v>
      </c>
      <c r="BK47" s="4">
        <f t="shared" si="38"/>
        <v>17056.896452221721</v>
      </c>
      <c r="BL47" s="4">
        <f t="shared" si="38"/>
        <v>17227.46541674394</v>
      </c>
      <c r="BM47" s="4">
        <f t="shared" si="38"/>
        <v>17399.740070911379</v>
      </c>
      <c r="BN47" s="4">
        <f t="shared" si="38"/>
        <v>17573.737471620494</v>
      </c>
      <c r="BO47" s="4">
        <f t="shared" si="38"/>
        <v>17749.4748463367</v>
      </c>
      <c r="BP47" s="4">
        <f t="shared" si="38"/>
        <v>17926.969594800066</v>
      </c>
      <c r="BQ47" s="4">
        <f t="shared" si="38"/>
        <v>18106.239290748068</v>
      </c>
      <c r="BR47" s="4">
        <f t="shared" si="38"/>
        <v>18287.301683655547</v>
      </c>
      <c r="BS47" s="4">
        <f t="shared" si="38"/>
        <v>18470.174700492102</v>
      </c>
      <c r="BT47" s="4">
        <f t="shared" si="38"/>
        <v>18654.876447497023</v>
      </c>
      <c r="BU47" s="4">
        <f t="shared" si="38"/>
        <v>18841.425211971993</v>
      </c>
      <c r="BV47" s="4">
        <f t="shared" si="38"/>
        <v>19029.839464091714</v>
      </c>
      <c r="BW47" s="4">
        <f t="shared" si="38"/>
        <v>19220.137858732633</v>
      </c>
      <c r="BX47" s="4">
        <f t="shared" si="38"/>
        <v>19412.33923731996</v>
      </c>
      <c r="BY47" s="4">
        <f t="shared" si="38"/>
        <v>19606.46262969316</v>
      </c>
      <c r="BZ47" s="4">
        <f t="shared" ref="BZ47:DE47" si="39">BY47*(1+$P$29)</f>
        <v>19802.527255990091</v>
      </c>
      <c r="CA47" s="4">
        <f t="shared" si="39"/>
        <v>20000.552528549993</v>
      </c>
      <c r="CB47" s="4">
        <f t="shared" si="39"/>
        <v>20200.558053835495</v>
      </c>
      <c r="CC47" s="4">
        <f t="shared" si="39"/>
        <v>20402.563634373852</v>
      </c>
      <c r="CD47" s="4">
        <f t="shared" si="39"/>
        <v>20606.589270717592</v>
      </c>
      <c r="CE47" s="4">
        <f t="shared" si="39"/>
        <v>20812.655163424766</v>
      </c>
      <c r="CF47" s="4">
        <f t="shared" si="39"/>
        <v>21020.781715059013</v>
      </c>
      <c r="CG47" s="4">
        <f t="shared" si="39"/>
        <v>21230.989532209602</v>
      </c>
      <c r="CH47" s="4">
        <f t="shared" si="39"/>
        <v>21443.2994275317</v>
      </c>
      <c r="CI47" s="4">
        <f t="shared" si="39"/>
        <v>21657.732421807017</v>
      </c>
      <c r="CJ47" s="4">
        <f t="shared" si="39"/>
        <v>21874.309746025086</v>
      </c>
      <c r="CK47" s="4">
        <f t="shared" si="39"/>
        <v>22093.052843485337</v>
      </c>
      <c r="CL47" s="4">
        <f t="shared" si="39"/>
        <v>22313.983371920189</v>
      </c>
      <c r="CM47" s="4">
        <f t="shared" si="39"/>
        <v>22537.123205639389</v>
      </c>
      <c r="CN47" s="4">
        <f t="shared" si="39"/>
        <v>22762.494437695783</v>
      </c>
      <c r="CO47" s="4">
        <f t="shared" si="39"/>
        <v>22990.119382072742</v>
      </c>
      <c r="CP47" s="4">
        <f t="shared" si="39"/>
        <v>23220.020575893468</v>
      </c>
      <c r="CQ47" s="4">
        <f t="shared" si="39"/>
        <v>23452.220781652402</v>
      </c>
      <c r="CR47" s="4">
        <f t="shared" si="39"/>
        <v>23686.742989468927</v>
      </c>
      <c r="CS47" s="4">
        <f t="shared" si="39"/>
        <v>23923.610419363617</v>
      </c>
      <c r="CT47" s="4">
        <f t="shared" si="39"/>
        <v>24162.846523557251</v>
      </c>
      <c r="CU47" s="4">
        <f t="shared" si="39"/>
        <v>24404.474988792823</v>
      </c>
      <c r="CV47" s="4">
        <f t="shared" si="39"/>
        <v>24648.519738680752</v>
      </c>
      <c r="CW47" s="4">
        <f t="shared" si="39"/>
        <v>24895.004936067558</v>
      </c>
      <c r="CX47" s="4">
        <f t="shared" si="39"/>
        <v>25143.954985428234</v>
      </c>
      <c r="CY47" s="4">
        <f t="shared" si="39"/>
        <v>25395.394535282518</v>
      </c>
      <c r="CZ47" s="4">
        <f t="shared" si="39"/>
        <v>25649.348480635344</v>
      </c>
      <c r="DA47" s="4">
        <f t="shared" si="39"/>
        <v>25905.841965441698</v>
      </c>
      <c r="DB47" s="4">
        <f t="shared" si="39"/>
        <v>26164.900385096116</v>
      </c>
      <c r="DC47" s="4">
        <f t="shared" si="39"/>
        <v>26426.549388947078</v>
      </c>
      <c r="DD47" s="4">
        <f t="shared" si="39"/>
        <v>26690.814882836548</v>
      </c>
      <c r="DE47" s="4">
        <f t="shared" si="39"/>
        <v>26957.723031664915</v>
      </c>
      <c r="DF47" s="4">
        <f t="shared" ref="DF47:DK47" si="40">DE47*(1+$P$29)</f>
        <v>27227.300261981563</v>
      </c>
      <c r="DG47" s="4">
        <f t="shared" si="40"/>
        <v>27499.573264601378</v>
      </c>
      <c r="DH47" s="4">
        <f t="shared" si="40"/>
        <v>27774.568997247392</v>
      </c>
      <c r="DI47" s="4">
        <f t="shared" si="40"/>
        <v>28052.314687219867</v>
      </c>
      <c r="DJ47" s="4">
        <f t="shared" si="40"/>
        <v>28332.837834092064</v>
      </c>
      <c r="DK47" s="4">
        <f t="shared" si="40"/>
        <v>28616.166212432985</v>
      </c>
    </row>
    <row r="48" spans="1:115" x14ac:dyDescent="0.2">
      <c r="F48" s="6"/>
      <c r="G48" s="6"/>
      <c r="H48" s="6"/>
    </row>
  </sheetData>
  <hyperlinks>
    <hyperlink ref="A1" location="main!A1" display="Main" xr:uid="{637BF619-71A4-4B20-AB1E-127EE587CD4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2025-05-22T07:07:55Z</dcterms:created>
  <dcterms:modified xsi:type="dcterms:W3CDTF">2025-06-17T01:06:25Z</dcterms:modified>
</cp:coreProperties>
</file>