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CD3D785A-C307-4695-9E10-63EC95F89268}" xr6:coauthVersionLast="47" xr6:coauthVersionMax="47" xr10:uidLastSave="{00000000-0000-0000-0000-000000000000}"/>
  <bookViews>
    <workbookView xWindow="390" yWindow="390" windowWidth="21945" windowHeight="14610" activeTab="1" xr2:uid="{DF0DB4ED-CAE9-4E97-ABC6-569A6BB0DC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8" i="2" l="1"/>
  <c r="Y58" i="2" s="1"/>
  <c r="Z58" i="2" s="1"/>
  <c r="W58" i="2"/>
  <c r="W39" i="2"/>
  <c r="X39" i="2" s="1"/>
  <c r="Y39" i="2" s="1"/>
  <c r="Z39" i="2" s="1"/>
  <c r="V31" i="2"/>
  <c r="U31" i="2"/>
  <c r="Q59" i="2"/>
  <c r="P59" i="2"/>
  <c r="V40" i="2"/>
  <c r="V41" i="2" s="1"/>
  <c r="V36" i="2"/>
  <c r="V37" i="2" s="1"/>
  <c r="V32" i="2" s="1"/>
  <c r="U36" i="2"/>
  <c r="T62" i="2"/>
  <c r="S62" i="2"/>
  <c r="I62" i="2"/>
  <c r="T76" i="2"/>
  <c r="S76" i="2"/>
  <c r="W20" i="2"/>
  <c r="X20" i="2" s="1"/>
  <c r="Y20" i="2" s="1"/>
  <c r="Z20" i="2" s="1"/>
  <c r="W97" i="2"/>
  <c r="X97" i="2" s="1"/>
  <c r="Y97" i="2" s="1"/>
  <c r="Z97" i="2" s="1"/>
  <c r="W94" i="2"/>
  <c r="X94" i="2" s="1"/>
  <c r="Y94" i="2" s="1"/>
  <c r="Z94" i="2" s="1"/>
  <c r="G106" i="2"/>
  <c r="H106" i="2"/>
  <c r="U105" i="2"/>
  <c r="U104" i="2"/>
  <c r="U103" i="2"/>
  <c r="W95" i="2"/>
  <c r="X95" i="2" s="1"/>
  <c r="Y95" i="2" s="1"/>
  <c r="Z95" i="2" s="1"/>
  <c r="W96" i="2"/>
  <c r="X96" i="2" s="1"/>
  <c r="Y96" i="2" s="1"/>
  <c r="Z96" i="2" s="1"/>
  <c r="V8" i="2"/>
  <c r="V7" i="2"/>
  <c r="S24" i="2"/>
  <c r="D41" i="2"/>
  <c r="E41" i="2"/>
  <c r="F41" i="2"/>
  <c r="D45" i="2"/>
  <c r="E45" i="2"/>
  <c r="F45" i="2"/>
  <c r="C45" i="2"/>
  <c r="C41" i="2"/>
  <c r="K39" i="2"/>
  <c r="L39" i="2" s="1"/>
  <c r="M39" i="2" s="1"/>
  <c r="N39" i="2" s="1"/>
  <c r="J23" i="2"/>
  <c r="T24" i="2"/>
  <c r="I24" i="2"/>
  <c r="W17" i="2"/>
  <c r="X17" i="2" s="1"/>
  <c r="Y17" i="2" s="1"/>
  <c r="Z17" i="2" s="1"/>
  <c r="W18" i="2"/>
  <c r="X18" i="2" s="1"/>
  <c r="Y18" i="2" s="1"/>
  <c r="Z18" i="2" s="1"/>
  <c r="W19" i="2"/>
  <c r="X19" i="2" s="1"/>
  <c r="Y19" i="2" s="1"/>
  <c r="Z19" i="2" s="1"/>
  <c r="W21" i="2"/>
  <c r="X21" i="2" s="1"/>
  <c r="Y21" i="2" s="1"/>
  <c r="Z21" i="2" s="1"/>
  <c r="V16" i="2"/>
  <c r="S22" i="2"/>
  <c r="T22" i="2"/>
  <c r="Z40" i="2" l="1"/>
  <c r="Z41" i="2" s="1"/>
  <c r="Y55" i="2"/>
  <c r="Z55" i="2"/>
  <c r="X55" i="2"/>
  <c r="W40" i="2"/>
  <c r="W41" i="2" s="1"/>
  <c r="Y40" i="2"/>
  <c r="Y41" i="2" s="1"/>
  <c r="W55" i="2"/>
  <c r="X40" i="2"/>
  <c r="X41" i="2" s="1"/>
  <c r="V22" i="2"/>
  <c r="V24" i="2"/>
  <c r="C46" i="2"/>
  <c r="C49" i="2" s="1"/>
  <c r="C51" i="2" s="1"/>
  <c r="C52" i="2" s="1"/>
  <c r="F46" i="2"/>
  <c r="F49" i="2" s="1"/>
  <c r="F51" i="2" s="1"/>
  <c r="F52" i="2" s="1"/>
  <c r="E46" i="2"/>
  <c r="E49" i="2" s="1"/>
  <c r="E51" i="2" s="1"/>
  <c r="E52" i="2" s="1"/>
  <c r="D46" i="2"/>
  <c r="D49" i="2" s="1"/>
  <c r="D51" i="2" s="1"/>
  <c r="D52" i="2" s="1"/>
  <c r="W16" i="2"/>
  <c r="Z16" i="2"/>
  <c r="Y16" i="2"/>
  <c r="X16" i="2"/>
  <c r="U53" i="2"/>
  <c r="U73" i="2"/>
  <c r="U74" i="2"/>
  <c r="U75" i="2"/>
  <c r="U76" i="2"/>
  <c r="U77" i="2"/>
  <c r="U78" i="2"/>
  <c r="U79" i="2"/>
  <c r="U72" i="2"/>
  <c r="U64" i="2"/>
  <c r="U65" i="2"/>
  <c r="U66" i="2"/>
  <c r="U67" i="2"/>
  <c r="U68" i="2"/>
  <c r="U69" i="2"/>
  <c r="U63" i="2"/>
  <c r="U47" i="2"/>
  <c r="D60" i="2"/>
  <c r="E60" i="2"/>
  <c r="F60" i="2"/>
  <c r="C60" i="2"/>
  <c r="I59" i="2"/>
  <c r="I56" i="2"/>
  <c r="N7" i="1"/>
  <c r="N5" i="1"/>
  <c r="E29" i="2"/>
  <c r="H29" i="2"/>
  <c r="E106" i="2"/>
  <c r="F106" i="2"/>
  <c r="I106" i="2"/>
  <c r="K106" i="2"/>
  <c r="L106" i="2"/>
  <c r="M106" i="2"/>
  <c r="N106" i="2"/>
  <c r="D102" i="2"/>
  <c r="E102" i="2"/>
  <c r="F102" i="2"/>
  <c r="G102" i="2"/>
  <c r="H102" i="2"/>
  <c r="C102" i="2"/>
  <c r="I102" i="2"/>
  <c r="D84" i="2"/>
  <c r="E84" i="2"/>
  <c r="F84" i="2"/>
  <c r="G84" i="2"/>
  <c r="H84" i="2"/>
  <c r="I84" i="2"/>
  <c r="J84" i="2"/>
  <c r="C84" i="2"/>
  <c r="S106" i="2"/>
  <c r="T106" i="2"/>
  <c r="R106" i="2"/>
  <c r="S102" i="2"/>
  <c r="T102" i="2"/>
  <c r="R102" i="2"/>
  <c r="Q84" i="2"/>
  <c r="R84" i="2"/>
  <c r="P84" i="2"/>
  <c r="T84" i="2"/>
  <c r="S84" i="2"/>
  <c r="Q70" i="2"/>
  <c r="R70" i="2"/>
  <c r="S70" i="2"/>
  <c r="T70" i="2"/>
  <c r="V70" i="2"/>
  <c r="W70" i="2"/>
  <c r="X70" i="2"/>
  <c r="Y70" i="2"/>
  <c r="Z70" i="2"/>
  <c r="Q80" i="2"/>
  <c r="R80" i="2"/>
  <c r="S80" i="2"/>
  <c r="T80" i="2"/>
  <c r="V80" i="2"/>
  <c r="W80" i="2"/>
  <c r="X80" i="2"/>
  <c r="Y80" i="2"/>
  <c r="Z80" i="2"/>
  <c r="P80" i="2"/>
  <c r="P70" i="2"/>
  <c r="D70" i="2"/>
  <c r="E70" i="2"/>
  <c r="F70" i="2"/>
  <c r="G70" i="2"/>
  <c r="H70" i="2"/>
  <c r="I70" i="2"/>
  <c r="J70" i="2"/>
  <c r="K70" i="2"/>
  <c r="L70" i="2"/>
  <c r="M70" i="2"/>
  <c r="N70" i="2"/>
  <c r="D80" i="2"/>
  <c r="E80" i="2"/>
  <c r="F80" i="2"/>
  <c r="G80" i="2"/>
  <c r="H80" i="2"/>
  <c r="I80" i="2"/>
  <c r="J80" i="2"/>
  <c r="K80" i="2"/>
  <c r="L80" i="2"/>
  <c r="M80" i="2"/>
  <c r="N80" i="2"/>
  <c r="C70" i="2"/>
  <c r="C80" i="2"/>
  <c r="U39" i="2"/>
  <c r="V55" i="2" s="1"/>
  <c r="J40" i="2"/>
  <c r="U40" i="2" s="1"/>
  <c r="Q41" i="2"/>
  <c r="R41" i="2"/>
  <c r="Q45" i="2"/>
  <c r="Q60" i="2" s="1"/>
  <c r="R45" i="2"/>
  <c r="R60" i="2" s="1"/>
  <c r="P45" i="2"/>
  <c r="P60" i="2" s="1"/>
  <c r="P41" i="2"/>
  <c r="P58" i="2" s="1"/>
  <c r="R55" i="2"/>
  <c r="S55" i="2"/>
  <c r="Q55" i="2"/>
  <c r="C59" i="2"/>
  <c r="D59" i="2"/>
  <c r="E59" i="2"/>
  <c r="F59" i="2"/>
  <c r="C58" i="2"/>
  <c r="D58" i="2"/>
  <c r="E58" i="2"/>
  <c r="F58" i="2"/>
  <c r="D56" i="2"/>
  <c r="E56" i="2"/>
  <c r="F56" i="2"/>
  <c r="G56" i="2"/>
  <c r="G55" i="2"/>
  <c r="H55" i="2"/>
  <c r="I55" i="2"/>
  <c r="J55" i="2"/>
  <c r="H56" i="2"/>
  <c r="T55" i="2"/>
  <c r="S45" i="2"/>
  <c r="S60" i="2" s="1"/>
  <c r="S41" i="2"/>
  <c r="S58" i="2" s="1"/>
  <c r="T41" i="2"/>
  <c r="T58" i="2" s="1"/>
  <c r="T45" i="2"/>
  <c r="T60" i="2" s="1"/>
  <c r="G59" i="2"/>
  <c r="G45" i="2"/>
  <c r="G60" i="2" s="1"/>
  <c r="G41" i="2"/>
  <c r="G58" i="2" s="1"/>
  <c r="H59" i="2"/>
  <c r="H45" i="2"/>
  <c r="H60" i="2" s="1"/>
  <c r="H41" i="2"/>
  <c r="H58" i="2" s="1"/>
  <c r="U1" i="2"/>
  <c r="V1" i="2" s="1"/>
  <c r="W1" i="2" s="1"/>
  <c r="X1" i="2" s="1"/>
  <c r="Y1" i="2" s="1"/>
  <c r="Z1" i="2" s="1"/>
  <c r="AA1" i="2" s="1"/>
  <c r="AB1" i="2" s="1"/>
  <c r="AC1" i="2" s="1"/>
  <c r="AD1" i="2" s="1"/>
  <c r="AE1" i="2" s="1"/>
  <c r="U37" i="2" l="1"/>
  <c r="U32" i="2" s="1"/>
  <c r="U41" i="2"/>
  <c r="U58" i="2" s="1"/>
  <c r="U24" i="2"/>
  <c r="C86" i="2"/>
  <c r="F86" i="2"/>
  <c r="D86" i="2"/>
  <c r="E86" i="2"/>
  <c r="L84" i="2"/>
  <c r="U22" i="2"/>
  <c r="N8" i="1"/>
  <c r="F107" i="2"/>
  <c r="E107" i="2"/>
  <c r="D107" i="2"/>
  <c r="P81" i="2"/>
  <c r="P82" i="2" s="1"/>
  <c r="U80" i="2"/>
  <c r="U70" i="2"/>
  <c r="U84" i="2"/>
  <c r="G107" i="2"/>
  <c r="H107" i="2"/>
  <c r="N81" i="2"/>
  <c r="N82" i="2" s="1"/>
  <c r="M81" i="2"/>
  <c r="M82" i="2" s="1"/>
  <c r="I107" i="2"/>
  <c r="C107" i="2"/>
  <c r="L81" i="2"/>
  <c r="L82" i="2" s="1"/>
  <c r="Z81" i="2"/>
  <c r="Z82" i="2" s="1"/>
  <c r="K84" i="2"/>
  <c r="K81" i="2"/>
  <c r="K82" i="2" s="1"/>
  <c r="Y81" i="2"/>
  <c r="Y82" i="2" s="1"/>
  <c r="Q81" i="2"/>
  <c r="Q82" i="2" s="1"/>
  <c r="S107" i="2"/>
  <c r="S59" i="2" s="1"/>
  <c r="J81" i="2"/>
  <c r="J82" i="2" s="1"/>
  <c r="X81" i="2"/>
  <c r="X82" i="2" s="1"/>
  <c r="R107" i="2"/>
  <c r="R59" i="2" s="1"/>
  <c r="T107" i="2"/>
  <c r="T59" i="2" s="1"/>
  <c r="W81" i="2"/>
  <c r="W82" i="2" s="1"/>
  <c r="I81" i="2"/>
  <c r="I82" i="2" s="1"/>
  <c r="E81" i="2"/>
  <c r="E82" i="2" s="1"/>
  <c r="R81" i="2"/>
  <c r="R82" i="2" s="1"/>
  <c r="C81" i="2"/>
  <c r="C82" i="2" s="1"/>
  <c r="T81" i="2"/>
  <c r="T82" i="2" s="1"/>
  <c r="S81" i="2"/>
  <c r="S82" i="2" s="1"/>
  <c r="V81" i="2"/>
  <c r="V82" i="2" s="1"/>
  <c r="H81" i="2"/>
  <c r="H82" i="2" s="1"/>
  <c r="G81" i="2"/>
  <c r="G82" i="2" s="1"/>
  <c r="F81" i="2"/>
  <c r="F82" i="2" s="1"/>
  <c r="D81" i="2"/>
  <c r="D82" i="2" s="1"/>
  <c r="L40" i="2"/>
  <c r="R46" i="2"/>
  <c r="R49" i="2" s="1"/>
  <c r="R51" i="2" s="1"/>
  <c r="Q46" i="2"/>
  <c r="Q49" i="2" s="1"/>
  <c r="Q51" i="2" s="1"/>
  <c r="Q58" i="2"/>
  <c r="R58" i="2"/>
  <c r="K40" i="2"/>
  <c r="P46" i="2"/>
  <c r="S46" i="2"/>
  <c r="G46" i="2"/>
  <c r="T46" i="2"/>
  <c r="H46" i="2"/>
  <c r="U81" i="2" l="1"/>
  <c r="U82" i="2" s="1"/>
  <c r="M84" i="2"/>
  <c r="O39" i="2"/>
  <c r="V84" i="2"/>
  <c r="R86" i="2"/>
  <c r="M40" i="2"/>
  <c r="M41" i="2" s="1"/>
  <c r="M55" i="2"/>
  <c r="M56" i="2"/>
  <c r="N84" i="2"/>
  <c r="Q52" i="2"/>
  <c r="R52" i="2"/>
  <c r="P49" i="2"/>
  <c r="P51" i="2" s="1"/>
  <c r="P52" i="2" s="1"/>
  <c r="I41" i="2"/>
  <c r="I58" i="2" s="1"/>
  <c r="H49" i="2"/>
  <c r="H51" i="2" s="1"/>
  <c r="H86" i="2" s="1"/>
  <c r="G49" i="2"/>
  <c r="G51" i="2" s="1"/>
  <c r="S49" i="2"/>
  <c r="S51" i="2" s="1"/>
  <c r="J56" i="2"/>
  <c r="T49" i="2"/>
  <c r="T51" i="2" s="1"/>
  <c r="T86" i="2" s="1"/>
  <c r="J42" i="2" l="1"/>
  <c r="U42" i="2" s="1"/>
  <c r="V42" i="2" s="1"/>
  <c r="J93" i="2"/>
  <c r="U93" i="2" s="1"/>
  <c r="V93" i="2" s="1"/>
  <c r="J92" i="2"/>
  <c r="U92" i="2" s="1"/>
  <c r="V92" i="2" s="1"/>
  <c r="W92" i="2" s="1"/>
  <c r="X92" i="2" s="1"/>
  <c r="Y92" i="2" s="1"/>
  <c r="Z92" i="2" s="1"/>
  <c r="J99" i="2"/>
  <c r="U99" i="2" s="1"/>
  <c r="W99" i="2" s="1"/>
  <c r="X99" i="2" s="1"/>
  <c r="Y99" i="2" s="1"/>
  <c r="Z99" i="2" s="1"/>
  <c r="J96" i="2"/>
  <c r="U96" i="2" s="1"/>
  <c r="J91" i="2"/>
  <c r="U91" i="2" s="1"/>
  <c r="V91" i="2" s="1"/>
  <c r="W91" i="2" s="1"/>
  <c r="X91" i="2" s="1"/>
  <c r="Y91" i="2" s="1"/>
  <c r="Z91" i="2" s="1"/>
  <c r="J88" i="2"/>
  <c r="U88" i="2" s="1"/>
  <c r="V88" i="2" s="1"/>
  <c r="W88" i="2" s="1"/>
  <c r="X88" i="2" s="1"/>
  <c r="Y88" i="2" s="1"/>
  <c r="Z88" i="2" s="1"/>
  <c r="J101" i="2"/>
  <c r="U101" i="2" s="1"/>
  <c r="V101" i="2" s="1"/>
  <c r="W101" i="2" s="1"/>
  <c r="X101" i="2" s="1"/>
  <c r="Y101" i="2" s="1"/>
  <c r="Z101" i="2" s="1"/>
  <c r="J100" i="2"/>
  <c r="U100" i="2" s="1"/>
  <c r="W100" i="2" s="1"/>
  <c r="X100" i="2" s="1"/>
  <c r="Y100" i="2" s="1"/>
  <c r="Z100" i="2" s="1"/>
  <c r="J97" i="2"/>
  <c r="U97" i="2" s="1"/>
  <c r="J95" i="2"/>
  <c r="U95" i="2" s="1"/>
  <c r="J90" i="2"/>
  <c r="U90" i="2" s="1"/>
  <c r="V90" i="2" s="1"/>
  <c r="W90" i="2" s="1"/>
  <c r="X90" i="2" s="1"/>
  <c r="Y90" i="2" s="1"/>
  <c r="Z90" i="2" s="1"/>
  <c r="J89" i="2"/>
  <c r="U89" i="2" s="1"/>
  <c r="V89" i="2" s="1"/>
  <c r="W89" i="2" s="1"/>
  <c r="X89" i="2" s="1"/>
  <c r="Y89" i="2" s="1"/>
  <c r="Z89" i="2" s="1"/>
  <c r="J98" i="2"/>
  <c r="U98" i="2" s="1"/>
  <c r="V98" i="2" s="1"/>
  <c r="W98" i="2" s="1"/>
  <c r="X98" i="2" s="1"/>
  <c r="Y98" i="2" s="1"/>
  <c r="Z98" i="2" s="1"/>
  <c r="J94" i="2"/>
  <c r="U94" i="2" s="1"/>
  <c r="K42" i="2"/>
  <c r="L42" i="2" s="1"/>
  <c r="M42" i="2" s="1"/>
  <c r="N42" i="2" s="1"/>
  <c r="G52" i="2"/>
  <c r="G86" i="2"/>
  <c r="S52" i="2"/>
  <c r="S86" i="2"/>
  <c r="N40" i="2"/>
  <c r="N41" i="2" s="1"/>
  <c r="N55" i="2"/>
  <c r="N56" i="2"/>
  <c r="H52" i="2"/>
  <c r="J44" i="2"/>
  <c r="U44" i="2" s="1"/>
  <c r="J41" i="2"/>
  <c r="I45" i="2"/>
  <c r="J43" i="2"/>
  <c r="U43" i="2" s="1"/>
  <c r="T52" i="2"/>
  <c r="K55" i="2"/>
  <c r="K56" i="2"/>
  <c r="W42" i="2" l="1"/>
  <c r="I46" i="2"/>
  <c r="I60" i="2"/>
  <c r="U45" i="2"/>
  <c r="U55" i="2"/>
  <c r="K43" i="2"/>
  <c r="J45" i="2"/>
  <c r="J60" i="2" s="1"/>
  <c r="K41" i="2"/>
  <c r="K44" i="2"/>
  <c r="L55" i="2"/>
  <c r="L56" i="2"/>
  <c r="X42" i="2" l="1"/>
  <c r="V103" i="2"/>
  <c r="U106" i="2"/>
  <c r="J46" i="2"/>
  <c r="I49" i="2"/>
  <c r="I51" i="2" s="1"/>
  <c r="I52" i="2" s="1"/>
  <c r="U60" i="2"/>
  <c r="U46" i="2"/>
  <c r="V44" i="2"/>
  <c r="V43" i="2"/>
  <c r="V45" i="2" s="1"/>
  <c r="V60" i="2" s="1"/>
  <c r="L44" i="2"/>
  <c r="M44" i="2" s="1"/>
  <c r="N44" i="2" s="1"/>
  <c r="L43" i="2"/>
  <c r="M43" i="2" s="1"/>
  <c r="K45" i="2"/>
  <c r="L41" i="2"/>
  <c r="Y42" i="2" l="1"/>
  <c r="W103" i="2"/>
  <c r="V106" i="2"/>
  <c r="K46" i="2"/>
  <c r="K60" i="2"/>
  <c r="J48" i="2"/>
  <c r="U48" i="2" s="1"/>
  <c r="U49" i="2" s="1"/>
  <c r="I86" i="2"/>
  <c r="N43" i="2"/>
  <c r="N45" i="2" s="1"/>
  <c r="M45" i="2"/>
  <c r="L45" i="2"/>
  <c r="Z42" i="2" l="1"/>
  <c r="J49" i="2"/>
  <c r="X103" i="2"/>
  <c r="W106" i="2"/>
  <c r="L46" i="2"/>
  <c r="L60" i="2"/>
  <c r="M46" i="2"/>
  <c r="M60" i="2"/>
  <c r="N46" i="2"/>
  <c r="N60" i="2"/>
  <c r="J50" i="2" l="1"/>
  <c r="U50" i="2" s="1"/>
  <c r="U51" i="2" s="1"/>
  <c r="Y103" i="2"/>
  <c r="X106" i="2"/>
  <c r="J51" i="2"/>
  <c r="U52" i="2" l="1"/>
  <c r="Z103" i="2"/>
  <c r="Z106" i="2" s="1"/>
  <c r="Y106" i="2"/>
  <c r="J86" i="2"/>
  <c r="J52" i="2"/>
  <c r="J62" i="2"/>
  <c r="J102" i="2" l="1"/>
  <c r="J107" i="2" s="1"/>
  <c r="U87" i="2"/>
  <c r="U102" i="2" s="1"/>
  <c r="U62" i="2"/>
  <c r="K48" i="2"/>
  <c r="K49" i="2" s="1"/>
  <c r="K50" i="2" l="1"/>
  <c r="K51" i="2" s="1"/>
  <c r="U86" i="2"/>
  <c r="U107" i="2" s="1"/>
  <c r="U59" i="2" s="1"/>
  <c r="V46" i="2"/>
  <c r="K86" i="2" l="1"/>
  <c r="K102" i="2" s="1"/>
  <c r="K107" i="2" s="1"/>
  <c r="K52" i="2"/>
  <c r="K62" i="2"/>
  <c r="L48" i="2" s="1"/>
  <c r="L49" i="2" s="1"/>
  <c r="L50" i="2" s="1"/>
  <c r="L51" i="2" s="1"/>
  <c r="V48" i="2"/>
  <c r="V49" i="2" s="1"/>
  <c r="L52" i="2" l="1"/>
  <c r="L62" i="2"/>
  <c r="M48" i="2" s="1"/>
  <c r="M49" i="2" s="1"/>
  <c r="M50" i="2" s="1"/>
  <c r="L86" i="2"/>
  <c r="L102" i="2" s="1"/>
  <c r="L107" i="2" s="1"/>
  <c r="V50" i="2"/>
  <c r="V51" i="2" s="1"/>
  <c r="M51" i="2"/>
  <c r="V52" i="2" l="1"/>
  <c r="V86" i="2"/>
  <c r="V62" i="2"/>
  <c r="W48" i="2" s="1"/>
  <c r="M86" i="2"/>
  <c r="M102" i="2" s="1"/>
  <c r="M107" i="2" s="1"/>
  <c r="M62" i="2"/>
  <c r="N48" i="2" s="1"/>
  <c r="N49" i="2" s="1"/>
  <c r="N50" i="2" s="1"/>
  <c r="M52" i="2"/>
  <c r="N51" i="2" l="1"/>
  <c r="N86" i="2" l="1"/>
  <c r="N102" i="2" s="1"/>
  <c r="N107" i="2" s="1"/>
  <c r="N62" i="2"/>
  <c r="N52" i="2"/>
  <c r="W43" i="2"/>
  <c r="W22" i="2"/>
  <c r="W84" i="2"/>
  <c r="W24" i="2"/>
  <c r="X84" i="2"/>
  <c r="X22" i="2" l="1"/>
  <c r="Y24" i="2"/>
  <c r="Y84" i="2"/>
  <c r="W44" i="2"/>
  <c r="W45" i="2" s="1"/>
  <c r="W60" i="2" s="1"/>
  <c r="Y22" i="2"/>
  <c r="X43" i="2"/>
  <c r="X24" i="2"/>
  <c r="Y43" i="2" l="1"/>
  <c r="Z22" i="2"/>
  <c r="Z84" i="2"/>
  <c r="Z24" i="2"/>
  <c r="Z43" i="2"/>
  <c r="X44" i="2"/>
  <c r="Y44" i="2" s="1"/>
  <c r="Z44" i="2" s="1"/>
  <c r="X45" i="2" l="1"/>
  <c r="X60" i="2" s="1"/>
  <c r="Z45" i="2"/>
  <c r="Z60" i="2" s="1"/>
  <c r="Y45" i="2"/>
  <c r="Y60" i="2" s="1"/>
  <c r="W46" i="2"/>
  <c r="X46" i="2" l="1"/>
  <c r="W49" i="2"/>
  <c r="W50" i="2" l="1"/>
  <c r="W51" i="2" s="1"/>
  <c r="Y46" i="2"/>
  <c r="Z46" i="2"/>
  <c r="W52" i="2" l="1"/>
  <c r="W62" i="2"/>
  <c r="W86" i="2"/>
  <c r="X48" i="2" l="1"/>
  <c r="X49" i="2" s="1"/>
  <c r="X50" i="2" l="1"/>
  <c r="X51" i="2" s="1"/>
  <c r="X52" i="2" l="1"/>
  <c r="X86" i="2"/>
  <c r="X62" i="2"/>
  <c r="Y48" i="2"/>
  <c r="Y49" i="2" s="1"/>
  <c r="Y50" i="2" l="1"/>
  <c r="Y51" i="2" s="1"/>
  <c r="Y62" i="2" l="1"/>
  <c r="Z48" i="2" s="1"/>
  <c r="Z49" i="2" s="1"/>
  <c r="Y86" i="2"/>
  <c r="Y52" i="2"/>
  <c r="Z50" i="2" l="1"/>
  <c r="Z51" i="2" s="1"/>
  <c r="Z86" i="2" l="1"/>
  <c r="Z52" i="2"/>
  <c r="AA51" i="2"/>
  <c r="AB51" i="2" s="1"/>
  <c r="AC51" i="2" s="1"/>
  <c r="AD51" i="2" s="1"/>
  <c r="AE51" i="2" s="1"/>
  <c r="AF51" i="2" s="1"/>
  <c r="AG51" i="2" s="1"/>
  <c r="AH51" i="2" s="1"/>
  <c r="AI51" i="2" s="1"/>
  <c r="AJ51" i="2" s="1"/>
  <c r="AK51" i="2" s="1"/>
  <c r="AL51" i="2" s="1"/>
  <c r="AM51" i="2" s="1"/>
  <c r="AN51" i="2" s="1"/>
  <c r="AO51" i="2" s="1"/>
  <c r="AP51" i="2" s="1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BA51" i="2" s="1"/>
  <c r="BB51" i="2" s="1"/>
  <c r="BC51" i="2" s="1"/>
  <c r="BD51" i="2" s="1"/>
  <c r="BE51" i="2" s="1"/>
  <c r="BF51" i="2" s="1"/>
  <c r="BG51" i="2" s="1"/>
  <c r="BH51" i="2" s="1"/>
  <c r="BI51" i="2" s="1"/>
  <c r="BJ51" i="2" s="1"/>
  <c r="BK51" i="2" s="1"/>
  <c r="BL51" i="2" s="1"/>
  <c r="BM51" i="2" s="1"/>
  <c r="BN51" i="2" s="1"/>
  <c r="BO51" i="2" s="1"/>
  <c r="BP51" i="2" s="1"/>
  <c r="BQ51" i="2" s="1"/>
  <c r="BR51" i="2" s="1"/>
  <c r="BS51" i="2" s="1"/>
  <c r="BT51" i="2" s="1"/>
  <c r="BU51" i="2" s="1"/>
  <c r="BV51" i="2" s="1"/>
  <c r="BW51" i="2" s="1"/>
  <c r="BX51" i="2" s="1"/>
  <c r="BY51" i="2" s="1"/>
  <c r="BZ51" i="2" s="1"/>
  <c r="CA51" i="2" s="1"/>
  <c r="CB51" i="2" s="1"/>
  <c r="CC51" i="2" s="1"/>
  <c r="CD51" i="2" s="1"/>
  <c r="CE51" i="2" s="1"/>
  <c r="CF51" i="2" s="1"/>
  <c r="CG51" i="2" s="1"/>
  <c r="CH51" i="2" s="1"/>
  <c r="CI51" i="2" s="1"/>
  <c r="CJ51" i="2" s="1"/>
  <c r="CK51" i="2" s="1"/>
  <c r="CL51" i="2" s="1"/>
  <c r="CM51" i="2" s="1"/>
  <c r="CN51" i="2" s="1"/>
  <c r="Z62" i="2"/>
  <c r="V102" i="2"/>
  <c r="V107" i="2" s="1"/>
  <c r="V59" i="2" s="1"/>
  <c r="W93" i="2"/>
  <c r="X93" i="2" s="1"/>
  <c r="AC57" i="2" l="1"/>
  <c r="AC58" i="2" s="1"/>
  <c r="AC59" i="2" s="1"/>
  <c r="Y93" i="2"/>
  <c r="X102" i="2"/>
  <c r="X107" i="2" s="1"/>
  <c r="X59" i="2" s="1"/>
  <c r="W102" i="2"/>
  <c r="W107" i="2" s="1"/>
  <c r="W59" i="2" s="1"/>
  <c r="Y102" i="2" l="1"/>
  <c r="Y107" i="2" s="1"/>
  <c r="Y59" i="2" s="1"/>
  <c r="Z93" i="2"/>
  <c r="Z102" i="2" s="1"/>
  <c r="Z107" i="2" s="1"/>
  <c r="Z59" i="2" s="1"/>
  <c r="AA107" i="2" l="1"/>
  <c r="AB107" i="2" s="1"/>
  <c r="AC107" i="2" s="1"/>
  <c r="AD107" i="2" s="1"/>
  <c r="AE107" i="2" s="1"/>
  <c r="AF107" i="2" s="1"/>
  <c r="AG107" i="2" s="1"/>
  <c r="AH107" i="2" s="1"/>
  <c r="AI107" i="2" s="1"/>
  <c r="AJ107" i="2" s="1"/>
  <c r="AK107" i="2" s="1"/>
  <c r="AL107" i="2" s="1"/>
  <c r="AM107" i="2" s="1"/>
  <c r="AN107" i="2" s="1"/>
  <c r="AO107" i="2" s="1"/>
  <c r="AP107" i="2" s="1"/>
  <c r="AQ107" i="2" s="1"/>
  <c r="AR107" i="2" s="1"/>
  <c r="AS107" i="2" s="1"/>
  <c r="AT107" i="2" s="1"/>
  <c r="AU107" i="2" s="1"/>
  <c r="AV107" i="2" s="1"/>
  <c r="AW107" i="2" s="1"/>
  <c r="AX107" i="2" s="1"/>
  <c r="AY107" i="2" s="1"/>
  <c r="AZ107" i="2" s="1"/>
  <c r="BA107" i="2" s="1"/>
  <c r="BB107" i="2" s="1"/>
  <c r="BC107" i="2" s="1"/>
  <c r="BD107" i="2" s="1"/>
  <c r="BE107" i="2" s="1"/>
  <c r="BF107" i="2" s="1"/>
  <c r="BG107" i="2" s="1"/>
  <c r="BH107" i="2" s="1"/>
  <c r="BI107" i="2" s="1"/>
  <c r="BJ107" i="2" s="1"/>
  <c r="BK107" i="2" s="1"/>
  <c r="BL107" i="2" s="1"/>
  <c r="BM107" i="2" s="1"/>
  <c r="BN107" i="2" s="1"/>
  <c r="BO107" i="2" s="1"/>
  <c r="BP107" i="2" s="1"/>
  <c r="BQ107" i="2" s="1"/>
  <c r="BR107" i="2" s="1"/>
  <c r="BS107" i="2" s="1"/>
  <c r="BT107" i="2" s="1"/>
  <c r="BU107" i="2" s="1"/>
  <c r="BV107" i="2" s="1"/>
  <c r="BW107" i="2" s="1"/>
  <c r="BX107" i="2" s="1"/>
  <c r="BY107" i="2" s="1"/>
  <c r="BZ107" i="2" s="1"/>
  <c r="CA107" i="2" s="1"/>
  <c r="CB107" i="2" s="1"/>
  <c r="CC107" i="2" s="1"/>
  <c r="CD107" i="2" s="1"/>
  <c r="CE107" i="2" s="1"/>
  <c r="CF107" i="2" s="1"/>
  <c r="CG107" i="2" s="1"/>
  <c r="CH107" i="2" s="1"/>
  <c r="CI107" i="2" s="1"/>
  <c r="CJ107" i="2" s="1"/>
  <c r="CK107" i="2" s="1"/>
  <c r="CL107" i="2" s="1"/>
  <c r="CM107" i="2" s="1"/>
  <c r="CN107" i="2" s="1"/>
  <c r="CO107" i="2" s="1"/>
  <c r="CP107" i="2" s="1"/>
  <c r="CQ107" i="2" s="1"/>
  <c r="CR107" i="2" s="1"/>
  <c r="CS107" i="2" s="1"/>
  <c r="CT107" i="2" s="1"/>
  <c r="CU107" i="2" s="1"/>
  <c r="CV107" i="2" s="1"/>
  <c r="CW107" i="2" s="1"/>
  <c r="CX107" i="2" s="1"/>
  <c r="CY107" i="2" s="1"/>
  <c r="CZ107" i="2" s="1"/>
  <c r="DA107" i="2" s="1"/>
  <c r="DB107" i="2" s="1"/>
  <c r="DC107" i="2" s="1"/>
  <c r="DD107" i="2" s="1"/>
  <c r="DE107" i="2" s="1"/>
  <c r="DF107" i="2" s="1"/>
  <c r="DG107" i="2" s="1"/>
  <c r="DH107" i="2" s="1"/>
  <c r="DI107" i="2" s="1"/>
  <c r="DJ107" i="2" s="1"/>
  <c r="DK107" i="2" s="1"/>
  <c r="DL107" i="2" s="1"/>
  <c r="DM107" i="2" s="1"/>
  <c r="DN107" i="2" s="1"/>
  <c r="DO107" i="2" s="1"/>
  <c r="DP107" i="2" s="1"/>
  <c r="DQ107" i="2" s="1"/>
  <c r="DR10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tc={C2D78901-D1F4-4871-B5D4-B18265B433F7}</author>
  </authors>
  <commentList>
    <comment ref="B20" authorId="0" shapeId="0" xr:uid="{C2D78901-D1F4-4871-B5D4-B18265B433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https://www.bloomberg.com/news/articles/2024-08-06/super-micro-gives-strong-sales-outlook-on-ai-server-expansion
https://www.bloomberg.com/news/articles/2025-04-29/super-micro-plunges-after-its-prelimary-results-miss-estimates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tc={07B89E43-8E64-4D6B-81D7-37BC3D9CEEE2}</author>
    <author>tc={B928ADE7-8211-4D2F-BD8C-79ED22DF99E4}</author>
    <author>tc={45B433DF-6A70-443F-BD0E-B05A27CEBFAA}</author>
    <author>tc={0B6543D7-8349-4811-861E-C0B9D944AF98}</author>
    <author>tc={F2FEB8A9-AB5D-4787-9460-AE116AE11E92}</author>
    <author>tc={DEC1EFA7-08CE-407F-80BC-3BD72A054B95}</author>
    <author>tc={518D6400-4738-48D4-8A7C-6A58D2E68831}</author>
    <author>tc={960D152D-CF0A-4D06-BBAA-48E55DA153B5}</author>
  </authors>
  <commentList>
    <comment ref="V16" authorId="0" shapeId="0" xr:uid="{07B89E43-8E64-4D6B-81D7-37BC3D9CEEE2}">
      <text>
        <t>[Threaded comment]
Your version of Excel allows you to read this threaded comment; however, any edits to it will get removed if the file is opened in a newer version of Excel. Learn more: https://go.microsoft.com/fwlink/?linkid=870924
Comment:
    Majority of this capex from these companies is from cloud</t>
      </text>
    </comment>
    <comment ref="V17" authorId="1" shapeId="0" xr:uid="{B928ADE7-8211-4D2F-BD8C-79ED22DF99E4}">
      <text>
        <t>[Threaded comment]
Your version of Excel allows you to read this threaded comment; however, any edits to it will get removed if the file is opened in a newer version of Excel. Learn more: https://go.microsoft.com/fwlink/?linkid=870924
Comment:
    “googl forecast for their FY25” mainly cloud capex</t>
      </text>
    </comment>
    <comment ref="I24" authorId="2" shapeId="0" xr:uid="{45B433DF-6A70-443F-BD0E-B05A27CEBFAA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Outlier, mostly sold old inventory this quarter
Reply:
    Also Inventory increase by smci could be in preparation for blackwell server capex</t>
      </text>
    </comment>
    <comment ref="U33" authorId="3" shapeId="0" xr:uid="{0B6543D7-8349-4811-861E-C0B9D944AF98}">
      <text>
        <t>[Threaded comment]
Your version of Excel allows you to read this threaded comment; however, any edits to it will get removed if the file is opened in a newer version of Excel. Learn more: https://go.microsoft.com/fwlink/?linkid=870924
Comment:
    15% of racks shipped are DLC</t>
      </text>
    </comment>
    <comment ref="V33" authorId="4" shapeId="0" xr:uid="{F2FEB8A9-AB5D-4787-9460-AE116AE11E92}">
      <text>
        <t>[Threaded comment]
Your version of Excel allows you to read this threaded comment; however, any edits to it will get removed if the file is opened in a newer version of Excel. Learn more: https://go.microsoft.com/fwlink/?linkid=870924
Comment:
    30% of racks shipper are DLC2</t>
      </text>
    </comment>
    <comment ref="J39" authorId="5" shapeId="0" xr:uid="{DEC1EFA7-08CE-407F-80BC-3BD72A054B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“Q4 Rev at least 6b”
</t>
      </text>
    </comment>
    <comment ref="J53" authorId="6" shapeId="0" xr:uid="{518D6400-4738-48D4-8A7C-6A58D2E68831}">
      <text>
        <t>[Threaded comment]
Your version of Excel allows you to read this threaded comment; however, any edits to it will get removed if the file is opened in a newer version of Excel. Learn more: https://go.microsoft.com/fwlink/?linkid=870924
Comment:
    “diluted share count”</t>
      </text>
    </comment>
    <comment ref="J106" authorId="7" shapeId="0" xr:uid="{960D152D-CF0A-4D06-BBAA-48E55DA153B5}">
      <text>
        <t>[Threaded comment]
Your version of Excel allows you to read this threaded comment; however, any edits to it will get removed if the file is opened in a newer version of Excel. Learn more: https://go.microsoft.com/fwlink/?linkid=870924
Comment:
    “expect 45-55m”</t>
      </text>
    </comment>
  </commentList>
</comments>
</file>

<file path=xl/sharedStrings.xml><?xml version="1.0" encoding="utf-8"?>
<sst xmlns="http://schemas.openxmlformats.org/spreadsheetml/2006/main" count="155" uniqueCount="141">
  <si>
    <t>Price</t>
  </si>
  <si>
    <t>Shares</t>
  </si>
  <si>
    <t>MC</t>
  </si>
  <si>
    <t>Cash</t>
  </si>
  <si>
    <t>Debt</t>
  </si>
  <si>
    <t>EV</t>
  </si>
  <si>
    <t>Revenue</t>
  </si>
  <si>
    <t>Net Income</t>
  </si>
  <si>
    <t>Gross Margin</t>
  </si>
  <si>
    <t>Discount</t>
  </si>
  <si>
    <t>R&amp;D</t>
  </si>
  <si>
    <t>Maturity</t>
  </si>
  <si>
    <t>NPV</t>
  </si>
  <si>
    <t>Diff</t>
  </si>
  <si>
    <t>FCF</t>
  </si>
  <si>
    <t>CFFO</t>
  </si>
  <si>
    <t>Q125</t>
  </si>
  <si>
    <t>Q225</t>
  </si>
  <si>
    <t>Q325</t>
  </si>
  <si>
    <t>Q425</t>
  </si>
  <si>
    <t>COGS</t>
  </si>
  <si>
    <t>Gross Profit</t>
  </si>
  <si>
    <t>Revenue y/y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</si>
  <si>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</si>
  <si>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</si>
  <si>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</si>
  <si>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</si>
  <si>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</si>
  <si>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</si>
  <si>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</si>
  <si>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EPS</t>
  </si>
  <si>
    <t>Other Income</t>
  </si>
  <si>
    <t>FCF Margin</t>
  </si>
  <si>
    <t>Q126</t>
  </si>
  <si>
    <t>Q226</t>
  </si>
  <si>
    <t>notes:</t>
  </si>
  <si>
    <t>Revenue q/q</t>
  </si>
  <si>
    <t>Nvidia Blackwell in 2026 main revenue growth</t>
  </si>
  <si>
    <t>ROIC</t>
  </si>
  <si>
    <t>Net Cash</t>
  </si>
  <si>
    <t>Q124</t>
  </si>
  <si>
    <t>Q224</t>
  </si>
  <si>
    <t>Q324</t>
  </si>
  <si>
    <t>Q424</t>
  </si>
  <si>
    <t>Q326</t>
  </si>
  <si>
    <t>Q426</t>
  </si>
  <si>
    <t>Main</t>
  </si>
  <si>
    <t>OPEX Margin</t>
  </si>
  <si>
    <t>AR</t>
  </si>
  <si>
    <t>Inventories</t>
  </si>
  <si>
    <t>PP&amp;E</t>
  </si>
  <si>
    <t>Other Assets</t>
  </si>
  <si>
    <t>Assets</t>
  </si>
  <si>
    <t>AP</t>
  </si>
  <si>
    <t>Accrued Liabilities</t>
  </si>
  <si>
    <t>LOC &amp; Current Portion of Loans</t>
  </si>
  <si>
    <t>Term Loans</t>
  </si>
  <si>
    <t>Converts</t>
  </si>
  <si>
    <t>Liabilities</t>
  </si>
  <si>
    <t>SE</t>
  </si>
  <si>
    <t>L+SE</t>
  </si>
  <si>
    <t>DSO</t>
  </si>
  <si>
    <t>Model NI</t>
  </si>
  <si>
    <t>Reported NI</t>
  </si>
  <si>
    <t>D&amp;A</t>
  </si>
  <si>
    <t>Loss from Equity Investee</t>
  </si>
  <si>
    <t>Other</t>
  </si>
  <si>
    <t>PP&amp;E Purchases</t>
  </si>
  <si>
    <t>Investment in Equity</t>
  </si>
  <si>
    <t>Acquisition</t>
  </si>
  <si>
    <t>CAPEX</t>
  </si>
  <si>
    <t>NVDA Rev</t>
  </si>
  <si>
    <t>NVDA Blackwell Rev</t>
  </si>
  <si>
    <t>"21.8-22.6b 2025"</t>
  </si>
  <si>
    <t>AMD MI350 + MI325X Rev</t>
  </si>
  <si>
    <t>"DCBBS . . . delivering up  to 30% lower TCO"</t>
  </si>
  <si>
    <t>Enterprise/Channel Vert</t>
  </si>
  <si>
    <t>Company is a Server and Storage Systems maker mainly for cloud and works with AMD &amp; NVDA</t>
  </si>
  <si>
    <t>USA Rev</t>
  </si>
  <si>
    <t>Asia Rev</t>
  </si>
  <si>
    <t>Rest of World</t>
  </si>
  <si>
    <t>Hopper-&gt;Blackwell Server Upgrade</t>
  </si>
  <si>
    <t>Q425 and FY26 expected strong growth due to Blackwell</t>
  </si>
  <si>
    <t>Blackwell 60% faster than Hopper</t>
  </si>
  <si>
    <t>"40b revenue by 2026 conservative" &lt;-- previous guidance no FY26 guidance for now</t>
  </si>
  <si>
    <t>Gross Margin is the key to the valuation of this stock</t>
  </si>
  <si>
    <t>DGX B200, HGX, DCBBS, GB300, B300, DLC2</t>
  </si>
  <si>
    <t>tariff GM headwinds</t>
  </si>
  <si>
    <t>long-term GM target of 14-17%</t>
  </si>
  <si>
    <t>current GM reduction from using older inventory</t>
  </si>
  <si>
    <t>SMCI COGS is the GPUs together to make a server stack and sell it</t>
  </si>
  <si>
    <t>TAM</t>
  </si>
  <si>
    <t>Penetration %</t>
  </si>
  <si>
    <t>ORCL CAPEX</t>
  </si>
  <si>
    <t>AZMN CAPEX</t>
  </si>
  <si>
    <t>MSFT CAPEX</t>
  </si>
  <si>
    <t>GOOGL CAPEX</t>
  </si>
  <si>
    <t>% of NVDA traffic is SMCI</t>
  </si>
  <si>
    <t>"According to the Bloomberg Supply Chain feature, Super Micro accounts for approximately 8% of NVIDIA's revenue"</t>
  </si>
  <si>
    <t>Core Rev</t>
  </si>
  <si>
    <t>20b deal w/ datavolt</t>
  </si>
  <si>
    <t>Dell Server Rev</t>
  </si>
  <si>
    <t>HP Server Rev</t>
  </si>
  <si>
    <t>Dell Server Margin</t>
  </si>
  <si>
    <t>HP Server Margin</t>
  </si>
  <si>
    <t>IBM Server Rev</t>
  </si>
  <si>
    <t>IBM Server Margin</t>
  </si>
  <si>
    <t>Lenovo Server Rev</t>
  </si>
  <si>
    <t>Lenovo Server Margin</t>
  </si>
  <si>
    <t>DLC / DLC2 Volume</t>
  </si>
  <si>
    <t>PGDLC2</t>
  </si>
  <si>
    <t xml:space="preserve">DCBBS ready for full volume &amp; Malaysia full production &amp; USA, Europe </t>
  </si>
  <si>
    <t xml:space="preserve">Inference AI / Logic (not one shot thinking) is 1000x more data use, more </t>
  </si>
  <si>
    <t>AI Factory vs Data Center</t>
  </si>
  <si>
    <t>META CAPEX</t>
  </si>
  <si>
    <t>Tax Payable</t>
  </si>
  <si>
    <t>OLTL</t>
  </si>
  <si>
    <t>DT</t>
  </si>
  <si>
    <t>DR</t>
  </si>
  <si>
    <t>Prepaids</t>
  </si>
  <si>
    <t>AL</t>
  </si>
  <si>
    <t>UR Currency Exchange Gain</t>
  </si>
  <si>
    <t>SBC</t>
  </si>
  <si>
    <t>Hopper</t>
  </si>
  <si>
    <t>Blackwell</t>
  </si>
  <si>
    <t>Blackwell Ultra</t>
  </si>
  <si>
    <t>Ampere</t>
  </si>
  <si>
    <t>Rubin</t>
  </si>
  <si>
    <t>Feynman</t>
  </si>
  <si>
    <t>Rubin Ultra</t>
  </si>
  <si>
    <t>DLC Rev</t>
  </si>
  <si>
    <t>DLC ASP</t>
  </si>
  <si>
    <t>Air-Cooled Volume</t>
  </si>
  <si>
    <t>Air-Cooled ASP</t>
  </si>
  <si>
    <t>"grow 65% AT LEAST fy26, very conservative"</t>
  </si>
  <si>
    <t>"production capacity USA only 55% taiwan only 60%, malaysia 1%"</t>
  </si>
  <si>
    <t>"large backlog and increasing GB200, B200 Blackwell"</t>
  </si>
  <si>
    <t>"what will the competition deliver is a big indicator of the margins"</t>
  </si>
  <si>
    <t>H100</t>
  </si>
  <si>
    <t>(2023 margins was because H100 SMCI was ahead and this year is the same opportunity but add with liquid cooling)</t>
  </si>
  <si>
    <t>SMCI 2024 shipped 60% of DLC worldwide, competitors are not ready, not many are able to provide on-site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</si>
</sst>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%"/>
    <numFmt numFmtId="165" formatCode="#,##0.0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3" fontId="4" fillId="0" borderId="0" xfId="1" applyNumberFormat="1" applyFont="1"/>
    <xf numFmtId="3" fontId="1" fillId="0" borderId="0" xfId="0" applyNumberFormat="1" applyFont="1"/>
    <xf numFmtId="1" fontId="1" fillId="0" borderId="0" xfId="0" applyNumberFormat="1" applyFont="1"/>
    <xf numFmtId="1" fontId="1" fillId="0" borderId="1" xfId="0" applyNumberFormat="1" applyFont="1" applyBorder="1"/>
    <xf numFmtId="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3" fontId="3" fillId="0" borderId="0" xfId="0" applyNumberFormat="1" applyFont="1"/>
    <xf numFmtId="4" fontId="1" fillId="0" borderId="0" xfId="0" applyNumberFormat="1" applyFont="1"/>
    <xf numFmtId="9" fontId="3" fillId="0" borderId="0" xfId="0" applyNumberFormat="1" applyFont="1"/>
    <xf numFmtId="10" fontId="1" fillId="0" borderId="0" xfId="0" applyNumberFormat="1" applyFont="1"/>
    <xf numFmtId="164" fontId="3" fillId="0" borderId="0" xfId="0" applyNumberFormat="1" applyFont="1"/>
    <xf numFmtId="8" fontId="1" fillId="0" borderId="0" xfId="0" applyNumberFormat="1" applyFont="1"/>
    <xf numFmtId="0" fontId="3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19050</xdr:rowOff>
    </xdr:from>
    <xdr:to>
      <xdr:col>9</xdr:col>
      <xdr:colOff>9525</xdr:colOff>
      <xdr:row>118</xdr:row>
      <xdr:rowOff>47625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EC3652-0265-712B-B45A-694F749AA1D9}"/>
            </a:ext>
          </a:extLst>
        </xdr:cNvPr>
        <xdr:cNvCxnSpPr/>
      </xdr:nvCxnSpPr>
      <xdr:spPr>
        <a:xfrm>
          <a:off x="6115050" y="19050"/>
          <a:ext cx="0" cy="18935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0</xdr:colOff>
      <xdr:row>126</xdr:row>
      <xdr:rowOff>123825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348FFB5-0C39-F80A-F9CA-576D491C9A35}"/>
            </a:ext>
          </a:extLst>
        </xdr:cNvPr>
        <xdr:cNvCxnSpPr/>
      </xdr:nvCxnSpPr>
      <xdr:spPr>
        <a:xfrm>
          <a:off x="13335000" y="0"/>
          <a:ext cx="0" cy="17221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9FB83736-EE26-422E-AD1E-D65440F32024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0" dT="2025-05-13T06:04:12.41" personId="{9FB83736-EE26-422E-AD1E-D65440F32024}" id="{C2D78901-D1F4-4871-B5D4-B18265B433F7}">
    <text xml:space="preserve">https://www.bloomberg.com/news/articles/2024-08-06/super-micro-gives-strong-sales-outlook-on-ai-server-expansion
https://www.bloomberg.com/news/articles/2025-04-29/super-micro-plunges-after-its-prelimary-results-miss-estimates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V16" dT="2025-05-13T05:57:20.60" personId="{9FB83736-EE26-422E-AD1E-D65440F32024}" id="{07B89E43-8E64-4D6B-81D7-37BC3D9CEEE2}">
    <text>Majority of this capex from these companies is from cloud</text>
  </threadedComment>
  <threadedComment ref="V17" dT="2025-05-13T05:48:53.30" personId="{9FB83736-EE26-422E-AD1E-D65440F32024}" id="{B928ADE7-8211-4D2F-BD8C-79ED22DF99E4}">
    <text>“googl forecast for their FY25” mainly cloud capex</text>
  </threadedComment>
  <threadedComment ref="I24" dT="2025-05-13T06:01:58.85" personId="{9FB83736-EE26-422E-AD1E-D65440F32024}" id="{45B433DF-6A70-443F-BD0E-B05A27CEBFAA}">
    <text>Outlier, mostly sold old inventory this quarter</text>
  </threadedComment>
  <threadedComment ref="I24" dT="2025-05-13T06:06:27.60" personId="{9FB83736-EE26-422E-AD1E-D65440F32024}" id="{4DC0E4EE-3319-427D-A24F-67694DBE7EA0}" parentId="{45B433DF-6A70-443F-BD0E-B05A27CEBFAA}">
    <text>Also Inventory increase by smci could be in preparation for blackwell server capex</text>
  </threadedComment>
  <threadedComment ref="U33" dT="2025-05-26T01:09:02.84" personId="{9FB83736-EE26-422E-AD1E-D65440F32024}" id="{0B6543D7-8349-4811-861E-C0B9D944AF98}">
    <text>15% of racks shipped are DLC</text>
  </threadedComment>
  <threadedComment ref="V33" dT="2025-05-26T01:09:11.95" personId="{9FB83736-EE26-422E-AD1E-D65440F32024}" id="{F2FEB8A9-AB5D-4787-9460-AE116AE11E92}">
    <text>30% of racks shipper are DLC2</text>
  </threadedComment>
  <threadedComment ref="J39" dT="2025-05-13T04:58:19.64" personId="{9FB83736-EE26-422E-AD1E-D65440F32024}" id="{DEC1EFA7-08CE-407F-80BC-3BD72A054B95}">
    <text xml:space="preserve">“Q4 Rev at least 6b”
</text>
  </threadedComment>
  <threadedComment ref="J53" dT="2025-05-13T05:05:22.48" personId="{9FB83736-EE26-422E-AD1E-D65440F32024}" id="{518D6400-4738-48D4-8A7C-6A58D2E68831}">
    <text>“diluted share count”</text>
  </threadedComment>
  <threadedComment ref="J106" dT="2025-05-13T05:04:41.19" personId="{9FB83736-EE26-422E-AD1E-D65440F32024}" id="{960D152D-CF0A-4D06-BBAA-48E55DA153B5}">
    <text>“expect 45-55m”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14CC-655A-4E11-87EC-D301395A4983}">
  <dimension ref="A1:O36"/>
  <sheetViews>
    <sheetView zoomScale="115" zoomScaleNormal="115" workbookViewId="0">
      <selection activeCell="N3" sqref="N3"/>
    </sheetView>
  </sheetViews>
  <sheetFormatPr defaultRowHeight="12.75" x14ac:dyDescent="0.2"/>
  <cols>
    <col min="1" max="1" width="3.28515625" style="15" customWidth="1"/>
    <col min="2" max="2" width="12.7109375" style="15" bestFit="1" customWidth="1"/>
    <col min="3" max="16384" width="9.140625" style="15"/>
  </cols>
  <sheetData>
    <row r="1" spans="1:15" x14ac:dyDescent="0.2">
      <c r="A1" s="14"/>
    </row>
    <row r="2" spans="1:15" x14ac:dyDescent="0.2">
      <c r="B2" s="15" t="s">
        <v>35</v>
      </c>
    </row>
    <row r="3" spans="1:15" x14ac:dyDescent="0.2">
      <c r="B3" s="15" t="s">
        <v>84</v>
      </c>
      <c r="M3" s="15" t="s">
        <v>0</v>
      </c>
      <c r="N3" s="9">
        <v>41.5</v>
      </c>
    </row>
    <row r="4" spans="1:15" x14ac:dyDescent="0.2">
      <c r="B4" s="15" t="s">
        <v>73</v>
      </c>
      <c r="M4" s="15" t="s">
        <v>1</v>
      </c>
      <c r="N4" s="2">
        <v>596.82000000000005</v>
      </c>
      <c r="O4" s="15" t="s">
        <v>18</v>
      </c>
    </row>
    <row r="5" spans="1:15" x14ac:dyDescent="0.2">
      <c r="B5" s="15" t="s">
        <v>37</v>
      </c>
      <c r="M5" s="15" t="s">
        <v>2</v>
      </c>
      <c r="N5" s="2">
        <f>N4*N3</f>
        <v>24768.030000000002</v>
      </c>
    </row>
    <row r="6" spans="1:15" x14ac:dyDescent="0.2">
      <c r="B6" s="15" t="s">
        <v>86</v>
      </c>
      <c r="M6" s="15" t="s">
        <v>3</v>
      </c>
      <c r="N6" s="2">
        <v>1430</v>
      </c>
      <c r="O6" s="15" t="s">
        <v>18</v>
      </c>
    </row>
    <row r="7" spans="1:15" x14ac:dyDescent="0.2">
      <c r="B7" s="15" t="s">
        <v>75</v>
      </c>
      <c r="M7" s="15" t="s">
        <v>4</v>
      </c>
      <c r="N7" s="2">
        <f>1700+53+289</f>
        <v>2042</v>
      </c>
      <c r="O7" s="15" t="s">
        <v>18</v>
      </c>
    </row>
    <row r="8" spans="1:15" x14ac:dyDescent="0.2">
      <c r="B8" s="15" t="s">
        <v>77</v>
      </c>
      <c r="E8" s="9"/>
      <c r="M8" s="15" t="s">
        <v>5</v>
      </c>
      <c r="N8" s="2">
        <f>N5+N7-N6</f>
        <v>25380.030000000002</v>
      </c>
    </row>
    <row r="9" spans="1:15" x14ac:dyDescent="0.2">
      <c r="B9" s="15" t="s">
        <v>81</v>
      </c>
    </row>
    <row r="10" spans="1:15" x14ac:dyDescent="0.2">
      <c r="B10" s="15" t="s">
        <v>82</v>
      </c>
      <c r="J10" s="9"/>
    </row>
    <row r="11" spans="1:15" x14ac:dyDescent="0.2">
      <c r="B11" s="15" t="s">
        <v>83</v>
      </c>
      <c r="J11" s="9"/>
    </row>
    <row r="12" spans="1:15" x14ac:dyDescent="0.2">
      <c r="B12" s="15" t="s">
        <v>85</v>
      </c>
      <c r="J12" s="9"/>
    </row>
    <row r="13" spans="1:15" x14ac:dyDescent="0.2">
      <c r="B13" s="15" t="s">
        <v>87</v>
      </c>
    </row>
    <row r="14" spans="1:15" x14ac:dyDescent="0.2">
      <c r="B14" s="15" t="s">
        <v>88</v>
      </c>
    </row>
    <row r="15" spans="1:15" x14ac:dyDescent="0.2">
      <c r="B15" s="15" t="s">
        <v>89</v>
      </c>
    </row>
    <row r="16" spans="1:15" x14ac:dyDescent="0.2">
      <c r="B16" s="15" t="s">
        <v>90</v>
      </c>
    </row>
    <row r="17" spans="2:5" x14ac:dyDescent="0.2">
      <c r="B17" s="15" t="s">
        <v>100</v>
      </c>
    </row>
    <row r="18" spans="2:5" x14ac:dyDescent="0.2">
      <c r="B18" s="15" t="s">
        <v>110</v>
      </c>
    </row>
    <row r="20" spans="2:5" x14ac:dyDescent="0.2">
      <c r="B20" s="15" t="s">
        <v>98</v>
      </c>
    </row>
    <row r="21" spans="2:5" x14ac:dyDescent="0.2">
      <c r="B21" s="15" t="s">
        <v>111</v>
      </c>
    </row>
    <row r="22" spans="2:5" x14ac:dyDescent="0.2">
      <c r="B22" s="15" t="s">
        <v>112</v>
      </c>
    </row>
    <row r="23" spans="2:5" x14ac:dyDescent="0.2">
      <c r="B23" s="15" t="s">
        <v>113</v>
      </c>
    </row>
    <row r="24" spans="2:5" x14ac:dyDescent="0.2">
      <c r="E24" s="15" t="s">
        <v>137</v>
      </c>
    </row>
    <row r="25" spans="2:5" x14ac:dyDescent="0.2">
      <c r="B25" s="3">
        <v>2020</v>
      </c>
      <c r="C25" s="15" t="s">
        <v>126</v>
      </c>
    </row>
    <row r="26" spans="2:5" x14ac:dyDescent="0.2">
      <c r="B26" s="15">
        <v>2022</v>
      </c>
      <c r="C26" s="15" t="s">
        <v>123</v>
      </c>
      <c r="D26" s="15" t="s">
        <v>138</v>
      </c>
      <c r="E26" s="15" t="s">
        <v>139</v>
      </c>
    </row>
    <row r="27" spans="2:5" x14ac:dyDescent="0.2">
      <c r="B27" s="15">
        <v>2025</v>
      </c>
      <c r="C27" s="15" t="s">
        <v>124</v>
      </c>
    </row>
    <row r="28" spans="2:5" x14ac:dyDescent="0.2">
      <c r="B28" s="15">
        <v>2025.5</v>
      </c>
      <c r="C28" s="15" t="s">
        <v>125</v>
      </c>
    </row>
    <row r="29" spans="2:5" x14ac:dyDescent="0.2">
      <c r="B29" s="15">
        <v>2026</v>
      </c>
      <c r="C29" s="15" t="s">
        <v>127</v>
      </c>
    </row>
    <row r="30" spans="2:5" x14ac:dyDescent="0.2">
      <c r="B30" s="15">
        <v>2027</v>
      </c>
      <c r="C30" s="15" t="s">
        <v>129</v>
      </c>
    </row>
    <row r="31" spans="2:5" x14ac:dyDescent="0.2">
      <c r="B31" s="15">
        <v>2028</v>
      </c>
      <c r="C31" s="15" t="s">
        <v>128</v>
      </c>
    </row>
    <row r="33" spans="2:2" x14ac:dyDescent="0.2">
      <c r="B33" s="15" t="s">
        <v>140</v>
      </c>
    </row>
    <row r="34" spans="2:2" x14ac:dyDescent="0.2">
      <c r="B34" s="15" t="s">
        <v>134</v>
      </c>
    </row>
    <row r="35" spans="2:2" x14ac:dyDescent="0.2">
      <c r="B35" s="15" t="s">
        <v>135</v>
      </c>
    </row>
    <row r="36" spans="2:2" x14ac:dyDescent="0.2">
      <c r="B36" s="15" t="s">
        <v>136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8DAD7-B3FD-4340-A438-67E4C3210CEC}">
  <dimension ref="A1:DR107"/>
  <sheetViews>
    <sheetView tabSelected="1" zoomScale="130" zoomScaleNormal="130" workbookViewId="0">
      <pane xSplit="2" ySplit="1" topLeftCell="T37" activePane="bottomRight" state="frozen"/>
      <selection pane="topRight" activeCell="B1" sqref="B1"/>
      <selection pane="bottomLeft" activeCell="A2" sqref="A2"/>
      <selection pane="bottomRight" activeCell="W58" sqref="W58"/>
    </sheetView>
  </sheetViews>
  <sheetFormatPr defaultRowHeight="12.75" x14ac:dyDescent="0.2"/>
  <cols>
    <col min="1" max="1" width="6" style="2" customWidth="1"/>
    <col min="2" max="2" width="21.5703125" style="2" customWidth="1"/>
    <col min="3" max="20" width="9.140625" style="2"/>
    <col min="21" max="21" width="10.85546875" style="2" bestFit="1" customWidth="1"/>
    <col min="22" max="22" width="10.85546875" style="2" customWidth="1"/>
    <col min="23" max="25" width="9.140625" style="2"/>
    <col min="26" max="26" width="11" style="2" customWidth="1"/>
    <col min="27" max="29" width="9.140625" style="2"/>
    <col min="30" max="30" width="9.140625" style="2" customWidth="1"/>
    <col min="31" max="16384" width="9.140625" style="2"/>
  </cols>
  <sheetData>
    <row r="1" spans="1:31" x14ac:dyDescent="0.2">
      <c r="A1" s="1" t="s">
        <v>46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33</v>
      </c>
      <c r="L1" s="2" t="s">
        <v>34</v>
      </c>
      <c r="M1" s="2" t="s">
        <v>44</v>
      </c>
      <c r="N1" s="2" t="s">
        <v>45</v>
      </c>
      <c r="P1" s="3">
        <v>2020</v>
      </c>
      <c r="Q1" s="3">
        <v>2021</v>
      </c>
      <c r="R1" s="3">
        <v>2022</v>
      </c>
      <c r="S1" s="3">
        <v>2023</v>
      </c>
      <c r="T1" s="3">
        <v>2024</v>
      </c>
      <c r="U1" s="4">
        <f t="shared" ref="U1:Z1" si="0">T1+1</f>
        <v>2025</v>
      </c>
      <c r="V1" s="3">
        <f t="shared" si="0"/>
        <v>2026</v>
      </c>
      <c r="W1" s="3">
        <f t="shared" si="0"/>
        <v>2027</v>
      </c>
      <c r="X1" s="3">
        <f t="shared" si="0"/>
        <v>2028</v>
      </c>
      <c r="Y1" s="3">
        <f t="shared" si="0"/>
        <v>2029</v>
      </c>
      <c r="Z1" s="3">
        <f t="shared" si="0"/>
        <v>2030</v>
      </c>
      <c r="AA1" s="3">
        <f t="shared" ref="AA1" si="1">Z1+1</f>
        <v>2031</v>
      </c>
      <c r="AB1" s="3">
        <f t="shared" ref="AB1" si="2">AA1+1</f>
        <v>2032</v>
      </c>
      <c r="AC1" s="3">
        <f t="shared" ref="AC1" si="3">AB1+1</f>
        <v>2033</v>
      </c>
      <c r="AD1" s="3">
        <f t="shared" ref="AD1" si="4">AC1+1</f>
        <v>2034</v>
      </c>
      <c r="AE1" s="3">
        <f t="shared" ref="AE1" si="5">AD1+1</f>
        <v>2035</v>
      </c>
    </row>
    <row r="2" spans="1:31" x14ac:dyDescent="0.2">
      <c r="A2" s="1"/>
      <c r="B2" s="2" t="s">
        <v>78</v>
      </c>
      <c r="C2" s="5">
        <v>0.76</v>
      </c>
      <c r="I2" s="5">
        <v>0.6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31" x14ac:dyDescent="0.2">
      <c r="A3" s="1"/>
      <c r="B3" s="2" t="s">
        <v>79</v>
      </c>
      <c r="C3" s="5">
        <v>0.11</v>
      </c>
      <c r="I3" s="5">
        <v>0.3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31" x14ac:dyDescent="0.2">
      <c r="A4" s="1"/>
      <c r="B4" s="2" t="s">
        <v>80</v>
      </c>
      <c r="C4" s="5">
        <v>0.13</v>
      </c>
      <c r="I4" s="5">
        <v>0.1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31" x14ac:dyDescent="0.2">
      <c r="A5" s="1"/>
      <c r="E5" s="5"/>
      <c r="I5" s="5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31" x14ac:dyDescent="0.2">
      <c r="A6" s="1"/>
      <c r="B6" s="2" t="s">
        <v>105</v>
      </c>
      <c r="E6" s="5"/>
      <c r="I6" s="5"/>
      <c r="P6" s="3"/>
      <c r="Q6" s="3"/>
      <c r="R6" s="3"/>
      <c r="S6" s="3"/>
      <c r="T6" s="2">
        <v>14593</v>
      </c>
      <c r="U6" s="2">
        <v>14020</v>
      </c>
      <c r="V6" s="3"/>
      <c r="W6" s="3"/>
      <c r="X6" s="3"/>
      <c r="Y6" s="3"/>
      <c r="Z6" s="3"/>
    </row>
    <row r="7" spans="1:31" x14ac:dyDescent="0.2">
      <c r="A7" s="1"/>
      <c r="B7" s="2" t="s">
        <v>101</v>
      </c>
      <c r="E7" s="5"/>
      <c r="I7" s="5"/>
      <c r="P7" s="3"/>
      <c r="Q7" s="3"/>
      <c r="R7" s="3"/>
      <c r="S7" s="3"/>
      <c r="T7" s="2">
        <v>17624</v>
      </c>
      <c r="U7" s="2">
        <v>27136</v>
      </c>
      <c r="V7" s="2">
        <f>U7+6000</f>
        <v>33136</v>
      </c>
      <c r="W7" s="3"/>
      <c r="X7" s="3"/>
      <c r="Y7" s="3"/>
      <c r="Z7" s="3"/>
    </row>
    <row r="8" spans="1:31" x14ac:dyDescent="0.2">
      <c r="A8" s="1"/>
      <c r="B8" s="2" t="s">
        <v>102</v>
      </c>
      <c r="E8" s="5"/>
      <c r="I8" s="5"/>
      <c r="P8" s="3"/>
      <c r="Q8" s="3"/>
      <c r="R8" s="3"/>
      <c r="S8" s="2">
        <v>15137</v>
      </c>
      <c r="T8" s="2">
        <v>13926</v>
      </c>
      <c r="U8" s="2">
        <v>15931</v>
      </c>
      <c r="V8" s="2">
        <f>U8*1.2</f>
        <v>19117.2</v>
      </c>
      <c r="W8" s="3"/>
      <c r="X8" s="3"/>
      <c r="Y8" s="3"/>
      <c r="Z8" s="3"/>
    </row>
    <row r="9" spans="1:31" x14ac:dyDescent="0.2">
      <c r="A9" s="1"/>
      <c r="B9" s="2" t="s">
        <v>107</v>
      </c>
      <c r="E9" s="5"/>
      <c r="I9" s="5"/>
      <c r="P9" s="3"/>
      <c r="Q9" s="3"/>
      <c r="R9" s="3"/>
      <c r="S9" s="2">
        <v>7100</v>
      </c>
      <c r="T9" s="2">
        <v>9800</v>
      </c>
      <c r="U9" s="2">
        <v>10000</v>
      </c>
      <c r="W9" s="3"/>
      <c r="X9" s="3"/>
      <c r="Y9" s="3"/>
      <c r="Z9" s="3"/>
    </row>
    <row r="10" spans="1:31" x14ac:dyDescent="0.2">
      <c r="A10" s="1"/>
      <c r="E10" s="5"/>
      <c r="I10" s="5"/>
      <c r="P10" s="3"/>
      <c r="Q10" s="3"/>
      <c r="R10" s="3"/>
      <c r="W10" s="3"/>
      <c r="X10" s="3"/>
      <c r="Y10" s="3"/>
      <c r="Z10" s="3"/>
    </row>
    <row r="11" spans="1:31" x14ac:dyDescent="0.2">
      <c r="A11" s="1"/>
      <c r="B11" s="2" t="s">
        <v>106</v>
      </c>
      <c r="E11" s="5"/>
      <c r="I11" s="5"/>
      <c r="P11" s="3"/>
      <c r="Q11" s="3"/>
      <c r="R11" s="3"/>
      <c r="S11" s="5"/>
      <c r="T11" s="6"/>
      <c r="U11" s="6">
        <v>0.10100000000000001</v>
      </c>
      <c r="V11" s="3"/>
      <c r="W11" s="3"/>
      <c r="X11" s="3"/>
      <c r="Y11" s="3"/>
      <c r="Z11" s="3"/>
    </row>
    <row r="12" spans="1:31" x14ac:dyDescent="0.2">
      <c r="A12" s="1"/>
      <c r="B12" s="2" t="s">
        <v>103</v>
      </c>
      <c r="E12" s="5"/>
      <c r="I12" s="5"/>
      <c r="P12" s="3"/>
      <c r="Q12" s="3"/>
      <c r="R12" s="3"/>
      <c r="S12" s="3"/>
      <c r="T12" s="6">
        <v>0.126</v>
      </c>
      <c r="U12" s="6">
        <v>0.128</v>
      </c>
      <c r="V12" s="6">
        <v>0.11799999999999999</v>
      </c>
      <c r="W12" s="3"/>
      <c r="X12" s="3"/>
      <c r="Y12" s="3"/>
      <c r="Z12" s="3"/>
    </row>
    <row r="13" spans="1:31" x14ac:dyDescent="0.2">
      <c r="A13" s="1"/>
      <c r="B13" s="2" t="s">
        <v>104</v>
      </c>
      <c r="E13" s="5"/>
      <c r="I13" s="5"/>
      <c r="P13" s="3"/>
      <c r="Q13" s="3"/>
      <c r="R13" s="3"/>
      <c r="S13" s="6">
        <v>0.125</v>
      </c>
      <c r="T13" s="6">
        <v>0.124</v>
      </c>
      <c r="U13" s="6">
        <v>0.112</v>
      </c>
      <c r="V13" s="6">
        <v>0.11</v>
      </c>
      <c r="W13" s="3"/>
      <c r="X13" s="3"/>
      <c r="Y13" s="3"/>
      <c r="Z13" s="3"/>
    </row>
    <row r="14" spans="1:31" x14ac:dyDescent="0.2">
      <c r="A14" s="1"/>
      <c r="B14" s="2" t="s">
        <v>108</v>
      </c>
      <c r="E14" s="5"/>
      <c r="I14" s="5"/>
      <c r="P14" s="3"/>
      <c r="Q14" s="3"/>
      <c r="R14" s="3"/>
      <c r="S14" s="6">
        <v>0.17</v>
      </c>
      <c r="T14" s="6">
        <v>0.17</v>
      </c>
      <c r="U14" s="6">
        <v>0.16700000000000001</v>
      </c>
      <c r="V14" s="6">
        <v>0.15</v>
      </c>
      <c r="W14" s="3"/>
      <c r="X14" s="3"/>
      <c r="Y14" s="3"/>
      <c r="Z14" s="3"/>
    </row>
    <row r="15" spans="1:31" x14ac:dyDescent="0.2">
      <c r="A15" s="1"/>
      <c r="E15" s="5"/>
      <c r="I15" s="5"/>
      <c r="P15" s="3"/>
      <c r="Q15" s="3"/>
      <c r="R15" s="3"/>
      <c r="S15" s="3"/>
      <c r="T15" s="5"/>
      <c r="U15" s="5"/>
      <c r="V15" s="3"/>
      <c r="W15" s="3"/>
      <c r="X15" s="3"/>
      <c r="Y15" s="3"/>
      <c r="Z15" s="3"/>
    </row>
    <row r="16" spans="1:31" x14ac:dyDescent="0.2">
      <c r="A16" s="1"/>
      <c r="B16" s="2" t="s">
        <v>91</v>
      </c>
      <c r="I16" s="5"/>
      <c r="P16" s="3"/>
      <c r="Q16" s="3"/>
      <c r="R16" s="3"/>
      <c r="S16" s="3"/>
      <c r="T16" s="3"/>
      <c r="U16" s="3"/>
      <c r="V16" s="2">
        <f>SUM(V17:V21)</f>
        <v>336000</v>
      </c>
      <c r="W16" s="2">
        <f t="shared" ref="W16:Z16" si="6">SUM(W17:W21)</f>
        <v>352800</v>
      </c>
      <c r="X16" s="2">
        <f t="shared" si="6"/>
        <v>370440</v>
      </c>
      <c r="Y16" s="2">
        <f t="shared" si="6"/>
        <v>388962</v>
      </c>
      <c r="Z16" s="2">
        <f t="shared" si="6"/>
        <v>408410.1</v>
      </c>
    </row>
    <row r="17" spans="1:26" x14ac:dyDescent="0.2">
      <c r="A17" s="1"/>
      <c r="B17" s="2" t="s">
        <v>96</v>
      </c>
      <c r="V17" s="2">
        <v>75000</v>
      </c>
      <c r="W17" s="2">
        <f>V17*1.05</f>
        <v>78750</v>
      </c>
      <c r="X17" s="2">
        <f t="shared" ref="X17:Z17" si="7">W17*1.05</f>
        <v>82687.5</v>
      </c>
      <c r="Y17" s="2">
        <f t="shared" si="7"/>
        <v>86821.875</v>
      </c>
      <c r="Z17" s="2">
        <f t="shared" si="7"/>
        <v>91162.96875</v>
      </c>
    </row>
    <row r="18" spans="1:26" x14ac:dyDescent="0.2">
      <c r="A18" s="1"/>
      <c r="B18" s="2" t="s">
        <v>95</v>
      </c>
      <c r="V18" s="2">
        <v>80000</v>
      </c>
      <c r="W18" s="2">
        <f t="shared" ref="W18:Z21" si="8">V18*1.05</f>
        <v>84000</v>
      </c>
      <c r="X18" s="2">
        <f t="shared" si="8"/>
        <v>88200</v>
      </c>
      <c r="Y18" s="2">
        <f t="shared" si="8"/>
        <v>92610</v>
      </c>
      <c r="Z18" s="2">
        <f t="shared" si="8"/>
        <v>97240.5</v>
      </c>
    </row>
    <row r="19" spans="1:26" x14ac:dyDescent="0.2">
      <c r="A19" s="1"/>
      <c r="B19" s="2" t="s">
        <v>94</v>
      </c>
      <c r="V19" s="2">
        <v>100000</v>
      </c>
      <c r="W19" s="2">
        <f t="shared" si="8"/>
        <v>105000</v>
      </c>
      <c r="X19" s="2">
        <f t="shared" si="8"/>
        <v>110250</v>
      </c>
      <c r="Y19" s="2">
        <f t="shared" si="8"/>
        <v>115762.5</v>
      </c>
      <c r="Z19" s="2">
        <f t="shared" si="8"/>
        <v>121550.625</v>
      </c>
    </row>
    <row r="20" spans="1:26" x14ac:dyDescent="0.2">
      <c r="A20" s="1"/>
      <c r="B20" s="2" t="s">
        <v>114</v>
      </c>
      <c r="V20" s="2">
        <v>65000</v>
      </c>
      <c r="W20" s="2">
        <f t="shared" si="8"/>
        <v>68250</v>
      </c>
      <c r="X20" s="2">
        <f t="shared" ref="X20" si="9">W20*1.05</f>
        <v>71662.5</v>
      </c>
      <c r="Y20" s="2">
        <f t="shared" ref="Y20" si="10">X20*1.05</f>
        <v>75245.625</v>
      </c>
      <c r="Z20" s="2">
        <f t="shared" ref="Z20" si="11">Y20*1.05</f>
        <v>79007.90625</v>
      </c>
    </row>
    <row r="21" spans="1:26" x14ac:dyDescent="0.2">
      <c r="A21" s="1"/>
      <c r="B21" s="2" t="s">
        <v>93</v>
      </c>
      <c r="V21" s="2">
        <v>16000</v>
      </c>
      <c r="W21" s="2">
        <f t="shared" si="8"/>
        <v>16800</v>
      </c>
      <c r="X21" s="2">
        <f t="shared" si="8"/>
        <v>17640</v>
      </c>
      <c r="Y21" s="2">
        <f t="shared" si="8"/>
        <v>18522</v>
      </c>
      <c r="Z21" s="2">
        <f t="shared" si="8"/>
        <v>19448.100000000002</v>
      </c>
    </row>
    <row r="22" spans="1:26" x14ac:dyDescent="0.2">
      <c r="A22" s="1"/>
      <c r="B22" s="2" t="s">
        <v>92</v>
      </c>
      <c r="J22" s="2">
        <v>500</v>
      </c>
      <c r="S22" s="5" t="e">
        <f t="shared" ref="S22:Z22" si="12">S39/S16</f>
        <v>#DIV/0!</v>
      </c>
      <c r="T22" s="5" t="e">
        <f t="shared" si="12"/>
        <v>#DIV/0!</v>
      </c>
      <c r="U22" s="5" t="e">
        <f t="shared" si="12"/>
        <v>#DIV/0!</v>
      </c>
      <c r="V22" s="5">
        <f t="shared" si="12"/>
        <v>0.11904761904761904</v>
      </c>
      <c r="W22" s="5">
        <f t="shared" si="12"/>
        <v>0.12471655328798185</v>
      </c>
      <c r="X22" s="5">
        <f t="shared" si="12"/>
        <v>0.13065543677788577</v>
      </c>
      <c r="Y22" s="5">
        <f t="shared" si="12"/>
        <v>0.1368771242434994</v>
      </c>
      <c r="Z22" s="5">
        <f t="shared" si="12"/>
        <v>0.14339508254080893</v>
      </c>
    </row>
    <row r="23" spans="1:26" x14ac:dyDescent="0.2">
      <c r="A23" s="1"/>
      <c r="J23" s="5">
        <f>J22/I26</f>
        <v>4.3859649122807015E-2</v>
      </c>
    </row>
    <row r="24" spans="1:26" x14ac:dyDescent="0.2">
      <c r="A24" s="1"/>
      <c r="B24" s="2" t="s">
        <v>97</v>
      </c>
      <c r="I24" s="5">
        <f>I39/I26</f>
        <v>0.40350877192982454</v>
      </c>
      <c r="S24" s="5">
        <f t="shared" ref="S24:Z24" si="13">S39/S25</f>
        <v>0.26382962962962964</v>
      </c>
      <c r="T24" s="5">
        <f t="shared" si="13"/>
        <v>0.24572459016393444</v>
      </c>
      <c r="U24" s="5">
        <f t="shared" si="13"/>
        <v>0.17088461538461538</v>
      </c>
      <c r="V24" s="5">
        <f t="shared" si="13"/>
        <v>0.2</v>
      </c>
      <c r="W24" s="5">
        <f t="shared" si="13"/>
        <v>0.16541353383458646</v>
      </c>
      <c r="X24" s="5">
        <f t="shared" si="13"/>
        <v>0.13672316384180794</v>
      </c>
      <c r="Y24" s="5">
        <f t="shared" si="13"/>
        <v>0.11327659574468088</v>
      </c>
      <c r="Z24" s="5">
        <f t="shared" si="13"/>
        <v>9.3702400000000033E-2</v>
      </c>
    </row>
    <row r="25" spans="1:26" x14ac:dyDescent="0.2">
      <c r="A25" s="1"/>
      <c r="B25" s="2" t="s">
        <v>71</v>
      </c>
      <c r="I25" s="5"/>
      <c r="S25" s="2">
        <v>27000</v>
      </c>
      <c r="T25" s="2">
        <v>61000</v>
      </c>
      <c r="U25" s="2">
        <v>130000</v>
      </c>
      <c r="V25" s="2">
        <v>200000</v>
      </c>
      <c r="W25" s="2">
        <v>266000</v>
      </c>
      <c r="X25" s="2">
        <v>354000</v>
      </c>
      <c r="Y25" s="2">
        <v>470000</v>
      </c>
      <c r="Z25" s="2">
        <v>625000</v>
      </c>
    </row>
    <row r="26" spans="1:26" x14ac:dyDescent="0.2">
      <c r="A26" s="1"/>
      <c r="B26" s="2" t="s">
        <v>72</v>
      </c>
      <c r="I26" s="2">
        <v>11400</v>
      </c>
    </row>
    <row r="27" spans="1:26" x14ac:dyDescent="0.2">
      <c r="A27" s="1"/>
      <c r="B27" s="2" t="s">
        <v>74</v>
      </c>
    </row>
    <row r="28" spans="1:26" x14ac:dyDescent="0.2">
      <c r="A28" s="1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1"/>
      <c r="B29" s="2" t="s">
        <v>76</v>
      </c>
      <c r="E29" s="2">
        <f>I29*0.97</f>
        <v>1843</v>
      </c>
      <c r="H29" s="2">
        <f>H39*0.25</f>
        <v>1419.5</v>
      </c>
      <c r="I29" s="2">
        <v>1900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1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1"/>
      <c r="B31" s="2" t="s">
        <v>132</v>
      </c>
      <c r="P31" s="3"/>
      <c r="Q31" s="3"/>
      <c r="R31" s="3"/>
      <c r="S31" s="3"/>
      <c r="T31" s="3"/>
      <c r="U31" s="2">
        <f>U33/0.15-U33</f>
        <v>22666.666666666668</v>
      </c>
      <c r="V31" s="2">
        <f>V33/0.3-V33</f>
        <v>21000</v>
      </c>
    </row>
    <row r="32" spans="1:26" x14ac:dyDescent="0.2">
      <c r="A32" s="1"/>
      <c r="B32" s="2" t="s">
        <v>133</v>
      </c>
      <c r="P32" s="3"/>
      <c r="Q32" s="3"/>
      <c r="R32" s="3"/>
      <c r="S32" s="3"/>
      <c r="T32" s="3"/>
      <c r="U32" s="7">
        <f>U37/U31</f>
        <v>0.36242647058823529</v>
      </c>
      <c r="V32" s="7">
        <f>V37/V31</f>
        <v>0.61904761904761907</v>
      </c>
      <c r="W32" s="7"/>
      <c r="X32" s="7"/>
      <c r="Y32" s="7"/>
      <c r="Z32" s="7"/>
    </row>
    <row r="33" spans="1:26" x14ac:dyDescent="0.2">
      <c r="A33" s="1"/>
      <c r="B33" s="2" t="s">
        <v>109</v>
      </c>
      <c r="P33" s="3"/>
      <c r="Q33" s="3"/>
      <c r="R33" s="3"/>
      <c r="S33" s="3"/>
      <c r="T33" s="3"/>
      <c r="U33" s="2">
        <v>4000</v>
      </c>
      <c r="V33" s="2">
        <v>9000</v>
      </c>
    </row>
    <row r="34" spans="1:26" x14ac:dyDescent="0.2">
      <c r="A34" s="1"/>
      <c r="B34" s="2" t="s">
        <v>131</v>
      </c>
      <c r="P34" s="3"/>
      <c r="Q34" s="3"/>
      <c r="R34" s="3"/>
      <c r="S34" s="3"/>
      <c r="T34" s="3"/>
      <c r="U34" s="7">
        <v>3.5</v>
      </c>
      <c r="V34" s="7">
        <v>3</v>
      </c>
      <c r="W34" s="7"/>
      <c r="X34" s="7"/>
      <c r="Y34" s="7"/>
      <c r="Z34" s="7"/>
    </row>
    <row r="35" spans="1:26" x14ac:dyDescent="0.2">
      <c r="A35" s="1"/>
      <c r="P35" s="3"/>
      <c r="Q35" s="3"/>
      <c r="R35" s="3"/>
      <c r="S35" s="3"/>
      <c r="T35" s="3"/>
    </row>
    <row r="36" spans="1:26" x14ac:dyDescent="0.2">
      <c r="A36" s="1"/>
      <c r="B36" s="2" t="s">
        <v>130</v>
      </c>
      <c r="I36" s="5"/>
      <c r="P36" s="3"/>
      <c r="Q36" s="3"/>
      <c r="R36" s="3"/>
      <c r="S36" s="3"/>
      <c r="T36" s="3"/>
      <c r="U36" s="2">
        <f>U34*U33</f>
        <v>14000</v>
      </c>
      <c r="V36" s="2">
        <f>V34*V33</f>
        <v>27000</v>
      </c>
    </row>
    <row r="37" spans="1:26" x14ac:dyDescent="0.2">
      <c r="A37" s="8"/>
      <c r="B37" s="2" t="s">
        <v>99</v>
      </c>
      <c r="U37" s="2">
        <f>U39-U36</f>
        <v>8215</v>
      </c>
      <c r="V37" s="2">
        <f>V39-V36</f>
        <v>13000</v>
      </c>
    </row>
    <row r="38" spans="1:26" s="8" customFormat="1" x14ac:dyDescent="0.2">
      <c r="B38" s="2"/>
      <c r="V38" s="2"/>
      <c r="W38" s="2"/>
      <c r="X38" s="2"/>
      <c r="Y38" s="2"/>
      <c r="Z38" s="2"/>
    </row>
    <row r="39" spans="1:26" s="8" customFormat="1" x14ac:dyDescent="0.2">
      <c r="B39" s="8" t="s">
        <v>6</v>
      </c>
      <c r="C39" s="2">
        <v>2119.6</v>
      </c>
      <c r="D39" s="2">
        <v>3664.9</v>
      </c>
      <c r="E39" s="2">
        <v>3850</v>
      </c>
      <c r="F39" s="2">
        <v>5308.2</v>
      </c>
      <c r="G39" s="2">
        <v>5937</v>
      </c>
      <c r="H39" s="2">
        <v>5678</v>
      </c>
      <c r="I39" s="2">
        <v>4600</v>
      </c>
      <c r="J39" s="2">
        <v>6000</v>
      </c>
      <c r="K39" s="2">
        <f>J39*1.2</f>
        <v>7200</v>
      </c>
      <c r="L39" s="2">
        <f>K39*1.03</f>
        <v>7416</v>
      </c>
      <c r="M39" s="2">
        <f>L39*1.03</f>
        <v>7638.4800000000005</v>
      </c>
      <c r="N39" s="2">
        <f>M39*1.4</f>
        <v>10693.871999999999</v>
      </c>
      <c r="O39" s="2">
        <f>SUM(K39:N39)</f>
        <v>32948.351999999999</v>
      </c>
      <c r="P39" s="2">
        <v>3339.3</v>
      </c>
      <c r="Q39" s="2">
        <v>3557.4</v>
      </c>
      <c r="R39" s="2">
        <v>5196.1000000000004</v>
      </c>
      <c r="S39" s="2">
        <v>7123.4</v>
      </c>
      <c r="T39" s="2">
        <v>14989.2</v>
      </c>
      <c r="U39" s="2">
        <f>SUM(G39:J39)</f>
        <v>22215</v>
      </c>
      <c r="V39" s="2">
        <v>40000</v>
      </c>
      <c r="W39" s="2">
        <f>V39*1.1</f>
        <v>44000</v>
      </c>
      <c r="X39" s="2">
        <f t="shared" ref="X39:Z39" si="14">W39*1.1</f>
        <v>48400.000000000007</v>
      </c>
      <c r="Y39" s="2">
        <f t="shared" si="14"/>
        <v>53240.000000000015</v>
      </c>
      <c r="Z39" s="2">
        <f t="shared" si="14"/>
        <v>58564.000000000022</v>
      </c>
    </row>
    <row r="40" spans="1:26" x14ac:dyDescent="0.2">
      <c r="B40" s="2" t="s">
        <v>20</v>
      </c>
      <c r="C40" s="2">
        <v>353.6</v>
      </c>
      <c r="D40" s="2">
        <v>3100.6</v>
      </c>
      <c r="E40" s="2">
        <v>3252.7</v>
      </c>
      <c r="F40" s="2">
        <v>4711.8999999999996</v>
      </c>
      <c r="G40" s="2">
        <v>5161.6000000000004</v>
      </c>
      <c r="H40" s="2">
        <v>5007.8999999999996</v>
      </c>
      <c r="I40" s="2">
        <v>4159</v>
      </c>
      <c r="J40" s="2">
        <f>J39*(1-J58)</f>
        <v>5280</v>
      </c>
      <c r="K40" s="2">
        <f>K39*(1-K58)</f>
        <v>6336</v>
      </c>
      <c r="L40" s="2">
        <f>L39*(1-L58)</f>
        <v>6526.08</v>
      </c>
      <c r="M40" s="2">
        <f>M39*(1-M58)</f>
        <v>6721.8624000000009</v>
      </c>
      <c r="N40" s="2">
        <f>N39*(1-N58)</f>
        <v>9410.60736</v>
      </c>
      <c r="P40" s="2">
        <v>2813.1</v>
      </c>
      <c r="Q40" s="2">
        <v>3022.9</v>
      </c>
      <c r="R40" s="2">
        <v>4396.1000000000004</v>
      </c>
      <c r="S40" s="2">
        <v>5840.4</v>
      </c>
      <c r="T40" s="2">
        <v>12927.8</v>
      </c>
      <c r="U40" s="2">
        <f>SUM(G40:J40)</f>
        <v>19608.5</v>
      </c>
      <c r="V40" s="2">
        <f>V39*(1-V58)</f>
        <v>35000</v>
      </c>
      <c r="W40" s="2">
        <f>W39*(1-W58)</f>
        <v>38445</v>
      </c>
      <c r="X40" s="2">
        <f>X39*(1-X58)</f>
        <v>42228.395000000004</v>
      </c>
      <c r="Y40" s="2">
        <f>Y39*(1-Y58)</f>
        <v>46383.346845000015</v>
      </c>
      <c r="Z40" s="2">
        <f>Z39*(1-Z58)</f>
        <v>50946.258344795016</v>
      </c>
    </row>
    <row r="41" spans="1:26" x14ac:dyDescent="0.2">
      <c r="B41" s="2" t="s">
        <v>21</v>
      </c>
      <c r="C41" s="2">
        <f t="shared" ref="C41:N41" si="15">C39-C40</f>
        <v>1766</v>
      </c>
      <c r="D41" s="2">
        <f t="shared" si="15"/>
        <v>564.30000000000018</v>
      </c>
      <c r="E41" s="2">
        <f t="shared" si="15"/>
        <v>597.30000000000018</v>
      </c>
      <c r="F41" s="2">
        <f t="shared" si="15"/>
        <v>596.30000000000018</v>
      </c>
      <c r="G41" s="2">
        <f t="shared" si="15"/>
        <v>775.39999999999964</v>
      </c>
      <c r="H41" s="2">
        <f t="shared" si="15"/>
        <v>670.10000000000036</v>
      </c>
      <c r="I41" s="2">
        <f t="shared" si="15"/>
        <v>441</v>
      </c>
      <c r="J41" s="2">
        <f t="shared" si="15"/>
        <v>720</v>
      </c>
      <c r="K41" s="2">
        <f t="shared" si="15"/>
        <v>864</v>
      </c>
      <c r="L41" s="2">
        <f t="shared" si="15"/>
        <v>889.92000000000007</v>
      </c>
      <c r="M41" s="2">
        <f t="shared" si="15"/>
        <v>916.61759999999958</v>
      </c>
      <c r="N41" s="2">
        <f t="shared" si="15"/>
        <v>1283.2646399999994</v>
      </c>
      <c r="P41" s="2">
        <f t="shared" ref="P41:V41" si="16">P39-P40</f>
        <v>526.20000000000027</v>
      </c>
      <c r="Q41" s="2">
        <f t="shared" si="16"/>
        <v>534.5</v>
      </c>
      <c r="R41" s="2">
        <f t="shared" si="16"/>
        <v>800</v>
      </c>
      <c r="S41" s="2">
        <f t="shared" si="16"/>
        <v>1283</v>
      </c>
      <c r="T41" s="2">
        <f t="shared" si="16"/>
        <v>2061.4000000000015</v>
      </c>
      <c r="U41" s="2">
        <f t="shared" si="16"/>
        <v>2606.5</v>
      </c>
      <c r="V41" s="2">
        <f t="shared" si="16"/>
        <v>5000</v>
      </c>
      <c r="W41" s="2">
        <f t="shared" ref="W41:Z41" si="17">W39-W40</f>
        <v>5555</v>
      </c>
      <c r="X41" s="2">
        <f t="shared" si="17"/>
        <v>6171.6050000000032</v>
      </c>
      <c r="Y41" s="2">
        <f t="shared" si="17"/>
        <v>6856.653155</v>
      </c>
      <c r="Z41" s="2">
        <f t="shared" si="17"/>
        <v>7617.7416552050054</v>
      </c>
    </row>
    <row r="42" spans="1:26" x14ac:dyDescent="0.2">
      <c r="B42" s="2" t="s">
        <v>10</v>
      </c>
      <c r="C42" s="2">
        <v>111</v>
      </c>
      <c r="D42" s="2">
        <v>108.8</v>
      </c>
      <c r="E42" s="2">
        <v>116.2</v>
      </c>
      <c r="F42" s="2">
        <v>126.9</v>
      </c>
      <c r="G42" s="2">
        <v>132.19999999999999</v>
      </c>
      <c r="H42" s="2">
        <v>158.19999999999999</v>
      </c>
      <c r="I42" s="2">
        <v>162.9</v>
      </c>
      <c r="J42" s="2">
        <f>I42*(1+J56)</f>
        <v>212.47826086956522</v>
      </c>
      <c r="K42" s="2">
        <f t="shared" ref="K42:L42" si="18">J42*1.01</f>
        <v>214.60304347826087</v>
      </c>
      <c r="L42" s="2">
        <f t="shared" si="18"/>
        <v>216.74907391304347</v>
      </c>
      <c r="M42" s="2">
        <f t="shared" ref="M42" si="19">L42*1.01</f>
        <v>218.91656465217392</v>
      </c>
      <c r="N42" s="2">
        <f t="shared" ref="N42" si="20">M42*1.01</f>
        <v>221.10573029869565</v>
      </c>
      <c r="P42" s="2">
        <v>221.5</v>
      </c>
      <c r="Q42" s="2">
        <v>224.4</v>
      </c>
      <c r="R42" s="2">
        <v>272.3</v>
      </c>
      <c r="S42" s="2">
        <v>307.26</v>
      </c>
      <c r="T42" s="2">
        <v>463.5</v>
      </c>
      <c r="U42" s="2">
        <f>SUM(G42:J42)</f>
        <v>665.7782608695652</v>
      </c>
      <c r="V42" s="2">
        <f t="shared" ref="V42:Z42" si="21">U42*(1+V55)</f>
        <v>1198.7904764700702</v>
      </c>
      <c r="W42" s="2">
        <f t="shared" si="21"/>
        <v>1318.6695241170773</v>
      </c>
      <c r="X42" s="2">
        <f t="shared" si="21"/>
        <v>1450.5364765287852</v>
      </c>
      <c r="Y42" s="2">
        <f t="shared" si="21"/>
        <v>1595.5901241816639</v>
      </c>
      <c r="Z42" s="2">
        <f t="shared" si="21"/>
        <v>1755.1491365998304</v>
      </c>
    </row>
    <row r="43" spans="1:26" x14ac:dyDescent="0.2">
      <c r="B43" s="2" t="s">
        <v>23</v>
      </c>
      <c r="C43" s="2">
        <v>37.200000000000003</v>
      </c>
      <c r="D43" s="2">
        <v>46.8</v>
      </c>
      <c r="E43" s="2">
        <v>49.7</v>
      </c>
      <c r="F43" s="2">
        <v>55.7</v>
      </c>
      <c r="G43" s="2">
        <v>68.8</v>
      </c>
      <c r="H43" s="2">
        <v>79.5</v>
      </c>
      <c r="I43" s="2">
        <v>60</v>
      </c>
      <c r="J43" s="2">
        <f t="shared" ref="J43:L43" si="22">I43*(1+J56)</f>
        <v>78.260869565217391</v>
      </c>
      <c r="K43" s="2">
        <f t="shared" si="22"/>
        <v>93.91304347826086</v>
      </c>
      <c r="L43" s="2">
        <f t="shared" si="22"/>
        <v>96.730434782608683</v>
      </c>
      <c r="M43" s="2">
        <f t="shared" ref="M43" si="23">L43*(1+M56)</f>
        <v>99.632347826086942</v>
      </c>
      <c r="N43" s="2">
        <f t="shared" ref="N43" si="24">M43*(1+N56)</f>
        <v>139.48528695652172</v>
      </c>
      <c r="P43" s="2">
        <v>85.1</v>
      </c>
      <c r="Q43" s="2">
        <v>85.7</v>
      </c>
      <c r="R43" s="2">
        <v>90.1</v>
      </c>
      <c r="S43" s="2">
        <v>115</v>
      </c>
      <c r="T43" s="2">
        <v>189.7</v>
      </c>
      <c r="U43" s="2">
        <f>SUM(G43:J43)</f>
        <v>286.56086956521739</v>
      </c>
      <c r="V43" s="2">
        <f t="shared" ref="V43:Z43" si="25">U43*(1+V55)</f>
        <v>515.97725782618477</v>
      </c>
      <c r="W43" s="2">
        <f t="shared" si="25"/>
        <v>567.57498360880334</v>
      </c>
      <c r="X43" s="2">
        <f t="shared" si="25"/>
        <v>624.33248196968373</v>
      </c>
      <c r="Y43" s="2">
        <f t="shared" si="25"/>
        <v>686.76573016665213</v>
      </c>
      <c r="Z43" s="2">
        <f t="shared" si="25"/>
        <v>755.44230318331745</v>
      </c>
    </row>
    <row r="44" spans="1:26" x14ac:dyDescent="0.2">
      <c r="B44" s="2" t="s">
        <v>24</v>
      </c>
      <c r="C44" s="2">
        <v>33.9</v>
      </c>
      <c r="D44" s="2">
        <v>37.200000000000003</v>
      </c>
      <c r="E44" s="2">
        <v>53.1</v>
      </c>
      <c r="F44" s="2">
        <v>70.400000000000006</v>
      </c>
      <c r="G44" s="2">
        <v>65.2</v>
      </c>
      <c r="H44" s="2">
        <v>63.6</v>
      </c>
      <c r="I44" s="2">
        <v>70.599999999999994</v>
      </c>
      <c r="J44" s="2">
        <f t="shared" ref="J44:L44" si="26">I44*(1+J56)</f>
        <v>92.086956521739125</v>
      </c>
      <c r="K44" s="2">
        <f t="shared" si="26"/>
        <v>110.50434782608694</v>
      </c>
      <c r="L44" s="2">
        <f t="shared" si="26"/>
        <v>113.81947826086956</v>
      </c>
      <c r="M44" s="2">
        <f t="shared" ref="M44" si="27">L44*(1+M56)</f>
        <v>117.23406260869565</v>
      </c>
      <c r="N44" s="2">
        <f t="shared" ref="N44" si="28">M44*(1+N56)</f>
        <v>164.1276876521739</v>
      </c>
      <c r="P44" s="2">
        <v>134</v>
      </c>
      <c r="Q44" s="2">
        <v>100.5</v>
      </c>
      <c r="R44" s="2">
        <v>102.4</v>
      </c>
      <c r="S44" s="2">
        <v>99.5</v>
      </c>
      <c r="T44" s="2">
        <v>197.3</v>
      </c>
      <c r="U44" s="2">
        <f>SUM(G44:J44)</f>
        <v>291.4869565217391</v>
      </c>
      <c r="V44" s="2">
        <f t="shared" ref="V44:Z44" si="29">U44*(1+V55)</f>
        <v>524.84709704567024</v>
      </c>
      <c r="W44" s="2">
        <f t="shared" si="29"/>
        <v>577.33180675023732</v>
      </c>
      <c r="X44" s="2">
        <f t="shared" si="29"/>
        <v>635.06498742526105</v>
      </c>
      <c r="Y44" s="2">
        <f t="shared" si="29"/>
        <v>698.57148616778716</v>
      </c>
      <c r="Z44" s="2">
        <f t="shared" si="29"/>
        <v>768.42863478456593</v>
      </c>
    </row>
    <row r="45" spans="1:26" x14ac:dyDescent="0.2">
      <c r="B45" s="2" t="s">
        <v>25</v>
      </c>
      <c r="C45" s="2">
        <f>SUM(C42:C44)</f>
        <v>182.1</v>
      </c>
      <c r="D45" s="2">
        <f t="shared" ref="D45:F45" si="30">SUM(D42:D44)</f>
        <v>192.8</v>
      </c>
      <c r="E45" s="2">
        <f t="shared" si="30"/>
        <v>219</v>
      </c>
      <c r="F45" s="2">
        <f t="shared" si="30"/>
        <v>253.00000000000003</v>
      </c>
      <c r="G45" s="2">
        <f>SUM(G42:G44)</f>
        <v>266.2</v>
      </c>
      <c r="H45" s="2">
        <f>SUM(H42:H44)</f>
        <v>301.3</v>
      </c>
      <c r="I45" s="2">
        <f t="shared" ref="I45:L45" si="31">SUM(I42:I44)</f>
        <v>293.5</v>
      </c>
      <c r="J45" s="2">
        <f t="shared" si="31"/>
        <v>382.82608695652175</v>
      </c>
      <c r="K45" s="2">
        <f t="shared" si="31"/>
        <v>419.02043478260867</v>
      </c>
      <c r="L45" s="2">
        <f t="shared" si="31"/>
        <v>427.29898695652173</v>
      </c>
      <c r="M45" s="2">
        <f t="shared" ref="M45:N45" si="32">SUM(M42:M44)</f>
        <v>435.78297508695647</v>
      </c>
      <c r="N45" s="2">
        <f t="shared" si="32"/>
        <v>524.71870490739127</v>
      </c>
      <c r="P45" s="2">
        <f t="shared" ref="P45:R45" si="33">SUM(P42:P44)</f>
        <v>440.6</v>
      </c>
      <c r="Q45" s="2">
        <f t="shared" si="33"/>
        <v>410.6</v>
      </c>
      <c r="R45" s="2">
        <f t="shared" si="33"/>
        <v>464.79999999999995</v>
      </c>
      <c r="S45" s="2">
        <f t="shared" ref="S45:T45" si="34">SUM(S42:S44)</f>
        <v>521.76</v>
      </c>
      <c r="T45" s="2">
        <f t="shared" si="34"/>
        <v>850.5</v>
      </c>
      <c r="U45" s="2">
        <f t="shared" ref="U45:Z45" si="35">SUM(U42:U44)</f>
        <v>1243.8260869565217</v>
      </c>
      <c r="V45" s="2">
        <f t="shared" si="35"/>
        <v>2239.6148313419253</v>
      </c>
      <c r="W45" s="2">
        <f t="shared" si="35"/>
        <v>2463.5763144761181</v>
      </c>
      <c r="X45" s="2">
        <f t="shared" si="35"/>
        <v>2709.9339459237299</v>
      </c>
      <c r="Y45" s="2">
        <f t="shared" si="35"/>
        <v>2980.927340516103</v>
      </c>
      <c r="Z45" s="2">
        <f t="shared" si="35"/>
        <v>3279.0200745677139</v>
      </c>
    </row>
    <row r="46" spans="1:26" s="8" customFormat="1" x14ac:dyDescent="0.2">
      <c r="B46" s="8" t="s">
        <v>26</v>
      </c>
      <c r="C46" s="8">
        <f>C41-C45</f>
        <v>1583.9</v>
      </c>
      <c r="D46" s="8">
        <f t="shared" ref="D46:F46" si="36">D41-D45</f>
        <v>371.50000000000017</v>
      </c>
      <c r="E46" s="8">
        <f t="shared" si="36"/>
        <v>378.30000000000018</v>
      </c>
      <c r="F46" s="8">
        <f t="shared" si="36"/>
        <v>343.30000000000018</v>
      </c>
      <c r="G46" s="8">
        <f>G41-G45</f>
        <v>509.19999999999965</v>
      </c>
      <c r="H46" s="8">
        <f>H41-H45</f>
        <v>368.80000000000035</v>
      </c>
      <c r="I46" s="8">
        <f t="shared" ref="I46:L46" si="37">I41-I45</f>
        <v>147.5</v>
      </c>
      <c r="J46" s="8">
        <f t="shared" si="37"/>
        <v>337.17391304347825</v>
      </c>
      <c r="K46" s="8">
        <f t="shared" si="37"/>
        <v>444.97956521739133</v>
      </c>
      <c r="L46" s="8">
        <f t="shared" si="37"/>
        <v>462.62101304347834</v>
      </c>
      <c r="M46" s="8">
        <f t="shared" ref="M46:N46" si="38">M41-M45</f>
        <v>480.83462491304311</v>
      </c>
      <c r="N46" s="8">
        <f t="shared" si="38"/>
        <v>758.54593509260815</v>
      </c>
      <c r="P46" s="8">
        <f t="shared" ref="P46:R46" si="39">P41-P45</f>
        <v>85.60000000000025</v>
      </c>
      <c r="Q46" s="8">
        <f t="shared" si="39"/>
        <v>123.89999999999998</v>
      </c>
      <c r="R46" s="8">
        <f t="shared" si="39"/>
        <v>335.20000000000005</v>
      </c>
      <c r="S46" s="8">
        <f t="shared" ref="S46:T46" si="40">S41-S45</f>
        <v>761.24</v>
      </c>
      <c r="T46" s="8">
        <f t="shared" si="40"/>
        <v>1210.9000000000015</v>
      </c>
      <c r="U46" s="8">
        <f t="shared" ref="U46:V46" si="41">U41-U45</f>
        <v>1362.6739130434783</v>
      </c>
      <c r="V46" s="8">
        <f t="shared" si="41"/>
        <v>2760.3851686580747</v>
      </c>
      <c r="W46" s="8">
        <f t="shared" ref="W46" si="42">W41-W45</f>
        <v>3091.4236855238819</v>
      </c>
      <c r="X46" s="8">
        <f t="shared" ref="X46" si="43">X41-X45</f>
        <v>3461.6710540762733</v>
      </c>
      <c r="Y46" s="8">
        <f t="shared" ref="Y46:Z46" si="44">Y41-Y45</f>
        <v>3875.725814483897</v>
      </c>
      <c r="Z46" s="8">
        <f t="shared" si="44"/>
        <v>4338.7215806372915</v>
      </c>
    </row>
    <row r="47" spans="1:26" x14ac:dyDescent="0.2">
      <c r="B47" s="2" t="s">
        <v>31</v>
      </c>
      <c r="C47" s="2">
        <v>6.6</v>
      </c>
      <c r="D47" s="2">
        <v>-8</v>
      </c>
      <c r="E47" s="2">
        <v>10</v>
      </c>
      <c r="F47" s="2">
        <v>14</v>
      </c>
      <c r="G47" s="2">
        <v>7.2</v>
      </c>
      <c r="H47" s="2">
        <v>12.9</v>
      </c>
      <c r="I47" s="2">
        <v>-18.3</v>
      </c>
      <c r="P47" s="2">
        <v>1.4</v>
      </c>
      <c r="Q47" s="2">
        <v>-2.8</v>
      </c>
      <c r="R47" s="2">
        <v>8.1</v>
      </c>
      <c r="T47" s="2">
        <v>22.7</v>
      </c>
      <c r="U47" s="2">
        <f>SUM(G47:J47)</f>
        <v>1.8000000000000007</v>
      </c>
    </row>
    <row r="48" spans="1:26" x14ac:dyDescent="0.2">
      <c r="B48" s="2" t="s">
        <v>27</v>
      </c>
      <c r="C48" s="2">
        <v>-1.8</v>
      </c>
      <c r="D48" s="2">
        <v>-8</v>
      </c>
      <c r="E48" s="2">
        <v>-6.3</v>
      </c>
      <c r="F48" s="2">
        <v>-3.1</v>
      </c>
      <c r="G48" s="2">
        <v>-17.3</v>
      </c>
      <c r="H48" s="2">
        <v>-6.5</v>
      </c>
      <c r="I48" s="2">
        <v>-13.4</v>
      </c>
      <c r="J48" s="2">
        <f>I62*$AC$54/4</f>
        <v>-0.40900000000000092</v>
      </c>
      <c r="K48" s="2">
        <f>J62*$AC$54/4</f>
        <v>0.93805965217391218</v>
      </c>
      <c r="L48" s="2">
        <f>K62*$AC$54/4</f>
        <v>2.721730151652173</v>
      </c>
      <c r="M48" s="2">
        <f>L62*$AC$54/4</f>
        <v>4.5831011244326954</v>
      </c>
      <c r="N48" s="2">
        <f>M62*$AC$54/4</f>
        <v>6.5247720285825981</v>
      </c>
      <c r="P48" s="2">
        <v>-2.2000000000000002</v>
      </c>
      <c r="Q48" s="2">
        <v>-2.5</v>
      </c>
      <c r="R48" s="2">
        <v>-6.4</v>
      </c>
      <c r="T48" s="2">
        <v>-19.350000000000001</v>
      </c>
      <c r="U48" s="2">
        <f>SUM(G48:J48)</f>
        <v>-37.609000000000002</v>
      </c>
      <c r="V48" s="2">
        <f>U62*$AC$54</f>
        <v>3.7522386086956487</v>
      </c>
      <c r="W48" s="2">
        <f>V62*$AC$54</f>
        <v>47.978437124963975</v>
      </c>
      <c r="X48" s="2">
        <f>W62*$AC$54</f>
        <v>98.208871087345514</v>
      </c>
      <c r="Y48" s="2">
        <f>X62*$AC$54</f>
        <v>155.1669498899634</v>
      </c>
      <c r="Z48" s="2">
        <f>Y62*$AC$54</f>
        <v>219.66123411994516</v>
      </c>
    </row>
    <row r="49" spans="2:92" x14ac:dyDescent="0.2">
      <c r="B49" s="2" t="s">
        <v>28</v>
      </c>
      <c r="C49" s="2">
        <f>C46+SUM(C47:C48)</f>
        <v>1588.7</v>
      </c>
      <c r="D49" s="2">
        <f t="shared" ref="D49:F49" si="45">D46+SUM(D47:D48)</f>
        <v>355.50000000000017</v>
      </c>
      <c r="E49" s="2">
        <f t="shared" si="45"/>
        <v>382.00000000000017</v>
      </c>
      <c r="F49" s="2">
        <f t="shared" si="45"/>
        <v>354.20000000000016</v>
      </c>
      <c r="G49" s="2">
        <f>G46+SUM(G47:G48)</f>
        <v>499.09999999999962</v>
      </c>
      <c r="H49" s="2">
        <f>H46+SUM(H47:H48)</f>
        <v>375.20000000000033</v>
      </c>
      <c r="I49" s="2">
        <f t="shared" ref="I49:L49" si="46">I46+SUM(I47:I48)</f>
        <v>115.8</v>
      </c>
      <c r="J49" s="2">
        <f t="shared" si="46"/>
        <v>336.76491304347826</v>
      </c>
      <c r="K49" s="2">
        <f t="shared" si="46"/>
        <v>445.91762486956526</v>
      </c>
      <c r="L49" s="2">
        <f t="shared" si="46"/>
        <v>465.34274319513054</v>
      </c>
      <c r="M49" s="2">
        <f t="shared" ref="M49:N49" si="47">M46+SUM(M47:M48)</f>
        <v>485.4177260374758</v>
      </c>
      <c r="N49" s="2">
        <f t="shared" si="47"/>
        <v>765.07070712119071</v>
      </c>
      <c r="P49" s="2">
        <f t="shared" ref="P49:R49" si="48">P46+SUM(P47:P48)</f>
        <v>84.800000000000253</v>
      </c>
      <c r="Q49" s="2">
        <f t="shared" si="48"/>
        <v>118.59999999999998</v>
      </c>
      <c r="R49" s="2">
        <f t="shared" si="48"/>
        <v>336.90000000000003</v>
      </c>
      <c r="S49" s="2">
        <f t="shared" ref="S49:T49" si="49">S46+SUM(S47:S48)</f>
        <v>761.24</v>
      </c>
      <c r="T49" s="2">
        <f t="shared" si="49"/>
        <v>1214.2500000000014</v>
      </c>
      <c r="U49" s="2">
        <f t="shared" ref="U49:V49" si="50">U46+SUM(U47:U48)</f>
        <v>1326.8649130434783</v>
      </c>
      <c r="V49" s="2">
        <f t="shared" si="50"/>
        <v>2764.1374072667704</v>
      </c>
      <c r="W49" s="2">
        <f t="shared" ref="W49" si="51">W46+SUM(W47:W48)</f>
        <v>3139.4021226488458</v>
      </c>
      <c r="X49" s="2">
        <f t="shared" ref="X49" si="52">X46+SUM(X47:X48)</f>
        <v>3559.8799251636187</v>
      </c>
      <c r="Y49" s="2">
        <f t="shared" ref="Y49:Z49" si="53">Y46+SUM(Y47:Y48)</f>
        <v>4030.8927643738602</v>
      </c>
      <c r="Z49" s="2">
        <f t="shared" si="53"/>
        <v>4558.3828147572367</v>
      </c>
    </row>
    <row r="50" spans="2:92" x14ac:dyDescent="0.2">
      <c r="B50" s="2" t="s">
        <v>29</v>
      </c>
      <c r="C50" s="2">
        <v>20.2</v>
      </c>
      <c r="D50" s="2">
        <v>-61.5</v>
      </c>
      <c r="E50" s="2">
        <v>-20</v>
      </c>
      <c r="F50" s="2">
        <v>1</v>
      </c>
      <c r="G50" s="2">
        <v>74.7</v>
      </c>
      <c r="H50" s="2">
        <v>56.9</v>
      </c>
      <c r="I50" s="2">
        <v>5.8</v>
      </c>
      <c r="J50" s="2">
        <f>J49*0.2</f>
        <v>67.352982608695655</v>
      </c>
      <c r="K50" s="2">
        <f t="shared" ref="K50:N50" si="54">K49*0.2</f>
        <v>89.183524973913052</v>
      </c>
      <c r="L50" s="2">
        <f t="shared" si="54"/>
        <v>93.068548639026119</v>
      </c>
      <c r="M50" s="2">
        <f t="shared" si="54"/>
        <v>97.083545207495163</v>
      </c>
      <c r="N50" s="2">
        <f t="shared" si="54"/>
        <v>153.01414142423815</v>
      </c>
      <c r="P50" s="2">
        <v>2.9</v>
      </c>
      <c r="Q50" s="2">
        <v>6.9</v>
      </c>
      <c r="R50" s="2">
        <v>52.9</v>
      </c>
      <c r="S50" s="2">
        <v>110.6</v>
      </c>
      <c r="T50" s="2">
        <v>63.3</v>
      </c>
      <c r="U50" s="2">
        <f>SUM(G50:J50)</f>
        <v>204.75298260869567</v>
      </c>
      <c r="V50" s="2">
        <f>V49*0.2</f>
        <v>552.82748145335415</v>
      </c>
      <c r="W50" s="2">
        <f t="shared" ref="W50:Z50" si="55">W49*0.2</f>
        <v>627.88042452976924</v>
      </c>
      <c r="X50" s="2">
        <f t="shared" si="55"/>
        <v>711.97598503272377</v>
      </c>
      <c r="Y50" s="2">
        <f t="shared" si="55"/>
        <v>806.17855287477209</v>
      </c>
      <c r="Z50" s="2">
        <f t="shared" si="55"/>
        <v>911.67656295144741</v>
      </c>
    </row>
    <row r="51" spans="2:92" x14ac:dyDescent="0.2">
      <c r="B51" s="8" t="s">
        <v>7</v>
      </c>
      <c r="C51" s="8">
        <f>C49-C50</f>
        <v>1568.5</v>
      </c>
      <c r="D51" s="8">
        <f t="shared" ref="D51:F51" si="56">D49-D50</f>
        <v>417.00000000000017</v>
      </c>
      <c r="E51" s="8">
        <f t="shared" si="56"/>
        <v>402.00000000000017</v>
      </c>
      <c r="F51" s="8">
        <f t="shared" si="56"/>
        <v>353.20000000000016</v>
      </c>
      <c r="G51" s="8">
        <f>G49-G50</f>
        <v>424.39999999999964</v>
      </c>
      <c r="H51" s="8">
        <f>H49-H50</f>
        <v>318.30000000000035</v>
      </c>
      <c r="I51" s="8">
        <f>I49-I50</f>
        <v>110</v>
      </c>
      <c r="J51" s="8">
        <f>J49-J50</f>
        <v>269.41193043478262</v>
      </c>
      <c r="K51" s="8">
        <f t="shared" ref="K51:L51" si="57">K49-K50</f>
        <v>356.73409989565221</v>
      </c>
      <c r="L51" s="8">
        <f t="shared" si="57"/>
        <v>372.27419455610442</v>
      </c>
      <c r="M51" s="8">
        <f t="shared" ref="M51:N51" si="58">M49-M50</f>
        <v>388.33418082998065</v>
      </c>
      <c r="N51" s="8">
        <f t="shared" si="58"/>
        <v>612.05656569695259</v>
      </c>
      <c r="O51" s="8"/>
      <c r="P51" s="8">
        <f t="shared" ref="P51:R51" si="59">P49-P50</f>
        <v>81.900000000000247</v>
      </c>
      <c r="Q51" s="8">
        <f t="shared" si="59"/>
        <v>111.69999999999997</v>
      </c>
      <c r="R51" s="8">
        <f t="shared" si="59"/>
        <v>284.00000000000006</v>
      </c>
      <c r="S51" s="8">
        <f t="shared" ref="S51:U51" si="60">S49-S50</f>
        <v>650.64</v>
      </c>
      <c r="T51" s="8">
        <f t="shared" si="60"/>
        <v>1150.9500000000014</v>
      </c>
      <c r="U51" s="8">
        <f t="shared" si="60"/>
        <v>1122.1119304347826</v>
      </c>
      <c r="V51" s="8">
        <f>V49-V50</f>
        <v>2211.3099258134162</v>
      </c>
      <c r="W51" s="8">
        <f t="shared" ref="W51:Z51" si="61">W49-W50</f>
        <v>2511.5216981190765</v>
      </c>
      <c r="X51" s="8">
        <f t="shared" si="61"/>
        <v>2847.9039401308951</v>
      </c>
      <c r="Y51" s="8">
        <f t="shared" si="61"/>
        <v>3224.7142114990884</v>
      </c>
      <c r="Z51" s="8">
        <f t="shared" si="61"/>
        <v>3646.7062518057892</v>
      </c>
      <c r="AA51" s="8">
        <f t="shared" ref="AA51:BF51" si="62">Z51*(1+$AC$55)</f>
        <v>3719.640376841905</v>
      </c>
      <c r="AB51" s="8">
        <f t="shared" si="62"/>
        <v>3794.033184378743</v>
      </c>
      <c r="AC51" s="8">
        <f t="shared" si="62"/>
        <v>3869.9138480663178</v>
      </c>
      <c r="AD51" s="8">
        <f t="shared" si="62"/>
        <v>3947.312125027644</v>
      </c>
      <c r="AE51" s="8">
        <f t="shared" si="62"/>
        <v>4026.2583675281971</v>
      </c>
      <c r="AF51" s="8">
        <f t="shared" si="62"/>
        <v>4106.7835348787612</v>
      </c>
      <c r="AG51" s="8">
        <f t="shared" si="62"/>
        <v>4188.9192055763369</v>
      </c>
      <c r="AH51" s="8">
        <f t="shared" si="62"/>
        <v>4272.6975896878639</v>
      </c>
      <c r="AI51" s="8">
        <f t="shared" si="62"/>
        <v>4358.1515414816213</v>
      </c>
      <c r="AJ51" s="8">
        <f t="shared" si="62"/>
        <v>4445.3145723112539</v>
      </c>
      <c r="AK51" s="8">
        <f t="shared" si="62"/>
        <v>4534.2208637574786</v>
      </c>
      <c r="AL51" s="8">
        <f t="shared" si="62"/>
        <v>4624.9052810326284</v>
      </c>
      <c r="AM51" s="8">
        <f t="shared" si="62"/>
        <v>4717.4033866532809</v>
      </c>
      <c r="AN51" s="8">
        <f t="shared" si="62"/>
        <v>4811.7514543863463</v>
      </c>
      <c r="AO51" s="8">
        <f t="shared" si="62"/>
        <v>4907.9864834740729</v>
      </c>
      <c r="AP51" s="8">
        <f t="shared" si="62"/>
        <v>5006.1462131435546</v>
      </c>
      <c r="AQ51" s="8">
        <f t="shared" si="62"/>
        <v>5106.2691374064261</v>
      </c>
      <c r="AR51" s="8">
        <f t="shared" si="62"/>
        <v>5208.3945201545548</v>
      </c>
      <c r="AS51" s="8">
        <f t="shared" si="62"/>
        <v>5312.5624105576462</v>
      </c>
      <c r="AT51" s="8">
        <f t="shared" si="62"/>
        <v>5418.8136587687995</v>
      </c>
      <c r="AU51" s="8">
        <f t="shared" si="62"/>
        <v>5527.1899319441754</v>
      </c>
      <c r="AV51" s="8">
        <f t="shared" si="62"/>
        <v>5637.7337305830588</v>
      </c>
      <c r="AW51" s="8">
        <f t="shared" si="62"/>
        <v>5750.4884051947201</v>
      </c>
      <c r="AX51" s="8">
        <f t="shared" si="62"/>
        <v>5865.4981732986143</v>
      </c>
      <c r="AY51" s="8">
        <f t="shared" si="62"/>
        <v>5982.8081367645864</v>
      </c>
      <c r="AZ51" s="8">
        <f t="shared" si="62"/>
        <v>6102.4642994998785</v>
      </c>
      <c r="BA51" s="8">
        <f t="shared" si="62"/>
        <v>6224.5135854898763</v>
      </c>
      <c r="BB51" s="8">
        <f t="shared" si="62"/>
        <v>6349.0038571996738</v>
      </c>
      <c r="BC51" s="8">
        <f t="shared" si="62"/>
        <v>6475.983934343667</v>
      </c>
      <c r="BD51" s="8">
        <f t="shared" si="62"/>
        <v>6605.5036130305407</v>
      </c>
      <c r="BE51" s="8">
        <f t="shared" si="62"/>
        <v>6737.6136852911513</v>
      </c>
      <c r="BF51" s="8">
        <f t="shared" si="62"/>
        <v>6872.3659589969748</v>
      </c>
      <c r="BG51" s="8">
        <f t="shared" ref="BG51:CN51" si="63">BF51*(1+$AC$55)</f>
        <v>7009.8132781769145</v>
      </c>
      <c r="BH51" s="8">
        <f t="shared" si="63"/>
        <v>7150.0095437404525</v>
      </c>
      <c r="BI51" s="8">
        <f t="shared" si="63"/>
        <v>7293.0097346152616</v>
      </c>
      <c r="BJ51" s="8">
        <f t="shared" si="63"/>
        <v>7438.869929307567</v>
      </c>
      <c r="BK51" s="8">
        <f t="shared" si="63"/>
        <v>7587.6473278937183</v>
      </c>
      <c r="BL51" s="8">
        <f t="shared" si="63"/>
        <v>7739.4002744515928</v>
      </c>
      <c r="BM51" s="8">
        <f t="shared" si="63"/>
        <v>7894.1882799406249</v>
      </c>
      <c r="BN51" s="8">
        <f t="shared" si="63"/>
        <v>8052.0720455394376</v>
      </c>
      <c r="BO51" s="8">
        <f t="shared" si="63"/>
        <v>8213.1134864502274</v>
      </c>
      <c r="BP51" s="8">
        <f t="shared" si="63"/>
        <v>8377.3757561792318</v>
      </c>
      <c r="BQ51" s="8">
        <f t="shared" si="63"/>
        <v>8544.9232713028159</v>
      </c>
      <c r="BR51" s="8">
        <f t="shared" si="63"/>
        <v>8715.8217367288726</v>
      </c>
      <c r="BS51" s="8">
        <f t="shared" si="63"/>
        <v>8890.1381714634499</v>
      </c>
      <c r="BT51" s="8">
        <f t="shared" si="63"/>
        <v>9067.9409348927184</v>
      </c>
      <c r="BU51" s="8">
        <f t="shared" si="63"/>
        <v>9249.2997535905724</v>
      </c>
      <c r="BV51" s="8">
        <f t="shared" si="63"/>
        <v>9434.2857486623834</v>
      </c>
      <c r="BW51" s="8">
        <f t="shared" si="63"/>
        <v>9622.9714636356312</v>
      </c>
      <c r="BX51" s="8">
        <f t="shared" si="63"/>
        <v>9815.4308929083436</v>
      </c>
      <c r="BY51" s="8">
        <f t="shared" si="63"/>
        <v>10011.739510766511</v>
      </c>
      <c r="BZ51" s="8">
        <f t="shared" si="63"/>
        <v>10211.974300981841</v>
      </c>
      <c r="CA51" s="8">
        <f t="shared" si="63"/>
        <v>10416.213787001478</v>
      </c>
      <c r="CB51" s="8">
        <f t="shared" si="63"/>
        <v>10624.538062741507</v>
      </c>
      <c r="CC51" s="8">
        <f t="shared" si="63"/>
        <v>10837.028823996337</v>
      </c>
      <c r="CD51" s="8">
        <f t="shared" si="63"/>
        <v>11053.769400476265</v>
      </c>
      <c r="CE51" s="8">
        <f t="shared" si="63"/>
        <v>11274.844788485791</v>
      </c>
      <c r="CF51" s="8">
        <f t="shared" si="63"/>
        <v>11500.341684255507</v>
      </c>
      <c r="CG51" s="8">
        <f t="shared" si="63"/>
        <v>11730.348517940618</v>
      </c>
      <c r="CH51" s="8">
        <f t="shared" si="63"/>
        <v>11964.955488299431</v>
      </c>
      <c r="CI51" s="8">
        <f t="shared" si="63"/>
        <v>12204.254598065419</v>
      </c>
      <c r="CJ51" s="8">
        <f t="shared" si="63"/>
        <v>12448.339690026729</v>
      </c>
      <c r="CK51" s="8">
        <f t="shared" si="63"/>
        <v>12697.306483827264</v>
      </c>
      <c r="CL51" s="8">
        <f t="shared" si="63"/>
        <v>12951.25261350381</v>
      </c>
      <c r="CM51" s="8">
        <f t="shared" si="63"/>
        <v>13210.277665773887</v>
      </c>
      <c r="CN51" s="8">
        <f t="shared" si="63"/>
        <v>13474.483219089365</v>
      </c>
    </row>
    <row r="52" spans="2:92" x14ac:dyDescent="0.2">
      <c r="B52" s="2" t="s">
        <v>30</v>
      </c>
      <c r="C52" s="9">
        <f t="shared" ref="C52:N52" si="64">C51/C53</f>
        <v>2.9538606403013183</v>
      </c>
      <c r="D52" s="9">
        <f t="shared" si="64"/>
        <v>0.77079482439926095</v>
      </c>
      <c r="E52" s="9">
        <f t="shared" si="64"/>
        <v>0.71276595744680882</v>
      </c>
      <c r="F52" s="9">
        <f t="shared" si="64"/>
        <v>0.60170357751277714</v>
      </c>
      <c r="G52" s="9">
        <f t="shared" si="64"/>
        <v>0.71510292663118047</v>
      </c>
      <c r="H52" s="9">
        <f t="shared" si="64"/>
        <v>0.53632719497338643</v>
      </c>
      <c r="I52" s="9">
        <f t="shared" si="64"/>
        <v>0.18534712989969351</v>
      </c>
      <c r="J52" s="9">
        <f t="shared" si="64"/>
        <v>0.42899988922736088</v>
      </c>
      <c r="K52" s="9">
        <f t="shared" si="64"/>
        <v>0.56804792977014684</v>
      </c>
      <c r="L52" s="9">
        <f t="shared" si="64"/>
        <v>0.59279330343328729</v>
      </c>
      <c r="M52" s="9">
        <f t="shared" si="64"/>
        <v>0.61836652998404562</v>
      </c>
      <c r="N52" s="9">
        <f t="shared" si="64"/>
        <v>0.97461236575947863</v>
      </c>
      <c r="O52" s="9"/>
      <c r="P52" s="9">
        <f t="shared" ref="P52:Z52" si="65">P51/P53</f>
        <v>0.16058823529411814</v>
      </c>
      <c r="Q52" s="9">
        <f t="shared" si="65"/>
        <v>0.21859099804305279</v>
      </c>
      <c r="R52" s="9">
        <f t="shared" si="65"/>
        <v>0.55252918287937758</v>
      </c>
      <c r="S52" s="9" t="e">
        <f t="shared" si="65"/>
        <v>#DIV/0!</v>
      </c>
      <c r="T52" s="9">
        <f t="shared" si="65"/>
        <v>1.939320719618659</v>
      </c>
      <c r="U52" s="9">
        <f t="shared" si="65"/>
        <v>1.7868024369980615</v>
      </c>
      <c r="V52" s="9">
        <f t="shared" si="65"/>
        <v>3.5211941493844208</v>
      </c>
      <c r="W52" s="9">
        <f t="shared" si="65"/>
        <v>3.9992383728010772</v>
      </c>
      <c r="X52" s="9">
        <f t="shared" si="65"/>
        <v>4.5348788855587499</v>
      </c>
      <c r="Y52" s="9">
        <f t="shared" si="65"/>
        <v>5.1348952412405868</v>
      </c>
      <c r="Z52" s="9">
        <f t="shared" si="65"/>
        <v>5.8068570888627216</v>
      </c>
    </row>
    <row r="53" spans="2:92" x14ac:dyDescent="0.2">
      <c r="B53" s="2" t="s">
        <v>1</v>
      </c>
      <c r="C53" s="2">
        <v>531</v>
      </c>
      <c r="D53" s="2">
        <v>541</v>
      </c>
      <c r="E53" s="2">
        <v>564</v>
      </c>
      <c r="F53" s="2">
        <v>587</v>
      </c>
      <c r="G53" s="2">
        <v>593.48099999999999</v>
      </c>
      <c r="H53" s="2">
        <v>593.48099999999999</v>
      </c>
      <c r="I53" s="2">
        <v>593.48099999999999</v>
      </c>
      <c r="J53" s="2">
        <v>628</v>
      </c>
      <c r="K53" s="2">
        <v>628</v>
      </c>
      <c r="L53" s="2">
        <v>628</v>
      </c>
      <c r="M53" s="2">
        <v>628</v>
      </c>
      <c r="N53" s="2">
        <v>628</v>
      </c>
      <c r="P53" s="2">
        <v>510</v>
      </c>
      <c r="Q53" s="2">
        <v>511</v>
      </c>
      <c r="R53" s="2">
        <v>514</v>
      </c>
      <c r="T53" s="2">
        <v>593.48099999999999</v>
      </c>
      <c r="U53" s="2">
        <f>J53</f>
        <v>628</v>
      </c>
      <c r="V53" s="2">
        <v>628</v>
      </c>
      <c r="W53" s="2">
        <v>628</v>
      </c>
      <c r="X53" s="2">
        <v>628</v>
      </c>
      <c r="Y53" s="2">
        <v>628</v>
      </c>
      <c r="Z53" s="2">
        <v>628</v>
      </c>
      <c r="AA53" s="9"/>
      <c r="AB53" s="9"/>
      <c r="AC53" s="5"/>
      <c r="AD53" s="9"/>
      <c r="AE53" s="9"/>
    </row>
    <row r="54" spans="2:92" x14ac:dyDescent="0.2">
      <c r="AB54" s="2" t="s">
        <v>38</v>
      </c>
      <c r="AC54" s="5">
        <v>0.02</v>
      </c>
    </row>
    <row r="55" spans="2:92" x14ac:dyDescent="0.2">
      <c r="B55" s="8" t="s">
        <v>22</v>
      </c>
      <c r="G55" s="10">
        <f t="shared" ref="G55:N55" si="66">G39/C39-1</f>
        <v>1.8010001887148519</v>
      </c>
      <c r="H55" s="10">
        <f t="shared" si="66"/>
        <v>0.54929193156702771</v>
      </c>
      <c r="I55" s="10">
        <f t="shared" si="66"/>
        <v>0.19480519480519476</v>
      </c>
      <c r="J55" s="10">
        <f t="shared" si="66"/>
        <v>0.13032666440601348</v>
      </c>
      <c r="K55" s="10">
        <f t="shared" si="66"/>
        <v>0.21273370389085389</v>
      </c>
      <c r="L55" s="10">
        <f t="shared" si="66"/>
        <v>0.30609369496301508</v>
      </c>
      <c r="M55" s="10">
        <f t="shared" si="66"/>
        <v>0.66053913043478274</v>
      </c>
      <c r="N55" s="10">
        <f t="shared" si="66"/>
        <v>0.7823119999999999</v>
      </c>
      <c r="O55" s="5"/>
      <c r="P55" s="5"/>
      <c r="Q55" s="10">
        <f t="shared" ref="Q55:V55" si="67">Q39/P39-1</f>
        <v>6.5313089569670302E-2</v>
      </c>
      <c r="R55" s="10">
        <f t="shared" si="67"/>
        <v>0.46064541519086988</v>
      </c>
      <c r="S55" s="10">
        <f t="shared" si="67"/>
        <v>0.37091279998460358</v>
      </c>
      <c r="T55" s="10">
        <f t="shared" si="67"/>
        <v>1.1042198949939639</v>
      </c>
      <c r="U55" s="10">
        <f t="shared" si="67"/>
        <v>0.48206708830357847</v>
      </c>
      <c r="V55" s="10">
        <f t="shared" si="67"/>
        <v>0.80058519018681062</v>
      </c>
      <c r="W55" s="10">
        <f t="shared" ref="W55:Z55" si="68">W39/V39-1</f>
        <v>0.10000000000000009</v>
      </c>
      <c r="X55" s="10">
        <f t="shared" si="68"/>
        <v>0.10000000000000009</v>
      </c>
      <c r="Y55" s="10">
        <f t="shared" si="68"/>
        <v>0.10000000000000009</v>
      </c>
      <c r="Z55" s="10">
        <f t="shared" si="68"/>
        <v>0.10000000000000009</v>
      </c>
      <c r="AA55" s="10"/>
      <c r="AB55" s="2" t="s">
        <v>11</v>
      </c>
      <c r="AC55" s="5">
        <v>0.02</v>
      </c>
      <c r="AD55" s="10"/>
      <c r="AE55" s="10"/>
    </row>
    <row r="56" spans="2:92" x14ac:dyDescent="0.2">
      <c r="B56" s="2" t="s">
        <v>36</v>
      </c>
      <c r="D56" s="5">
        <f t="shared" ref="D56:N56" si="69">D39/C39-1</f>
        <v>0.72905265144366882</v>
      </c>
      <c r="E56" s="5">
        <f t="shared" si="69"/>
        <v>5.0506152964610251E-2</v>
      </c>
      <c r="F56" s="5">
        <f t="shared" si="69"/>
        <v>0.37875324675324662</v>
      </c>
      <c r="G56" s="5">
        <f t="shared" si="69"/>
        <v>0.11845823442975023</v>
      </c>
      <c r="H56" s="5">
        <f t="shared" si="69"/>
        <v>-4.362472629274039E-2</v>
      </c>
      <c r="I56" s="5">
        <f t="shared" si="69"/>
        <v>-0.18985558295174354</v>
      </c>
      <c r="J56" s="5">
        <f t="shared" si="69"/>
        <v>0.30434782608695654</v>
      </c>
      <c r="K56" s="5">
        <f t="shared" si="69"/>
        <v>0.19999999999999996</v>
      </c>
      <c r="L56" s="5">
        <f t="shared" si="69"/>
        <v>3.0000000000000027E-2</v>
      </c>
      <c r="M56" s="5">
        <f t="shared" si="69"/>
        <v>3.0000000000000027E-2</v>
      </c>
      <c r="N56" s="5">
        <f t="shared" si="69"/>
        <v>0.39999999999999991</v>
      </c>
      <c r="O56" s="5"/>
      <c r="P56" s="5"/>
      <c r="Q56" s="5"/>
      <c r="AB56" s="2" t="s">
        <v>9</v>
      </c>
      <c r="AC56" s="6">
        <v>9.5000000000000001E-2</v>
      </c>
    </row>
    <row r="57" spans="2:92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11"/>
      <c r="U57" s="5"/>
      <c r="V57" s="5"/>
      <c r="W57" s="5"/>
      <c r="X57" s="5"/>
      <c r="Y57" s="5"/>
      <c r="Z57" s="5"/>
      <c r="AA57" s="5"/>
      <c r="AB57" s="8" t="s">
        <v>12</v>
      </c>
      <c r="AC57" s="8">
        <f>NPV(AC56,V51:CN51)+Main!N6-Main!N7</f>
        <v>41443.47135316323</v>
      </c>
      <c r="AD57" s="5"/>
      <c r="AE57" s="5"/>
    </row>
    <row r="58" spans="2:92" x14ac:dyDescent="0.2">
      <c r="B58" s="8" t="s">
        <v>8</v>
      </c>
      <c r="C58" s="10">
        <f t="shared" ref="C58:I58" si="70">C41/C39</f>
        <v>0.83317607095678436</v>
      </c>
      <c r="D58" s="10">
        <f t="shared" si="70"/>
        <v>0.15397418756309864</v>
      </c>
      <c r="E58" s="10">
        <f t="shared" si="70"/>
        <v>0.15514285714285719</v>
      </c>
      <c r="F58" s="10">
        <f t="shared" si="70"/>
        <v>0.11233563166421766</v>
      </c>
      <c r="G58" s="10">
        <f t="shared" si="70"/>
        <v>0.13060468249957885</v>
      </c>
      <c r="H58" s="10">
        <f t="shared" si="70"/>
        <v>0.11801690736174716</v>
      </c>
      <c r="I58" s="10">
        <f t="shared" si="70"/>
        <v>9.5869565217391303E-2</v>
      </c>
      <c r="J58" s="10">
        <v>0.12</v>
      </c>
      <c r="K58" s="10">
        <v>0.12</v>
      </c>
      <c r="L58" s="10">
        <v>0.12</v>
      </c>
      <c r="M58" s="10">
        <v>0.12</v>
      </c>
      <c r="N58" s="10">
        <v>0.12</v>
      </c>
      <c r="O58" s="10"/>
      <c r="P58" s="12">
        <f t="shared" ref="P58:U58" si="71">P41/P39</f>
        <v>0.1575779354954632</v>
      </c>
      <c r="Q58" s="12">
        <f t="shared" si="71"/>
        <v>0.15025018271771517</v>
      </c>
      <c r="R58" s="12">
        <f t="shared" si="71"/>
        <v>0.15396162506495256</v>
      </c>
      <c r="S58" s="12">
        <f t="shared" si="71"/>
        <v>0.18011062133250977</v>
      </c>
      <c r="T58" s="12">
        <f t="shared" si="71"/>
        <v>0.13752568515998195</v>
      </c>
      <c r="U58" s="12">
        <f t="shared" si="71"/>
        <v>0.11733063245554805</v>
      </c>
      <c r="V58" s="12">
        <v>0.125</v>
      </c>
      <c r="W58" s="12">
        <f>V58*1.01</f>
        <v>0.12625</v>
      </c>
      <c r="X58" s="12">
        <f t="shared" ref="X58:Z58" si="72">W58*1.01</f>
        <v>0.1275125</v>
      </c>
      <c r="Y58" s="12">
        <f t="shared" si="72"/>
        <v>0.12878762499999999</v>
      </c>
      <c r="Z58" s="12">
        <f t="shared" si="72"/>
        <v>0.13007550125</v>
      </c>
      <c r="AA58" s="12"/>
      <c r="AB58" s="2" t="s">
        <v>0</v>
      </c>
      <c r="AC58" s="13">
        <f>AC57/Main!N4</f>
        <v>69.440486835500195</v>
      </c>
      <c r="AD58" s="12"/>
      <c r="AE58" s="12"/>
    </row>
    <row r="59" spans="2:92" x14ac:dyDescent="0.2">
      <c r="B59" s="2" t="s">
        <v>32</v>
      </c>
      <c r="C59" s="5" t="e">
        <f>#REF!/C39</f>
        <v>#REF!</v>
      </c>
      <c r="D59" s="5" t="e">
        <f>#REF!/D39</f>
        <v>#REF!</v>
      </c>
      <c r="E59" s="5" t="e">
        <f>#REF!/E39</f>
        <v>#REF!</v>
      </c>
      <c r="F59" s="5" t="e">
        <f>#REF!/F39</f>
        <v>#REF!</v>
      </c>
      <c r="G59" s="5" t="e">
        <f>#REF!/G39</f>
        <v>#REF!</v>
      </c>
      <c r="H59" s="5" t="e">
        <f>#REF!/H39</f>
        <v>#REF!</v>
      </c>
      <c r="I59" s="5" t="e">
        <f>#REF!/I39</f>
        <v>#REF!</v>
      </c>
      <c r="J59" s="5">
        <v>6.2E-2</v>
      </c>
      <c r="K59" s="5">
        <v>6.2E-2</v>
      </c>
      <c r="L59" s="5">
        <v>6.5000000000000002E-2</v>
      </c>
      <c r="M59" s="5">
        <v>6.5000000000000002E-2</v>
      </c>
      <c r="N59" s="5">
        <v>6.5000000000000002E-2</v>
      </c>
      <c r="O59" s="5"/>
      <c r="P59" s="5">
        <f t="shared" ref="P59:Z59" si="73">P107/P39</f>
        <v>0</v>
      </c>
      <c r="Q59" s="5">
        <f t="shared" si="73"/>
        <v>0</v>
      </c>
      <c r="R59" s="5">
        <f t="shared" si="73"/>
        <v>-9.3493196820692417E-2</v>
      </c>
      <c r="S59" s="5">
        <f t="shared" si="73"/>
        <v>8.7977651121655398E-2</v>
      </c>
      <c r="T59" s="5">
        <f t="shared" si="73"/>
        <v>-0.17412937314866705</v>
      </c>
      <c r="U59" s="5">
        <f t="shared" si="73"/>
        <v>5.7456858174558922E-2</v>
      </c>
      <c r="V59" s="5">
        <f t="shared" si="73"/>
        <v>7.2840768088773558E-2</v>
      </c>
      <c r="W59" s="5">
        <f t="shared" si="73"/>
        <v>7.4638058537053506E-2</v>
      </c>
      <c r="X59" s="5">
        <f t="shared" si="73"/>
        <v>7.6399010442010334E-2</v>
      </c>
      <c r="Y59" s="5">
        <f t="shared" si="73"/>
        <v>7.8127407837861262E-2</v>
      </c>
      <c r="Z59" s="5">
        <f t="shared" si="73"/>
        <v>7.9826755887120057E-2</v>
      </c>
      <c r="AA59" s="5"/>
      <c r="AB59" s="2" t="s">
        <v>13</v>
      </c>
      <c r="AC59" s="5">
        <f>AC58/Main!N3-1</f>
        <v>0.673264743024101</v>
      </c>
      <c r="AD59" s="5"/>
      <c r="AE59" s="5"/>
    </row>
    <row r="60" spans="2:92" x14ac:dyDescent="0.2">
      <c r="B60" s="2" t="s">
        <v>47</v>
      </c>
      <c r="C60" s="5">
        <f t="shared" ref="C60:N60" si="74">C45/C39</f>
        <v>8.5912436308737503E-2</v>
      </c>
      <c r="D60" s="5">
        <f t="shared" si="74"/>
        <v>5.2607165270539442E-2</v>
      </c>
      <c r="E60" s="5">
        <f t="shared" si="74"/>
        <v>5.6883116883116883E-2</v>
      </c>
      <c r="F60" s="5">
        <f t="shared" si="74"/>
        <v>4.7662107682453568E-2</v>
      </c>
      <c r="G60" s="5">
        <f t="shared" si="74"/>
        <v>4.4837459996631295E-2</v>
      </c>
      <c r="H60" s="5">
        <f t="shared" si="74"/>
        <v>5.3064459316660796E-2</v>
      </c>
      <c r="I60" s="5">
        <f t="shared" si="74"/>
        <v>6.380434782608696E-2</v>
      </c>
      <c r="J60" s="5">
        <f t="shared" si="74"/>
        <v>6.380434782608696E-2</v>
      </c>
      <c r="K60" s="5">
        <f t="shared" si="74"/>
        <v>5.8197282608695652E-2</v>
      </c>
      <c r="L60" s="5">
        <f t="shared" si="74"/>
        <v>5.7618525749261289E-2</v>
      </c>
      <c r="M60" s="5">
        <f t="shared" si="74"/>
        <v>5.7051006887097494E-2</v>
      </c>
      <c r="N60" s="5">
        <f t="shared" si="74"/>
        <v>4.9067232608300461E-2</v>
      </c>
      <c r="O60" s="5"/>
      <c r="P60" s="6">
        <f t="shared" ref="P60:Z60" si="75">P45/P39</f>
        <v>0.13194382056119547</v>
      </c>
      <c r="Q60" s="6">
        <f t="shared" si="75"/>
        <v>0.11542137516163491</v>
      </c>
      <c r="R60" s="6">
        <f t="shared" si="75"/>
        <v>8.9451704162737428E-2</v>
      </c>
      <c r="S60" s="6">
        <f t="shared" si="75"/>
        <v>7.3245921891231719E-2</v>
      </c>
      <c r="T60" s="6">
        <f t="shared" si="75"/>
        <v>5.6740853414458406E-2</v>
      </c>
      <c r="U60" s="6">
        <f t="shared" si="75"/>
        <v>5.5990370783548134E-2</v>
      </c>
      <c r="V60" s="6">
        <f t="shared" si="75"/>
        <v>5.5990370783548134E-2</v>
      </c>
      <c r="W60" s="6">
        <f t="shared" si="75"/>
        <v>5.5990370783548141E-2</v>
      </c>
      <c r="X60" s="6">
        <f t="shared" si="75"/>
        <v>5.5990370783548127E-2</v>
      </c>
      <c r="Y60" s="6">
        <f t="shared" si="75"/>
        <v>5.5990370783548127E-2</v>
      </c>
      <c r="Z60" s="6">
        <f t="shared" si="75"/>
        <v>5.5990370783548127E-2</v>
      </c>
      <c r="AA60" s="6"/>
      <c r="AD60" s="6"/>
      <c r="AE60" s="6"/>
    </row>
    <row r="61" spans="2:92" x14ac:dyDescent="0.2"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D61" s="11"/>
      <c r="AE61" s="11"/>
    </row>
    <row r="62" spans="2:92" x14ac:dyDescent="0.2">
      <c r="B62" s="2" t="s">
        <v>39</v>
      </c>
      <c r="G62" s="5"/>
      <c r="I62" s="2">
        <f>I63-(SUM(I77:I79))</f>
        <v>-81.800000000000182</v>
      </c>
      <c r="J62" s="2">
        <f>I62+J51</f>
        <v>187.61193043478244</v>
      </c>
      <c r="K62" s="2">
        <f>J62+K51</f>
        <v>544.34603033043459</v>
      </c>
      <c r="L62" s="2">
        <f>K62+L51</f>
        <v>916.62022488653906</v>
      </c>
      <c r="M62" s="2">
        <f>L62+M51</f>
        <v>1304.9544057165197</v>
      </c>
      <c r="N62" s="2">
        <f>M62+N51</f>
        <v>1917.0109714134724</v>
      </c>
      <c r="R62" s="5"/>
      <c r="S62" s="2">
        <f>S63-(SUM(S77:S79))</f>
        <v>282.25900000000001</v>
      </c>
      <c r="T62" s="2">
        <f>T63-(SUM(T77:T79))</f>
        <v>-172.20000000000005</v>
      </c>
      <c r="U62" s="2">
        <f>J62</f>
        <v>187.61193043478244</v>
      </c>
      <c r="V62" s="2">
        <f>U62+V51</f>
        <v>2398.9218562481988</v>
      </c>
      <c r="W62" s="2">
        <f>V62+W51</f>
        <v>4910.4435543672753</v>
      </c>
      <c r="X62" s="2">
        <f>W62+X51</f>
        <v>7758.3474944981699</v>
      </c>
      <c r="Y62" s="2">
        <f>X62+Y51</f>
        <v>10983.061705997257</v>
      </c>
      <c r="Z62" s="2">
        <f>Y62+Z51</f>
        <v>14629.767957803047</v>
      </c>
    </row>
    <row r="63" spans="2:92" x14ac:dyDescent="0.2">
      <c r="B63" s="2" t="s">
        <v>3</v>
      </c>
      <c r="I63" s="2">
        <v>2536.1</v>
      </c>
      <c r="S63" s="2">
        <v>440.459</v>
      </c>
      <c r="T63" s="2">
        <v>1669.8</v>
      </c>
      <c r="U63" s="2">
        <f>J63</f>
        <v>0</v>
      </c>
    </row>
    <row r="64" spans="2:92" x14ac:dyDescent="0.2">
      <c r="B64" s="2" t="s">
        <v>48</v>
      </c>
      <c r="I64" s="2">
        <v>2642.5</v>
      </c>
      <c r="S64" s="2">
        <v>1148.3</v>
      </c>
      <c r="T64" s="2">
        <v>2737.3</v>
      </c>
      <c r="U64" s="2">
        <f t="shared" ref="U64:U69" si="76">J64</f>
        <v>0</v>
      </c>
    </row>
    <row r="65" spans="2:26" x14ac:dyDescent="0.2">
      <c r="B65" s="2" t="s">
        <v>49</v>
      </c>
      <c r="I65" s="2">
        <v>3870.2</v>
      </c>
      <c r="S65" s="2">
        <v>1445.6</v>
      </c>
      <c r="T65" s="2">
        <v>4333</v>
      </c>
      <c r="U65" s="2">
        <f t="shared" si="76"/>
        <v>0</v>
      </c>
    </row>
    <row r="66" spans="2:26" x14ac:dyDescent="0.2">
      <c r="B66" s="2" t="s">
        <v>119</v>
      </c>
      <c r="I66" s="2">
        <v>464.7</v>
      </c>
      <c r="S66" s="2">
        <v>145.1</v>
      </c>
      <c r="T66" s="2">
        <v>191.8</v>
      </c>
      <c r="U66" s="2">
        <f t="shared" si="76"/>
        <v>0</v>
      </c>
    </row>
    <row r="67" spans="2:26" x14ac:dyDescent="0.2">
      <c r="B67" s="2" t="s">
        <v>50</v>
      </c>
      <c r="I67" s="2">
        <v>492.6</v>
      </c>
      <c r="S67" s="2">
        <v>290.2</v>
      </c>
      <c r="T67" s="2">
        <v>414.1</v>
      </c>
      <c r="U67" s="2">
        <f t="shared" si="76"/>
        <v>0</v>
      </c>
    </row>
    <row r="68" spans="2:26" x14ac:dyDescent="0.2">
      <c r="B68" s="2" t="s">
        <v>117</v>
      </c>
      <c r="I68" s="2">
        <v>481.2</v>
      </c>
      <c r="S68" s="2">
        <v>162.6</v>
      </c>
      <c r="T68" s="2">
        <v>365.2</v>
      </c>
      <c r="U68" s="2">
        <f t="shared" si="76"/>
        <v>0</v>
      </c>
    </row>
    <row r="69" spans="2:26" x14ac:dyDescent="0.2">
      <c r="B69" s="2" t="s">
        <v>51</v>
      </c>
      <c r="I69" s="2">
        <v>251.2</v>
      </c>
      <c r="S69" s="2">
        <v>42.4</v>
      </c>
      <c r="T69" s="2">
        <v>114.95</v>
      </c>
      <c r="U69" s="2">
        <f t="shared" si="76"/>
        <v>0</v>
      </c>
    </row>
    <row r="70" spans="2:26" x14ac:dyDescent="0.2">
      <c r="B70" s="2" t="s">
        <v>52</v>
      </c>
      <c r="C70" s="2">
        <f>SUM(C63:C69)</f>
        <v>0</v>
      </c>
      <c r="D70" s="2">
        <f t="shared" ref="D70:P70" si="77">SUM(D63:D69)</f>
        <v>0</v>
      </c>
      <c r="E70" s="2">
        <f t="shared" si="77"/>
        <v>0</v>
      </c>
      <c r="F70" s="2">
        <f t="shared" si="77"/>
        <v>0</v>
      </c>
      <c r="G70" s="2">
        <f t="shared" si="77"/>
        <v>0</v>
      </c>
      <c r="H70" s="2">
        <f t="shared" si="77"/>
        <v>0</v>
      </c>
      <c r="I70" s="2">
        <f t="shared" si="77"/>
        <v>10738.500000000002</v>
      </c>
      <c r="J70" s="2">
        <f t="shared" si="77"/>
        <v>0</v>
      </c>
      <c r="K70" s="2">
        <f t="shared" si="77"/>
        <v>0</v>
      </c>
      <c r="L70" s="2">
        <f t="shared" si="77"/>
        <v>0</v>
      </c>
      <c r="M70" s="2">
        <f t="shared" si="77"/>
        <v>0</v>
      </c>
      <c r="N70" s="2">
        <f t="shared" si="77"/>
        <v>0</v>
      </c>
      <c r="P70" s="2">
        <f t="shared" si="77"/>
        <v>0</v>
      </c>
      <c r="Q70" s="2">
        <f t="shared" ref="Q70" si="78">SUM(Q63:Q69)</f>
        <v>0</v>
      </c>
      <c r="R70" s="2">
        <f t="shared" ref="R70" si="79">SUM(R63:R69)</f>
        <v>0</v>
      </c>
      <c r="S70" s="2">
        <f t="shared" ref="S70" si="80">SUM(S63:S69)</f>
        <v>3674.6589999999997</v>
      </c>
      <c r="T70" s="2">
        <f t="shared" ref="T70" si="81">SUM(T63:T69)</f>
        <v>9826.1500000000015</v>
      </c>
      <c r="U70" s="2">
        <f t="shared" ref="U70" si="82">SUM(U63:U69)</f>
        <v>0</v>
      </c>
      <c r="V70" s="2">
        <f t="shared" ref="V70" si="83">SUM(V63:V69)</f>
        <v>0</v>
      </c>
      <c r="W70" s="2">
        <f t="shared" ref="W70" si="84">SUM(W63:W69)</f>
        <v>0</v>
      </c>
      <c r="X70" s="2">
        <f t="shared" ref="X70" si="85">SUM(X63:X69)</f>
        <v>0</v>
      </c>
      <c r="Y70" s="2">
        <f t="shared" ref="Y70" si="86">SUM(Y63:Y69)</f>
        <v>0</v>
      </c>
      <c r="Z70" s="2">
        <f t="shared" ref="Z70" si="87">SUM(Z63:Z69)</f>
        <v>0</v>
      </c>
    </row>
    <row r="72" spans="2:26" x14ac:dyDescent="0.2">
      <c r="B72" s="2" t="s">
        <v>53</v>
      </c>
      <c r="I72" s="2">
        <v>643.1</v>
      </c>
      <c r="S72" s="2">
        <v>776.9</v>
      </c>
      <c r="T72" s="2">
        <v>1472.4</v>
      </c>
      <c r="U72" s="2">
        <f t="shared" ref="U72:U79" si="88">J72</f>
        <v>0</v>
      </c>
    </row>
    <row r="73" spans="2:26" x14ac:dyDescent="0.2">
      <c r="B73" s="2" t="s">
        <v>54</v>
      </c>
      <c r="I73" s="2">
        <v>344.7</v>
      </c>
      <c r="S73" s="2">
        <v>163.9</v>
      </c>
      <c r="T73" s="2">
        <v>259.7</v>
      </c>
      <c r="U73" s="2">
        <f t="shared" si="88"/>
        <v>0</v>
      </c>
    </row>
    <row r="74" spans="2:26" x14ac:dyDescent="0.2">
      <c r="B74" s="2" t="s">
        <v>115</v>
      </c>
      <c r="I74" s="2">
        <v>23.6</v>
      </c>
      <c r="S74" s="2">
        <v>129.19999999999999</v>
      </c>
      <c r="T74" s="2">
        <v>18.3</v>
      </c>
      <c r="U74" s="2">
        <f t="shared" si="88"/>
        <v>0</v>
      </c>
    </row>
    <row r="75" spans="2:26" x14ac:dyDescent="0.2">
      <c r="B75" s="2" t="s">
        <v>55</v>
      </c>
      <c r="I75" s="2">
        <v>63.97</v>
      </c>
      <c r="S75" s="2">
        <v>170.12</v>
      </c>
      <c r="T75" s="2">
        <v>402.4</v>
      </c>
      <c r="U75" s="2">
        <f t="shared" si="88"/>
        <v>0</v>
      </c>
    </row>
    <row r="76" spans="2:26" x14ac:dyDescent="0.2">
      <c r="B76" s="2" t="s">
        <v>118</v>
      </c>
      <c r="I76" s="2">
        <v>352.8</v>
      </c>
      <c r="S76" s="2">
        <f>135+170</f>
        <v>305</v>
      </c>
      <c r="T76" s="2">
        <f>193+223</f>
        <v>416</v>
      </c>
      <c r="U76" s="2">
        <f t="shared" si="88"/>
        <v>0</v>
      </c>
    </row>
    <row r="77" spans="2:26" x14ac:dyDescent="0.2">
      <c r="B77" s="2" t="s">
        <v>56</v>
      </c>
      <c r="I77" s="2">
        <v>43</v>
      </c>
      <c r="S77" s="2">
        <v>120.2</v>
      </c>
      <c r="T77" s="2">
        <v>74</v>
      </c>
      <c r="U77" s="2">
        <f t="shared" si="88"/>
        <v>0</v>
      </c>
    </row>
    <row r="78" spans="2:26" x14ac:dyDescent="0.2">
      <c r="B78" s="2" t="s">
        <v>57</v>
      </c>
      <c r="I78" s="2">
        <v>2385.3000000000002</v>
      </c>
      <c r="S78" s="2">
        <v>0</v>
      </c>
      <c r="T78" s="2">
        <v>1700</v>
      </c>
      <c r="U78" s="2">
        <f t="shared" si="88"/>
        <v>0</v>
      </c>
    </row>
    <row r="79" spans="2:26" x14ac:dyDescent="0.2">
      <c r="B79" s="2" t="s">
        <v>116</v>
      </c>
      <c r="I79" s="2">
        <v>189.6</v>
      </c>
      <c r="S79" s="2">
        <v>38</v>
      </c>
      <c r="T79" s="2">
        <v>68</v>
      </c>
      <c r="U79" s="2">
        <f t="shared" si="88"/>
        <v>0</v>
      </c>
    </row>
    <row r="80" spans="2:26" x14ac:dyDescent="0.2">
      <c r="B80" s="2" t="s">
        <v>58</v>
      </c>
      <c r="C80" s="2">
        <f t="shared" ref="C80:N80" si="89">SUM(C72:C79)</f>
        <v>0</v>
      </c>
      <c r="D80" s="2">
        <f t="shared" si="89"/>
        <v>0</v>
      </c>
      <c r="E80" s="2">
        <f t="shared" si="89"/>
        <v>0</v>
      </c>
      <c r="F80" s="2">
        <f t="shared" si="89"/>
        <v>0</v>
      </c>
      <c r="G80" s="2">
        <f t="shared" si="89"/>
        <v>0</v>
      </c>
      <c r="H80" s="2">
        <f t="shared" si="89"/>
        <v>0</v>
      </c>
      <c r="I80" s="2">
        <f t="shared" si="89"/>
        <v>4046.07</v>
      </c>
      <c r="J80" s="2">
        <f t="shared" si="89"/>
        <v>0</v>
      </c>
      <c r="K80" s="2">
        <f t="shared" si="89"/>
        <v>0</v>
      </c>
      <c r="L80" s="2">
        <f t="shared" si="89"/>
        <v>0</v>
      </c>
      <c r="M80" s="2">
        <f t="shared" si="89"/>
        <v>0</v>
      </c>
      <c r="N80" s="2">
        <f t="shared" si="89"/>
        <v>0</v>
      </c>
      <c r="P80" s="2">
        <f t="shared" ref="P80:Z80" si="90">SUM(P72:P79)</f>
        <v>0</v>
      </c>
      <c r="Q80" s="2">
        <f t="shared" si="90"/>
        <v>0</v>
      </c>
      <c r="R80" s="2">
        <f t="shared" si="90"/>
        <v>0</v>
      </c>
      <c r="S80" s="2">
        <f t="shared" si="90"/>
        <v>1703.32</v>
      </c>
      <c r="T80" s="2">
        <f t="shared" si="90"/>
        <v>4410.8</v>
      </c>
      <c r="U80" s="2">
        <f t="shared" si="90"/>
        <v>0</v>
      </c>
      <c r="V80" s="2">
        <f t="shared" si="90"/>
        <v>0</v>
      </c>
      <c r="W80" s="2">
        <f t="shared" si="90"/>
        <v>0</v>
      </c>
      <c r="X80" s="2">
        <f t="shared" si="90"/>
        <v>0</v>
      </c>
      <c r="Y80" s="2">
        <f t="shared" si="90"/>
        <v>0</v>
      </c>
      <c r="Z80" s="2">
        <f t="shared" si="90"/>
        <v>0</v>
      </c>
    </row>
    <row r="81" spans="2:26" x14ac:dyDescent="0.2">
      <c r="B81" s="2" t="s">
        <v>59</v>
      </c>
      <c r="C81" s="2">
        <f t="shared" ref="C81:N81" si="91">C70-C80</f>
        <v>0</v>
      </c>
      <c r="D81" s="2">
        <f t="shared" si="91"/>
        <v>0</v>
      </c>
      <c r="E81" s="2">
        <f t="shared" si="91"/>
        <v>0</v>
      </c>
      <c r="F81" s="2">
        <f t="shared" si="91"/>
        <v>0</v>
      </c>
      <c r="G81" s="2">
        <f t="shared" si="91"/>
        <v>0</v>
      </c>
      <c r="H81" s="2">
        <f t="shared" si="91"/>
        <v>0</v>
      </c>
      <c r="I81" s="2">
        <f t="shared" si="91"/>
        <v>6692.4300000000021</v>
      </c>
      <c r="J81" s="2">
        <f t="shared" si="91"/>
        <v>0</v>
      </c>
      <c r="K81" s="2">
        <f t="shared" si="91"/>
        <v>0</v>
      </c>
      <c r="L81" s="2">
        <f t="shared" si="91"/>
        <v>0</v>
      </c>
      <c r="M81" s="2">
        <f t="shared" si="91"/>
        <v>0</v>
      </c>
      <c r="N81" s="2">
        <f t="shared" si="91"/>
        <v>0</v>
      </c>
      <c r="P81" s="2">
        <f t="shared" ref="P81:Z81" si="92">P70-P80</f>
        <v>0</v>
      </c>
      <c r="Q81" s="2">
        <f t="shared" si="92"/>
        <v>0</v>
      </c>
      <c r="R81" s="2">
        <f t="shared" si="92"/>
        <v>0</v>
      </c>
      <c r="S81" s="2">
        <f t="shared" si="92"/>
        <v>1971.3389999999997</v>
      </c>
      <c r="T81" s="2">
        <f t="shared" si="92"/>
        <v>5415.3500000000013</v>
      </c>
      <c r="U81" s="2">
        <f t="shared" si="92"/>
        <v>0</v>
      </c>
      <c r="V81" s="2">
        <f t="shared" si="92"/>
        <v>0</v>
      </c>
      <c r="W81" s="2">
        <f t="shared" si="92"/>
        <v>0</v>
      </c>
      <c r="X81" s="2">
        <f t="shared" si="92"/>
        <v>0</v>
      </c>
      <c r="Y81" s="2">
        <f t="shared" si="92"/>
        <v>0</v>
      </c>
      <c r="Z81" s="2">
        <f t="shared" si="92"/>
        <v>0</v>
      </c>
    </row>
    <row r="82" spans="2:26" x14ac:dyDescent="0.2">
      <c r="B82" s="2" t="s">
        <v>60</v>
      </c>
      <c r="C82" s="2">
        <f>C80+C81</f>
        <v>0</v>
      </c>
      <c r="D82" s="2">
        <f t="shared" ref="D82:P82" si="93">D80+D81</f>
        <v>0</v>
      </c>
      <c r="E82" s="2">
        <f t="shared" si="93"/>
        <v>0</v>
      </c>
      <c r="F82" s="2">
        <f t="shared" si="93"/>
        <v>0</v>
      </c>
      <c r="G82" s="2">
        <f t="shared" si="93"/>
        <v>0</v>
      </c>
      <c r="H82" s="2">
        <f t="shared" si="93"/>
        <v>0</v>
      </c>
      <c r="I82" s="2">
        <f t="shared" si="93"/>
        <v>10738.500000000002</v>
      </c>
      <c r="J82" s="2">
        <f t="shared" si="93"/>
        <v>0</v>
      </c>
      <c r="K82" s="2">
        <f t="shared" si="93"/>
        <v>0</v>
      </c>
      <c r="L82" s="2">
        <f t="shared" si="93"/>
        <v>0</v>
      </c>
      <c r="M82" s="2">
        <f t="shared" si="93"/>
        <v>0</v>
      </c>
      <c r="N82" s="2">
        <f t="shared" si="93"/>
        <v>0</v>
      </c>
      <c r="P82" s="2">
        <f t="shared" si="93"/>
        <v>0</v>
      </c>
      <c r="Q82" s="2">
        <f t="shared" ref="Q82" si="94">Q80+Q81</f>
        <v>0</v>
      </c>
      <c r="R82" s="2">
        <f t="shared" ref="R82" si="95">R80+R81</f>
        <v>0</v>
      </c>
      <c r="S82" s="2">
        <f t="shared" ref="S82" si="96">S80+S81</f>
        <v>3674.6589999999997</v>
      </c>
      <c r="T82" s="2">
        <f t="shared" ref="T82" si="97">T80+T81</f>
        <v>9826.1500000000015</v>
      </c>
      <c r="U82" s="2">
        <f t="shared" ref="U82" si="98">U80+U81</f>
        <v>0</v>
      </c>
      <c r="V82" s="2">
        <f t="shared" ref="V82" si="99">V80+V81</f>
        <v>0</v>
      </c>
      <c r="W82" s="2">
        <f t="shared" ref="W82" si="100">W80+W81</f>
        <v>0</v>
      </c>
      <c r="X82" s="2">
        <f t="shared" ref="X82" si="101">X80+X81</f>
        <v>0</v>
      </c>
      <c r="Y82" s="2">
        <f t="shared" ref="Y82" si="102">Y80+Y81</f>
        <v>0</v>
      </c>
      <c r="Z82" s="2">
        <f t="shared" ref="Z82" si="103">Z80+Z81</f>
        <v>0</v>
      </c>
    </row>
    <row r="84" spans="2:26" x14ac:dyDescent="0.2">
      <c r="B84" s="2" t="s">
        <v>61</v>
      </c>
      <c r="C84" s="2">
        <f t="shared" ref="C84:N84" si="104">C64/C39*90</f>
        <v>0</v>
      </c>
      <c r="D84" s="2">
        <f t="shared" si="104"/>
        <v>0</v>
      </c>
      <c r="E84" s="2">
        <f t="shared" si="104"/>
        <v>0</v>
      </c>
      <c r="F84" s="2">
        <f t="shared" si="104"/>
        <v>0</v>
      </c>
      <c r="G84" s="2">
        <f t="shared" si="104"/>
        <v>0</v>
      </c>
      <c r="H84" s="2">
        <f t="shared" si="104"/>
        <v>0</v>
      </c>
      <c r="I84" s="2">
        <f t="shared" si="104"/>
        <v>51.701086956521735</v>
      </c>
      <c r="J84" s="2">
        <f t="shared" si="104"/>
        <v>0</v>
      </c>
      <c r="K84" s="2">
        <f t="shared" si="104"/>
        <v>0</v>
      </c>
      <c r="L84" s="2">
        <f t="shared" si="104"/>
        <v>0</v>
      </c>
      <c r="M84" s="2">
        <f t="shared" si="104"/>
        <v>0</v>
      </c>
      <c r="N84" s="2">
        <f t="shared" si="104"/>
        <v>0</v>
      </c>
      <c r="P84" s="2">
        <f t="shared" ref="P84:Z84" si="105">P64/P39*360</f>
        <v>0</v>
      </c>
      <c r="Q84" s="2">
        <f t="shared" si="105"/>
        <v>0</v>
      </c>
      <c r="R84" s="2">
        <f t="shared" si="105"/>
        <v>0</v>
      </c>
      <c r="S84" s="2">
        <f t="shared" si="105"/>
        <v>58.032400258303625</v>
      </c>
      <c r="T84" s="2">
        <f t="shared" si="105"/>
        <v>65.742534624929945</v>
      </c>
      <c r="U84" s="2">
        <f t="shared" si="105"/>
        <v>0</v>
      </c>
      <c r="V84" s="2">
        <f t="shared" si="105"/>
        <v>0</v>
      </c>
      <c r="W84" s="2">
        <f t="shared" si="105"/>
        <v>0</v>
      </c>
      <c r="X84" s="2">
        <f t="shared" si="105"/>
        <v>0</v>
      </c>
      <c r="Y84" s="2">
        <f t="shared" si="105"/>
        <v>0</v>
      </c>
      <c r="Z84" s="2">
        <f t="shared" si="105"/>
        <v>0</v>
      </c>
    </row>
    <row r="86" spans="2:26" x14ac:dyDescent="0.2">
      <c r="B86" s="2" t="s">
        <v>62</v>
      </c>
      <c r="C86" s="2">
        <f t="shared" ref="C86:N86" si="106">C51</f>
        <v>1568.5</v>
      </c>
      <c r="D86" s="2">
        <f t="shared" si="106"/>
        <v>417.00000000000017</v>
      </c>
      <c r="E86" s="2">
        <f t="shared" si="106"/>
        <v>402.00000000000017</v>
      </c>
      <c r="F86" s="2">
        <f t="shared" si="106"/>
        <v>353.20000000000016</v>
      </c>
      <c r="G86" s="2">
        <f t="shared" si="106"/>
        <v>424.39999999999964</v>
      </c>
      <c r="H86" s="2">
        <f t="shared" si="106"/>
        <v>318.30000000000035</v>
      </c>
      <c r="I86" s="2">
        <f t="shared" si="106"/>
        <v>110</v>
      </c>
      <c r="J86" s="2">
        <f t="shared" si="106"/>
        <v>269.41193043478262</v>
      </c>
      <c r="K86" s="2">
        <f t="shared" si="106"/>
        <v>356.73409989565221</v>
      </c>
      <c r="L86" s="2">
        <f t="shared" si="106"/>
        <v>372.27419455610442</v>
      </c>
      <c r="M86" s="2">
        <f t="shared" si="106"/>
        <v>388.33418082998065</v>
      </c>
      <c r="N86" s="2">
        <f t="shared" si="106"/>
        <v>612.05656569695259</v>
      </c>
      <c r="R86" s="2">
        <f t="shared" ref="R86:Z86" si="107">R51</f>
        <v>284.00000000000006</v>
      </c>
      <c r="S86" s="2">
        <f t="shared" si="107"/>
        <v>650.64</v>
      </c>
      <c r="T86" s="2">
        <f t="shared" si="107"/>
        <v>1150.9500000000014</v>
      </c>
      <c r="U86" s="2">
        <f t="shared" si="107"/>
        <v>1122.1119304347826</v>
      </c>
      <c r="V86" s="2">
        <f t="shared" si="107"/>
        <v>2211.3099258134162</v>
      </c>
      <c r="W86" s="2">
        <f t="shared" si="107"/>
        <v>2511.5216981190765</v>
      </c>
      <c r="X86" s="2">
        <f t="shared" si="107"/>
        <v>2847.9039401308951</v>
      </c>
      <c r="Y86" s="2">
        <f t="shared" si="107"/>
        <v>3224.7142114990884</v>
      </c>
      <c r="Z86" s="2">
        <f t="shared" si="107"/>
        <v>3646.7062518057892</v>
      </c>
    </row>
    <row r="87" spans="2:26" x14ac:dyDescent="0.2">
      <c r="B87" s="2" t="s">
        <v>63</v>
      </c>
      <c r="G87" s="2">
        <v>424.3</v>
      </c>
      <c r="H87" s="2">
        <v>745</v>
      </c>
      <c r="I87" s="2">
        <v>853.7</v>
      </c>
      <c r="R87" s="2">
        <v>285.2</v>
      </c>
      <c r="S87" s="2">
        <v>640</v>
      </c>
      <c r="T87" s="2">
        <v>1152.7</v>
      </c>
      <c r="U87" s="2">
        <f>SUM(G87:I87,J86)</f>
        <v>2292.4119304347828</v>
      </c>
    </row>
    <row r="88" spans="2:26" x14ac:dyDescent="0.2">
      <c r="B88" s="2" t="s">
        <v>64</v>
      </c>
      <c r="G88" s="2">
        <v>14.1</v>
      </c>
      <c r="H88" s="2">
        <v>29</v>
      </c>
      <c r="I88" s="2">
        <v>39.700000000000003</v>
      </c>
      <c r="J88" s="2">
        <f>I88*(1+J56)</f>
        <v>51.782608695652179</v>
      </c>
      <c r="R88" s="2">
        <v>32.5</v>
      </c>
      <c r="S88" s="2">
        <v>35</v>
      </c>
      <c r="T88" s="2">
        <v>41</v>
      </c>
      <c r="U88" s="2">
        <f>SUM(G88:J88)</f>
        <v>134.5826086956522</v>
      </c>
      <c r="V88" s="2">
        <f>U88*(1+V55)</f>
        <v>242.32745207409803</v>
      </c>
      <c r="W88" s="2">
        <f t="shared" ref="W88:W94" si="108">V88*1.1</f>
        <v>266.56019728150784</v>
      </c>
      <c r="X88" s="2">
        <f t="shared" ref="X88:Z88" si="109">W88*1.1</f>
        <v>293.21621700965864</v>
      </c>
      <c r="Y88" s="2">
        <f t="shared" si="109"/>
        <v>322.5378387106245</v>
      </c>
      <c r="Z88" s="2">
        <f t="shared" si="109"/>
        <v>354.79162258168697</v>
      </c>
    </row>
    <row r="89" spans="2:26" x14ac:dyDescent="0.2">
      <c r="B89" s="2" t="s">
        <v>122</v>
      </c>
      <c r="G89" s="2">
        <v>64</v>
      </c>
      <c r="H89" s="2">
        <v>146</v>
      </c>
      <c r="I89" s="2">
        <v>230.84</v>
      </c>
      <c r="J89" s="2">
        <f>I89*(1+J56)</f>
        <v>301.09565217391304</v>
      </c>
      <c r="R89" s="2">
        <v>32.799999999999997</v>
      </c>
      <c r="S89" s="2">
        <v>54.4</v>
      </c>
      <c r="T89" s="2">
        <v>231.5</v>
      </c>
      <c r="U89" s="2">
        <f t="shared" ref="U89:U105" si="110">SUM(G89:J89)</f>
        <v>741.93565217391301</v>
      </c>
      <c r="V89" s="2">
        <f>U89*(1+V55)</f>
        <v>1335.9183473759406</v>
      </c>
      <c r="W89" s="2">
        <f t="shared" si="108"/>
        <v>1469.5101821135347</v>
      </c>
      <c r="X89" s="2">
        <f t="shared" ref="X89:Z89" si="111">W89*1.1</f>
        <v>1616.4612003248883</v>
      </c>
      <c r="Y89" s="2">
        <f t="shared" si="111"/>
        <v>1778.1073203573774</v>
      </c>
      <c r="Z89" s="2">
        <f t="shared" si="111"/>
        <v>1955.9180523931152</v>
      </c>
    </row>
    <row r="90" spans="2:26" x14ac:dyDescent="0.2">
      <c r="B90" s="2" t="s">
        <v>65</v>
      </c>
      <c r="G90" s="2">
        <v>0</v>
      </c>
      <c r="H90" s="2">
        <v>-2.5</v>
      </c>
      <c r="I90" s="2">
        <v>-2</v>
      </c>
      <c r="J90" s="2">
        <f>I90*(1+J56)</f>
        <v>-2.6086956521739131</v>
      </c>
      <c r="R90" s="2">
        <v>-1.2</v>
      </c>
      <c r="S90" s="2">
        <v>3.6</v>
      </c>
      <c r="T90" s="2">
        <v>-1.8</v>
      </c>
      <c r="U90" s="2">
        <f t="shared" si="110"/>
        <v>-7.1086956521739131</v>
      </c>
      <c r="V90" s="2">
        <f>U90*(1+V55)</f>
        <v>-12.799812112849718</v>
      </c>
      <c r="W90" s="2">
        <f t="shared" si="108"/>
        <v>-14.079793324134691</v>
      </c>
      <c r="X90" s="2">
        <f t="shared" ref="X90:Z90" si="112">W90*1.1</f>
        <v>-15.487772656548161</v>
      </c>
      <c r="Y90" s="2">
        <f t="shared" si="112"/>
        <v>-17.03654992220298</v>
      </c>
      <c r="Z90" s="2">
        <f t="shared" si="112"/>
        <v>-18.740204914423281</v>
      </c>
    </row>
    <row r="91" spans="2:26" x14ac:dyDescent="0.2">
      <c r="B91" s="2" t="s">
        <v>121</v>
      </c>
      <c r="G91" s="2">
        <v>1</v>
      </c>
      <c r="H91" s="2">
        <v>-0.3</v>
      </c>
      <c r="I91" s="2">
        <v>2.7</v>
      </c>
      <c r="J91" s="2">
        <f>I91*(1+J56)</f>
        <v>3.5217391304347827</v>
      </c>
      <c r="R91" s="2">
        <v>-13.7</v>
      </c>
      <c r="S91" s="2">
        <v>-2.6</v>
      </c>
      <c r="T91" s="2">
        <v>-0.5</v>
      </c>
      <c r="U91" s="2">
        <f t="shared" si="110"/>
        <v>6.9217391304347835</v>
      </c>
      <c r="V91" s="2">
        <f>U91*(1+V55)</f>
        <v>12.463180968597404</v>
      </c>
      <c r="W91" s="2">
        <f t="shared" si="108"/>
        <v>13.709499065457146</v>
      </c>
      <c r="X91" s="2">
        <f t="shared" ref="X91:Z91" si="113">W91*1.1</f>
        <v>15.080448972002863</v>
      </c>
      <c r="Y91" s="2">
        <f t="shared" si="113"/>
        <v>16.588493869203152</v>
      </c>
      <c r="Z91" s="2">
        <f t="shared" si="113"/>
        <v>18.247343256123468</v>
      </c>
    </row>
    <row r="92" spans="2:26" x14ac:dyDescent="0.2">
      <c r="B92" s="2" t="s">
        <v>117</v>
      </c>
      <c r="G92" s="2">
        <v>-46.5</v>
      </c>
      <c r="H92" s="2">
        <v>-76</v>
      </c>
      <c r="I92" s="2">
        <v>-134.4</v>
      </c>
      <c r="J92" s="2">
        <f>I92*(1+J56)</f>
        <v>-175.30434782608697</v>
      </c>
      <c r="R92" s="2">
        <v>-6.8</v>
      </c>
      <c r="S92" s="2">
        <v>-93</v>
      </c>
      <c r="T92" s="2">
        <v>-168.5</v>
      </c>
      <c r="U92" s="2">
        <f t="shared" si="110"/>
        <v>-432.20434782608697</v>
      </c>
      <c r="V92" s="2">
        <f>U92*(1+V55)</f>
        <v>-778.2207478300013</v>
      </c>
      <c r="W92" s="2">
        <f t="shared" si="108"/>
        <v>-856.04282261300148</v>
      </c>
      <c r="X92" s="2">
        <f t="shared" ref="X92:Z92" si="114">W92*1.1</f>
        <v>-941.6471048743017</v>
      </c>
      <c r="Y92" s="2">
        <f t="shared" si="114"/>
        <v>-1035.811815361732</v>
      </c>
      <c r="Z92" s="2">
        <f t="shared" si="114"/>
        <v>-1139.3929968979053</v>
      </c>
    </row>
    <row r="93" spans="2:26" x14ac:dyDescent="0.2">
      <c r="B93" s="2" t="s">
        <v>66</v>
      </c>
      <c r="G93" s="2">
        <v>-3.3</v>
      </c>
      <c r="H93" s="2">
        <v>-4</v>
      </c>
      <c r="I93" s="2">
        <v>5.6</v>
      </c>
      <c r="J93" s="2">
        <f>I93*(1+J56)</f>
        <v>7.3043478260869561</v>
      </c>
      <c r="R93" s="2">
        <v>0.4</v>
      </c>
      <c r="S93" s="2">
        <v>-0.7</v>
      </c>
      <c r="T93" s="2">
        <v>12.3</v>
      </c>
      <c r="U93" s="2">
        <f t="shared" si="110"/>
        <v>5.6043478260869559</v>
      </c>
      <c r="V93" s="2">
        <f>U93*(1+V55)</f>
        <v>10.091105696307821</v>
      </c>
      <c r="W93" s="2">
        <f t="shared" si="108"/>
        <v>11.100216265938604</v>
      </c>
      <c r="X93" s="2">
        <f t="shared" ref="X93:Z93" si="115">W93*1.1</f>
        <v>12.210237892532465</v>
      </c>
      <c r="Y93" s="2">
        <f t="shared" si="115"/>
        <v>13.431261681785713</v>
      </c>
      <c r="Z93" s="2">
        <f t="shared" si="115"/>
        <v>14.774387849964286</v>
      </c>
    </row>
    <row r="94" spans="2:26" x14ac:dyDescent="0.2">
      <c r="B94" s="2" t="s">
        <v>48</v>
      </c>
      <c r="G94" s="2">
        <v>15.3</v>
      </c>
      <c r="H94" s="2">
        <v>-320</v>
      </c>
      <c r="I94" s="2">
        <v>94.8</v>
      </c>
      <c r="J94" s="2">
        <f>I94*(1+J56)</f>
        <v>123.65217391304347</v>
      </c>
      <c r="R94" s="2">
        <v>-372.4</v>
      </c>
      <c r="S94" s="2">
        <v>-311.89999999999998</v>
      </c>
      <c r="T94" s="2">
        <v>-1589</v>
      </c>
      <c r="U94" s="2">
        <f t="shared" si="110"/>
        <v>-86.247826086956508</v>
      </c>
      <c r="V94" s="2">
        <v>0</v>
      </c>
      <c r="W94" s="2">
        <f t="shared" si="108"/>
        <v>0</v>
      </c>
      <c r="X94" s="2">
        <f t="shared" ref="X94:Z94" si="116">W94*1.1</f>
        <v>0</v>
      </c>
      <c r="Y94" s="2">
        <f t="shared" si="116"/>
        <v>0</v>
      </c>
      <c r="Z94" s="2">
        <f t="shared" si="116"/>
        <v>0</v>
      </c>
    </row>
    <row r="95" spans="2:26" x14ac:dyDescent="0.2">
      <c r="B95" s="2" t="s">
        <v>49</v>
      </c>
      <c r="G95" s="2">
        <v>-600</v>
      </c>
      <c r="H95" s="2">
        <v>733.6</v>
      </c>
      <c r="I95" s="2">
        <v>457.9</v>
      </c>
      <c r="J95" s="2">
        <f>I95*(1+J56)</f>
        <v>597.26086956521738</v>
      </c>
      <c r="R95" s="2">
        <v>-504.6</v>
      </c>
      <c r="S95" s="2">
        <v>100</v>
      </c>
      <c r="T95" s="2">
        <v>-2900</v>
      </c>
      <c r="U95" s="2">
        <f t="shared" si="110"/>
        <v>1188.7608695652175</v>
      </c>
      <c r="V95" s="2">
        <v>-500</v>
      </c>
      <c r="W95" s="2">
        <f t="shared" ref="W95:Z101" si="117">V95*1.1</f>
        <v>-550</v>
      </c>
      <c r="X95" s="2">
        <f t="shared" si="117"/>
        <v>-605</v>
      </c>
      <c r="Y95" s="2">
        <f t="shared" si="117"/>
        <v>-665.5</v>
      </c>
      <c r="Z95" s="2">
        <f t="shared" si="117"/>
        <v>-732.05000000000007</v>
      </c>
    </row>
    <row r="96" spans="2:26" x14ac:dyDescent="0.2">
      <c r="B96" s="2" t="s">
        <v>119</v>
      </c>
      <c r="G96" s="2">
        <v>87</v>
      </c>
      <c r="H96" s="2">
        <v>-400</v>
      </c>
      <c r="I96" s="2">
        <v>-284.3</v>
      </c>
      <c r="J96" s="2">
        <f>I96*(1+J56)</f>
        <v>-370.82608695652175</v>
      </c>
      <c r="R96" s="2">
        <v>-29</v>
      </c>
      <c r="S96" s="2">
        <v>8.3000000000000007</v>
      </c>
      <c r="T96" s="2">
        <v>-44.7</v>
      </c>
      <c r="U96" s="2">
        <f t="shared" si="110"/>
        <v>-968.1260869565217</v>
      </c>
      <c r="V96" s="2">
        <v>100</v>
      </c>
      <c r="W96" s="2">
        <f t="shared" si="117"/>
        <v>110.00000000000001</v>
      </c>
      <c r="X96" s="2">
        <f t="shared" si="117"/>
        <v>121.00000000000003</v>
      </c>
      <c r="Y96" s="2">
        <f t="shared" si="117"/>
        <v>133.10000000000005</v>
      </c>
      <c r="Z96" s="2">
        <f t="shared" si="117"/>
        <v>146.41000000000008</v>
      </c>
    </row>
    <row r="97" spans="1:122" x14ac:dyDescent="0.2">
      <c r="B97" s="2" t="s">
        <v>53</v>
      </c>
      <c r="G97" s="2">
        <v>220</v>
      </c>
      <c r="H97" s="2">
        <v>-907</v>
      </c>
      <c r="I97" s="2">
        <v>-811.7</v>
      </c>
      <c r="J97" s="2">
        <f>I97*(1+J56)</f>
        <v>-1058.7391304347827</v>
      </c>
      <c r="R97" s="2">
        <v>50.1</v>
      </c>
      <c r="S97" s="2">
        <v>127.1</v>
      </c>
      <c r="T97" s="2">
        <v>679.2</v>
      </c>
      <c r="U97" s="2">
        <f t="shared" si="110"/>
        <v>-2557.4391304347828</v>
      </c>
      <c r="V97" s="2">
        <v>0</v>
      </c>
      <c r="W97" s="2">
        <f t="shared" si="117"/>
        <v>0</v>
      </c>
      <c r="X97" s="2">
        <f t="shared" si="117"/>
        <v>0</v>
      </c>
      <c r="Y97" s="2">
        <f t="shared" si="117"/>
        <v>0</v>
      </c>
      <c r="Z97" s="2">
        <f t="shared" si="117"/>
        <v>0</v>
      </c>
    </row>
    <row r="98" spans="1:122" x14ac:dyDescent="0.2">
      <c r="B98" s="2" t="s">
        <v>120</v>
      </c>
      <c r="G98" s="2">
        <v>26</v>
      </c>
      <c r="H98" s="2">
        <v>-60</v>
      </c>
      <c r="I98" s="2">
        <v>52.7</v>
      </c>
      <c r="J98" s="2">
        <f>I98*(1+J56)</f>
        <v>68.739130434782609</v>
      </c>
      <c r="R98" s="2">
        <v>36</v>
      </c>
      <c r="S98" s="2">
        <v>-50.3</v>
      </c>
      <c r="T98" s="2">
        <v>93</v>
      </c>
      <c r="U98" s="2">
        <f t="shared" si="110"/>
        <v>87.439130434782612</v>
      </c>
      <c r="V98" s="2">
        <f>U98*(1+V55)</f>
        <v>157.4416033036824</v>
      </c>
      <c r="W98" s="2">
        <f t="shared" si="117"/>
        <v>173.18576363405066</v>
      </c>
      <c r="X98" s="2">
        <f t="shared" si="117"/>
        <v>190.50433999745573</v>
      </c>
      <c r="Y98" s="2">
        <f t="shared" si="117"/>
        <v>209.55477399720132</v>
      </c>
      <c r="Z98" s="2">
        <f t="shared" si="117"/>
        <v>230.51025139692146</v>
      </c>
    </row>
    <row r="99" spans="1:122" x14ac:dyDescent="0.2">
      <c r="B99" s="2" t="s">
        <v>115</v>
      </c>
      <c r="G99" s="2">
        <v>62</v>
      </c>
      <c r="H99" s="2">
        <v>97</v>
      </c>
      <c r="I99" s="2">
        <v>5.4</v>
      </c>
      <c r="J99" s="2">
        <f>I99*(1+J56)</f>
        <v>7.0434782608695654</v>
      </c>
      <c r="R99" s="2">
        <v>29</v>
      </c>
      <c r="S99" s="2">
        <v>87.4</v>
      </c>
      <c r="T99" s="2">
        <v>-111</v>
      </c>
      <c r="U99" s="2">
        <f t="shared" si="110"/>
        <v>171.44347826086957</v>
      </c>
      <c r="V99" s="2">
        <v>100</v>
      </c>
      <c r="W99" s="2">
        <f t="shared" si="117"/>
        <v>110.00000000000001</v>
      </c>
      <c r="X99" s="2">
        <f t="shared" si="117"/>
        <v>121.00000000000003</v>
      </c>
      <c r="Y99" s="2">
        <f t="shared" si="117"/>
        <v>133.10000000000005</v>
      </c>
      <c r="Z99" s="2">
        <f t="shared" si="117"/>
        <v>146.41000000000008</v>
      </c>
    </row>
    <row r="100" spans="1:122" x14ac:dyDescent="0.2">
      <c r="B100" s="2" t="s">
        <v>118</v>
      </c>
      <c r="G100" s="2">
        <v>142</v>
      </c>
      <c r="H100" s="2">
        <v>183</v>
      </c>
      <c r="I100" s="2">
        <v>250</v>
      </c>
      <c r="J100" s="2">
        <f>I100*(1+J56)</f>
        <v>326.08695652173913</v>
      </c>
      <c r="R100" s="2">
        <v>31.6</v>
      </c>
      <c r="S100" s="2">
        <v>70.599999999999994</v>
      </c>
      <c r="T100" s="2">
        <v>112</v>
      </c>
      <c r="U100" s="2">
        <f t="shared" si="110"/>
        <v>901.08695652173913</v>
      </c>
      <c r="V100" s="2">
        <v>400</v>
      </c>
      <c r="W100" s="2">
        <f t="shared" si="117"/>
        <v>440.00000000000006</v>
      </c>
      <c r="X100" s="2">
        <f t="shared" si="117"/>
        <v>484.00000000000011</v>
      </c>
      <c r="Y100" s="2">
        <f t="shared" si="117"/>
        <v>532.4000000000002</v>
      </c>
      <c r="Z100" s="2">
        <f t="shared" si="117"/>
        <v>585.64000000000033</v>
      </c>
    </row>
    <row r="101" spans="1:122" x14ac:dyDescent="0.2">
      <c r="B101" s="2" t="s">
        <v>116</v>
      </c>
      <c r="G101" s="2">
        <v>1.5</v>
      </c>
      <c r="H101" s="2">
        <v>4</v>
      </c>
      <c r="I101" s="2">
        <v>5.4</v>
      </c>
      <c r="J101" s="2">
        <f>I101*(1+J56)</f>
        <v>7.0434782608695654</v>
      </c>
      <c r="R101" s="2">
        <v>-10.5</v>
      </c>
      <c r="S101" s="2">
        <v>-4.4000000000000004</v>
      </c>
      <c r="T101" s="2">
        <v>8.0399999999999991</v>
      </c>
      <c r="U101" s="2">
        <f t="shared" si="110"/>
        <v>17.943478260869565</v>
      </c>
      <c r="V101" s="2">
        <f>U101*(1+V55)</f>
        <v>32.308761216960725</v>
      </c>
      <c r="W101" s="2">
        <f t="shared" si="117"/>
        <v>35.539637338656803</v>
      </c>
      <c r="X101" s="2">
        <f t="shared" si="117"/>
        <v>39.093601072522489</v>
      </c>
      <c r="Y101" s="2">
        <f t="shared" si="117"/>
        <v>43.002961179774744</v>
      </c>
      <c r="Z101" s="2">
        <f t="shared" si="117"/>
        <v>47.303257297752225</v>
      </c>
    </row>
    <row r="102" spans="1:122" s="8" customFormat="1" x14ac:dyDescent="0.2">
      <c r="A102" s="2"/>
      <c r="B102" s="8" t="s">
        <v>15</v>
      </c>
      <c r="C102" s="8">
        <f>SUM(C87:C101)</f>
        <v>0</v>
      </c>
      <c r="D102" s="8">
        <f t="shared" ref="D102:H102" si="118">SUM(D87:D101)</f>
        <v>0</v>
      </c>
      <c r="E102" s="8">
        <f t="shared" si="118"/>
        <v>0</v>
      </c>
      <c r="F102" s="8">
        <f t="shared" si="118"/>
        <v>0</v>
      </c>
      <c r="G102" s="8">
        <f>SUM(G87:G101)</f>
        <v>407.40000000000003</v>
      </c>
      <c r="H102" s="8">
        <f t="shared" si="118"/>
        <v>167.80000000000018</v>
      </c>
      <c r="I102" s="8">
        <f>SUM(I87:I101)</f>
        <v>766.34</v>
      </c>
      <c r="J102" s="8">
        <f>SUM(J88:J101,J86)</f>
        <v>155.46410434782598</v>
      </c>
      <c r="K102" s="8">
        <f t="shared" ref="K102:N102" si="119">SUM(K88:K101,K86)</f>
        <v>356.73409989565221</v>
      </c>
      <c r="L102" s="8">
        <f t="shared" si="119"/>
        <v>372.27419455610442</v>
      </c>
      <c r="M102" s="8">
        <f t="shared" si="119"/>
        <v>388.33418082998065</v>
      </c>
      <c r="N102" s="8">
        <f t="shared" si="119"/>
        <v>612.05656569695259</v>
      </c>
      <c r="R102" s="8">
        <f>SUM(R87:R101)</f>
        <v>-440.59999999999991</v>
      </c>
      <c r="S102" s="8">
        <f>SUM(S87:S101)</f>
        <v>663.5</v>
      </c>
      <c r="T102" s="8">
        <f>SUM(T87:T101)</f>
        <v>-2485.7600000000002</v>
      </c>
      <c r="U102" s="8">
        <f>SUM(U87:U101)</f>
        <v>1497.0041043478263</v>
      </c>
      <c r="V102" s="8">
        <f t="shared" ref="V102:Z102" si="120">SUM(V88:V101,V86)</f>
        <v>3310.8398165061526</v>
      </c>
      <c r="W102" s="8">
        <f t="shared" si="120"/>
        <v>3721.0045778810859</v>
      </c>
      <c r="X102" s="8">
        <f t="shared" si="120"/>
        <v>4178.3351078691057</v>
      </c>
      <c r="Y102" s="8">
        <f t="shared" si="120"/>
        <v>4688.1884960111202</v>
      </c>
      <c r="Z102" s="8">
        <f t="shared" si="120"/>
        <v>5256.527964769024</v>
      </c>
    </row>
    <row r="103" spans="1:122" x14ac:dyDescent="0.2">
      <c r="B103" s="2" t="s">
        <v>67</v>
      </c>
      <c r="G103" s="2">
        <v>-44.3</v>
      </c>
      <c r="H103" s="2">
        <v>-71.8</v>
      </c>
      <c r="I103" s="2">
        <v>-104.5</v>
      </c>
      <c r="R103" s="2">
        <v>-45.2</v>
      </c>
      <c r="S103" s="2">
        <v>-36.799999999999997</v>
      </c>
      <c r="T103" s="2">
        <v>-124.3</v>
      </c>
      <c r="U103" s="2">
        <f t="shared" si="110"/>
        <v>-220.6</v>
      </c>
      <c r="V103" s="2">
        <f>U103*(1+V55)</f>
        <v>-397.20909295521039</v>
      </c>
      <c r="W103" s="2">
        <f>V103*(1+W55)</f>
        <v>-436.93000225073149</v>
      </c>
      <c r="X103" s="2">
        <f>W103*(1+X55)</f>
        <v>-480.6230024758047</v>
      </c>
      <c r="Y103" s="2">
        <f>X103*(1+Y55)</f>
        <v>-528.68530272338523</v>
      </c>
      <c r="Z103" s="2">
        <f>Y103*(1+Z55)</f>
        <v>-581.55383299572384</v>
      </c>
    </row>
    <row r="104" spans="1:122" x14ac:dyDescent="0.2">
      <c r="B104" s="2" t="s">
        <v>68</v>
      </c>
      <c r="I104" s="2">
        <v>0</v>
      </c>
      <c r="R104" s="2">
        <v>-1.1000000000000001</v>
      </c>
      <c r="S104" s="2">
        <v>-0.5</v>
      </c>
      <c r="T104" s="2">
        <v>-69.7</v>
      </c>
      <c r="U104" s="2">
        <f t="shared" si="110"/>
        <v>0</v>
      </c>
    </row>
    <row r="105" spans="1:122" x14ac:dyDescent="0.2">
      <c r="B105" s="2" t="s">
        <v>69</v>
      </c>
      <c r="I105" s="2">
        <v>0</v>
      </c>
      <c r="R105" s="2">
        <v>0</v>
      </c>
      <c r="S105" s="2">
        <v>-2.2000000000000002</v>
      </c>
      <c r="T105" s="2">
        <v>-0.3</v>
      </c>
      <c r="U105" s="2">
        <f t="shared" si="110"/>
        <v>0</v>
      </c>
    </row>
    <row r="106" spans="1:122" s="8" customFormat="1" x14ac:dyDescent="0.2">
      <c r="A106" s="2"/>
      <c r="B106" s="8" t="s">
        <v>70</v>
      </c>
      <c r="C106" s="8">
        <v>-2.63</v>
      </c>
      <c r="D106" s="8">
        <v>-17.350000000000001</v>
      </c>
      <c r="E106" s="8">
        <f t="shared" ref="E106:N106" si="121">E103</f>
        <v>0</v>
      </c>
      <c r="F106" s="8">
        <f t="shared" si="121"/>
        <v>0</v>
      </c>
      <c r="G106" s="8">
        <f t="shared" si="121"/>
        <v>-44.3</v>
      </c>
      <c r="H106" s="8">
        <f t="shared" si="121"/>
        <v>-71.8</v>
      </c>
      <c r="I106" s="8">
        <f t="shared" si="121"/>
        <v>-104.5</v>
      </c>
      <c r="J106" s="8">
        <v>-50</v>
      </c>
      <c r="K106" s="8">
        <f t="shared" si="121"/>
        <v>0</v>
      </c>
      <c r="L106" s="8">
        <f t="shared" si="121"/>
        <v>0</v>
      </c>
      <c r="M106" s="8">
        <f t="shared" si="121"/>
        <v>0</v>
      </c>
      <c r="N106" s="8">
        <f t="shared" si="121"/>
        <v>0</v>
      </c>
      <c r="R106" s="8">
        <f>R103</f>
        <v>-45.2</v>
      </c>
      <c r="S106" s="8">
        <f t="shared" ref="S106:Z106" si="122">S103</f>
        <v>-36.799999999999997</v>
      </c>
      <c r="T106" s="8">
        <f t="shared" si="122"/>
        <v>-124.3</v>
      </c>
      <c r="U106" s="8">
        <f t="shared" si="122"/>
        <v>-220.6</v>
      </c>
      <c r="V106" s="8">
        <f t="shared" si="122"/>
        <v>-397.20909295521039</v>
      </c>
      <c r="W106" s="8">
        <f t="shared" si="122"/>
        <v>-436.93000225073149</v>
      </c>
      <c r="X106" s="8">
        <f t="shared" si="122"/>
        <v>-480.6230024758047</v>
      </c>
      <c r="Y106" s="8">
        <f t="shared" si="122"/>
        <v>-528.68530272338523</v>
      </c>
      <c r="Z106" s="8">
        <f t="shared" si="122"/>
        <v>-581.55383299572384</v>
      </c>
    </row>
    <row r="107" spans="1:122" s="8" customFormat="1" x14ac:dyDescent="0.2">
      <c r="A107" s="2"/>
      <c r="B107" s="8" t="s">
        <v>14</v>
      </c>
      <c r="C107" s="8">
        <f>C102+C106</f>
        <v>-2.63</v>
      </c>
      <c r="D107" s="8">
        <f t="shared" ref="D107:N107" si="123">D102+D106</f>
        <v>-17.350000000000001</v>
      </c>
      <c r="E107" s="8">
        <f t="shared" si="123"/>
        <v>0</v>
      </c>
      <c r="F107" s="8">
        <f t="shared" si="123"/>
        <v>0</v>
      </c>
      <c r="G107" s="8">
        <f t="shared" si="123"/>
        <v>363.1</v>
      </c>
      <c r="H107" s="8">
        <f t="shared" si="123"/>
        <v>96.000000000000185</v>
      </c>
      <c r="I107" s="8">
        <f t="shared" si="123"/>
        <v>661.84</v>
      </c>
      <c r="J107" s="8">
        <f t="shared" si="123"/>
        <v>105.46410434782598</v>
      </c>
      <c r="K107" s="8">
        <f t="shared" si="123"/>
        <v>356.73409989565221</v>
      </c>
      <c r="L107" s="8">
        <f t="shared" si="123"/>
        <v>372.27419455610442</v>
      </c>
      <c r="M107" s="8">
        <f t="shared" si="123"/>
        <v>388.33418082998065</v>
      </c>
      <c r="N107" s="8">
        <f t="shared" si="123"/>
        <v>612.05656569695259</v>
      </c>
      <c r="R107" s="8">
        <f>R102+R106</f>
        <v>-485.7999999999999</v>
      </c>
      <c r="S107" s="8">
        <f t="shared" ref="S107:T107" si="124">S102+S106</f>
        <v>626.70000000000005</v>
      </c>
      <c r="T107" s="8">
        <f t="shared" si="124"/>
        <v>-2610.0600000000004</v>
      </c>
      <c r="U107" s="8">
        <f t="shared" ref="U107" si="125">U102+U106</f>
        <v>1276.4041043478264</v>
      </c>
      <c r="V107" s="8">
        <f t="shared" ref="V107" si="126">V102+V106</f>
        <v>2913.6307235509421</v>
      </c>
      <c r="W107" s="8">
        <f t="shared" ref="W107" si="127">W102+W106</f>
        <v>3284.0745756303545</v>
      </c>
      <c r="X107" s="8">
        <f t="shared" ref="X107" si="128">X102+X106</f>
        <v>3697.712105393301</v>
      </c>
      <c r="Y107" s="8">
        <f t="shared" ref="Y107" si="129">Y102+Y106</f>
        <v>4159.5031932877346</v>
      </c>
      <c r="Z107" s="8">
        <f t="shared" ref="Z107" si="130">Z102+Z106</f>
        <v>4674.9741317733005</v>
      </c>
      <c r="AA107" s="8">
        <f t="shared" ref="AA107:BF107" si="131">Z107*(1+$AC$55)</f>
        <v>4768.4736144087665</v>
      </c>
      <c r="AB107" s="8">
        <f t="shared" si="131"/>
        <v>4863.843086696942</v>
      </c>
      <c r="AC107" s="8">
        <f t="shared" si="131"/>
        <v>4961.1199484308809</v>
      </c>
      <c r="AD107" s="8">
        <f t="shared" si="131"/>
        <v>5060.342347399499</v>
      </c>
      <c r="AE107" s="8">
        <f t="shared" si="131"/>
        <v>5161.549194347489</v>
      </c>
      <c r="AF107" s="8">
        <f t="shared" si="131"/>
        <v>5264.7801782344386</v>
      </c>
      <c r="AG107" s="8">
        <f t="shared" si="131"/>
        <v>5370.0757817991271</v>
      </c>
      <c r="AH107" s="8">
        <f t="shared" si="131"/>
        <v>5477.4772974351099</v>
      </c>
      <c r="AI107" s="8">
        <f t="shared" si="131"/>
        <v>5587.0268433838119</v>
      </c>
      <c r="AJ107" s="8">
        <f t="shared" si="131"/>
        <v>5698.7673802514882</v>
      </c>
      <c r="AK107" s="8">
        <f t="shared" si="131"/>
        <v>5812.7427278565183</v>
      </c>
      <c r="AL107" s="8">
        <f t="shared" si="131"/>
        <v>5928.9975824136491</v>
      </c>
      <c r="AM107" s="8">
        <f t="shared" si="131"/>
        <v>6047.5775340619221</v>
      </c>
      <c r="AN107" s="8">
        <f t="shared" si="131"/>
        <v>6168.5290847431606</v>
      </c>
      <c r="AO107" s="8">
        <f t="shared" si="131"/>
        <v>6291.8996664380238</v>
      </c>
      <c r="AP107" s="8">
        <f t="shared" si="131"/>
        <v>6417.7376597667844</v>
      </c>
      <c r="AQ107" s="8">
        <f t="shared" si="131"/>
        <v>6546.0924129621199</v>
      </c>
      <c r="AR107" s="8">
        <f t="shared" si="131"/>
        <v>6677.0142612213622</v>
      </c>
      <c r="AS107" s="8">
        <f t="shared" si="131"/>
        <v>6810.5545464457891</v>
      </c>
      <c r="AT107" s="8">
        <f t="shared" si="131"/>
        <v>6946.765637374705</v>
      </c>
      <c r="AU107" s="8">
        <f t="shared" si="131"/>
        <v>7085.7009501221992</v>
      </c>
      <c r="AV107" s="8">
        <f t="shared" si="131"/>
        <v>7227.414969124643</v>
      </c>
      <c r="AW107" s="8">
        <f t="shared" si="131"/>
        <v>7371.9632685071356</v>
      </c>
      <c r="AX107" s="8">
        <f t="shared" si="131"/>
        <v>7519.4025338772781</v>
      </c>
      <c r="AY107" s="8">
        <f t="shared" si="131"/>
        <v>7669.7905845548239</v>
      </c>
      <c r="AZ107" s="8">
        <f t="shared" si="131"/>
        <v>7823.1863962459202</v>
      </c>
      <c r="BA107" s="8">
        <f t="shared" si="131"/>
        <v>7979.6501241708384</v>
      </c>
      <c r="BB107" s="8">
        <f t="shared" si="131"/>
        <v>8139.2431266542553</v>
      </c>
      <c r="BC107" s="8">
        <f t="shared" si="131"/>
        <v>8302.0279891873397</v>
      </c>
      <c r="BD107" s="8">
        <f t="shared" si="131"/>
        <v>8468.0685489710868</v>
      </c>
      <c r="BE107" s="8">
        <f t="shared" si="131"/>
        <v>8637.4299199505094</v>
      </c>
      <c r="BF107" s="8">
        <f t="shared" si="131"/>
        <v>8810.1785183495194</v>
      </c>
      <c r="BG107" s="8">
        <f t="shared" ref="BG107:CL107" si="132">BF107*(1+$AC$55)</f>
        <v>8986.3820887165093</v>
      </c>
      <c r="BH107" s="8">
        <f t="shared" si="132"/>
        <v>9166.1097304908399</v>
      </c>
      <c r="BI107" s="8">
        <f t="shared" si="132"/>
        <v>9349.4319251006564</v>
      </c>
      <c r="BJ107" s="8">
        <f t="shared" si="132"/>
        <v>9536.4205636026691</v>
      </c>
      <c r="BK107" s="8">
        <f t="shared" si="132"/>
        <v>9727.1489748747226</v>
      </c>
      <c r="BL107" s="8">
        <f t="shared" si="132"/>
        <v>9921.6919543722179</v>
      </c>
      <c r="BM107" s="8">
        <f t="shared" si="132"/>
        <v>10120.125793459662</v>
      </c>
      <c r="BN107" s="8">
        <f t="shared" si="132"/>
        <v>10322.528309328854</v>
      </c>
      <c r="BO107" s="8">
        <f t="shared" si="132"/>
        <v>10528.978875515431</v>
      </c>
      <c r="BP107" s="8">
        <f t="shared" si="132"/>
        <v>10739.55845302574</v>
      </c>
      <c r="BQ107" s="8">
        <f t="shared" si="132"/>
        <v>10954.349622086254</v>
      </c>
      <c r="BR107" s="8">
        <f t="shared" si="132"/>
        <v>11173.43661452798</v>
      </c>
      <c r="BS107" s="8">
        <f t="shared" si="132"/>
        <v>11396.905346818539</v>
      </c>
      <c r="BT107" s="8">
        <f t="shared" si="132"/>
        <v>11624.843453754911</v>
      </c>
      <c r="BU107" s="8">
        <f t="shared" si="132"/>
        <v>11857.34032283001</v>
      </c>
      <c r="BV107" s="8">
        <f t="shared" si="132"/>
        <v>12094.48712928661</v>
      </c>
      <c r="BW107" s="8">
        <f t="shared" si="132"/>
        <v>12336.376871872342</v>
      </c>
      <c r="BX107" s="8">
        <f t="shared" si="132"/>
        <v>12583.10440930979</v>
      </c>
      <c r="BY107" s="8">
        <f t="shared" si="132"/>
        <v>12834.766497495986</v>
      </c>
      <c r="BZ107" s="8">
        <f t="shared" si="132"/>
        <v>13091.461827445906</v>
      </c>
      <c r="CA107" s="8">
        <f t="shared" si="132"/>
        <v>13353.291063994824</v>
      </c>
      <c r="CB107" s="8">
        <f t="shared" si="132"/>
        <v>13620.356885274721</v>
      </c>
      <c r="CC107" s="8">
        <f t="shared" si="132"/>
        <v>13892.764022980216</v>
      </c>
      <c r="CD107" s="8">
        <f t="shared" si="132"/>
        <v>14170.61930343982</v>
      </c>
      <c r="CE107" s="8">
        <f t="shared" si="132"/>
        <v>14454.031689508616</v>
      </c>
      <c r="CF107" s="8">
        <f t="shared" si="132"/>
        <v>14743.112323298788</v>
      </c>
      <c r="CG107" s="8">
        <f t="shared" si="132"/>
        <v>15037.974569764765</v>
      </c>
      <c r="CH107" s="8">
        <f t="shared" si="132"/>
        <v>15338.734061160061</v>
      </c>
      <c r="CI107" s="8">
        <f t="shared" si="132"/>
        <v>15645.508742383263</v>
      </c>
      <c r="CJ107" s="8">
        <f t="shared" si="132"/>
        <v>15958.418917230929</v>
      </c>
      <c r="CK107" s="8">
        <f t="shared" si="132"/>
        <v>16277.587295575548</v>
      </c>
      <c r="CL107" s="8">
        <f t="shared" si="132"/>
        <v>16603.139041487058</v>
      </c>
      <c r="CM107" s="8">
        <f t="shared" ref="CM107:DR107" si="133">CL107*(1+$AC$55)</f>
        <v>16935.201822316802</v>
      </c>
      <c r="CN107" s="8">
        <f t="shared" si="133"/>
        <v>17273.905858763137</v>
      </c>
      <c r="CO107" s="8">
        <f t="shared" si="133"/>
        <v>17619.383975938399</v>
      </c>
      <c r="CP107" s="8">
        <f t="shared" si="133"/>
        <v>17971.771655457167</v>
      </c>
      <c r="CQ107" s="8">
        <f t="shared" si="133"/>
        <v>18331.207088566312</v>
      </c>
      <c r="CR107" s="8">
        <f t="shared" si="133"/>
        <v>18697.831230337641</v>
      </c>
      <c r="CS107" s="8">
        <f t="shared" si="133"/>
        <v>19071.787854944392</v>
      </c>
      <c r="CT107" s="8">
        <f t="shared" si="133"/>
        <v>19453.223612043279</v>
      </c>
      <c r="CU107" s="8">
        <f t="shared" si="133"/>
        <v>19842.288084284144</v>
      </c>
      <c r="CV107" s="8">
        <f t="shared" si="133"/>
        <v>20239.133845969827</v>
      </c>
      <c r="CW107" s="8">
        <f t="shared" si="133"/>
        <v>20643.916522889223</v>
      </c>
      <c r="CX107" s="8">
        <f t="shared" si="133"/>
        <v>21056.794853347008</v>
      </c>
      <c r="CY107" s="8">
        <f t="shared" si="133"/>
        <v>21477.930750413947</v>
      </c>
      <c r="CZ107" s="8">
        <f t="shared" si="133"/>
        <v>21907.489365422225</v>
      </c>
      <c r="DA107" s="8">
        <f t="shared" si="133"/>
        <v>22345.63915273067</v>
      </c>
      <c r="DB107" s="8">
        <f t="shared" si="133"/>
        <v>22792.551935785283</v>
      </c>
      <c r="DC107" s="8">
        <f t="shared" si="133"/>
        <v>23248.40297450099</v>
      </c>
      <c r="DD107" s="8">
        <f t="shared" si="133"/>
        <v>23713.37103399101</v>
      </c>
      <c r="DE107" s="8">
        <f t="shared" si="133"/>
        <v>24187.638454670832</v>
      </c>
      <c r="DF107" s="8">
        <f t="shared" si="133"/>
        <v>24671.391223764251</v>
      </c>
      <c r="DG107" s="8">
        <f t="shared" si="133"/>
        <v>25164.819048239537</v>
      </c>
      <c r="DH107" s="8">
        <f t="shared" si="133"/>
        <v>25668.115429204328</v>
      </c>
      <c r="DI107" s="8">
        <f t="shared" si="133"/>
        <v>26181.477737788417</v>
      </c>
      <c r="DJ107" s="8">
        <f t="shared" si="133"/>
        <v>26705.107292544184</v>
      </c>
      <c r="DK107" s="8">
        <f t="shared" si="133"/>
        <v>27239.209438395068</v>
      </c>
      <c r="DL107" s="8">
        <f t="shared" si="133"/>
        <v>27783.99362716297</v>
      </c>
      <c r="DM107" s="8">
        <f t="shared" si="133"/>
        <v>28339.67349970623</v>
      </c>
      <c r="DN107" s="8">
        <f t="shared" si="133"/>
        <v>28906.466969700356</v>
      </c>
      <c r="DO107" s="8">
        <f t="shared" si="133"/>
        <v>29484.596309094362</v>
      </c>
      <c r="DP107" s="8">
        <f t="shared" si="133"/>
        <v>30074.28823527625</v>
      </c>
      <c r="DQ107" s="8">
        <f t="shared" si="133"/>
        <v>30675.773999981775</v>
      </c>
      <c r="DR107" s="8">
        <f t="shared" si="133"/>
        <v>31289.289479981409</v>
      </c>
    </row>
  </sheetData>
  <hyperlinks>
    <hyperlink ref="A1" location="main!A1" display="Main" xr:uid="{59AA8257-1596-43FF-803F-69279BD13128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2025-02-12T01:52:33Z</dcterms:created>
  <dcterms:modified xsi:type="dcterms:W3CDTF">2025-06-16T01:54:38Z</dcterms:modified>
</cp:coreProperties>
</file>