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7D5E74B9-C211-4A79-98C0-97C39ABA1CBF}" xr6:coauthVersionLast="47" xr6:coauthVersionMax="47" xr10:uidLastSave="{00000000-0000-0000-0000-000000000000}"/>
  <bookViews>
    <workbookView xWindow="1605" yWindow="1425" windowWidth="22335" windowHeight="13875" activeTab="1" xr2:uid="{B5255683-9904-4B96-B116-504FB2085B5B}"/>
  </bookViews>
  <sheets>
    <sheet name="Main" sheetId="1" r:id="rId1"/>
    <sheet name="Model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2" l="1"/>
  <c r="Z16" i="2" s="1"/>
  <c r="AA16" i="2" s="1"/>
  <c r="Y17" i="2"/>
  <c r="Z17" i="2" s="1"/>
  <c r="AA17" i="2" s="1"/>
  <c r="X17" i="2"/>
  <c r="X16" i="2"/>
  <c r="W9" i="2"/>
  <c r="X9" i="2" s="1"/>
  <c r="Y9" i="2" s="1"/>
  <c r="Z9" i="2" s="1"/>
  <c r="AA9" i="2" s="1"/>
  <c r="S16" i="2"/>
  <c r="T16" i="2" s="1"/>
  <c r="U16" i="2" s="1"/>
  <c r="V16" i="2" s="1"/>
  <c r="W16" i="2" s="1"/>
  <c r="S17" i="2"/>
  <c r="T17" i="2" s="1"/>
  <c r="U17" i="2" s="1"/>
  <c r="V17" i="2" s="1"/>
  <c r="W17" i="2" s="1"/>
  <c r="R17" i="2"/>
  <c r="R16" i="2"/>
  <c r="S9" i="2"/>
  <c r="T9" i="2" s="1"/>
  <c r="U9" i="2" s="1"/>
  <c r="V9" i="2" s="1"/>
  <c r="W71" i="2"/>
  <c r="X71" i="2" s="1"/>
  <c r="Y71" i="2" s="1"/>
  <c r="Z71" i="2" s="1"/>
  <c r="AA71" i="2" s="1"/>
  <c r="R71" i="2"/>
  <c r="S71" i="2" s="1"/>
  <c r="T71" i="2" s="1"/>
  <c r="U71" i="2" s="1"/>
  <c r="V71" i="2" s="1"/>
  <c r="R20" i="2"/>
  <c r="R35" i="2"/>
  <c r="M29" i="2"/>
  <c r="N29" i="2"/>
  <c r="O29" i="2"/>
  <c r="L19" i="2"/>
  <c r="L21" i="2" s="1"/>
  <c r="L23" i="2" s="1"/>
  <c r="L25" i="2" s="1"/>
  <c r="L18" i="2"/>
  <c r="M18" i="2"/>
  <c r="M19" i="2" s="1"/>
  <c r="M21" i="2" s="1"/>
  <c r="M23" i="2" s="1"/>
  <c r="M25" i="2" s="1"/>
  <c r="N18" i="2"/>
  <c r="N19" i="2" s="1"/>
  <c r="N21" i="2" s="1"/>
  <c r="N23" i="2" s="1"/>
  <c r="N25" i="2" s="1"/>
  <c r="L13" i="2"/>
  <c r="M13" i="2"/>
  <c r="N13" i="2"/>
  <c r="L9" i="2"/>
  <c r="M9" i="2"/>
  <c r="M27" i="2" s="1"/>
  <c r="N9" i="2"/>
  <c r="N27" i="2" s="1"/>
  <c r="I17" i="2"/>
  <c r="J17" i="2" s="1"/>
  <c r="I16" i="2"/>
  <c r="J16" i="2" s="1"/>
  <c r="I15" i="2"/>
  <c r="J15" i="2" s="1"/>
  <c r="I24" i="2"/>
  <c r="J24" i="2" s="1"/>
  <c r="D18" i="2"/>
  <c r="E18" i="2"/>
  <c r="F18" i="2"/>
  <c r="G18" i="2"/>
  <c r="G33" i="2" s="1"/>
  <c r="H18" i="2"/>
  <c r="C18" i="2"/>
  <c r="H37" i="2"/>
  <c r="H36" i="2"/>
  <c r="C35" i="2"/>
  <c r="D35" i="2"/>
  <c r="E35" i="2"/>
  <c r="F35" i="2"/>
  <c r="E13" i="2"/>
  <c r="F13" i="2"/>
  <c r="G13" i="2"/>
  <c r="G14" i="2" s="1"/>
  <c r="G31" i="2" s="1"/>
  <c r="H13" i="2"/>
  <c r="C13" i="2"/>
  <c r="D13" i="2"/>
  <c r="H9" i="2"/>
  <c r="H28" i="2" s="1"/>
  <c r="F9" i="2"/>
  <c r="E9" i="2"/>
  <c r="C9" i="2"/>
  <c r="G27" i="2" s="1"/>
  <c r="D9" i="2"/>
  <c r="O6" i="1"/>
  <c r="O5" i="1"/>
  <c r="P9" i="2"/>
  <c r="Q9" i="2" s="1"/>
  <c r="Q29" i="2"/>
  <c r="P29" i="2"/>
  <c r="P83" i="2"/>
  <c r="Q83" i="2"/>
  <c r="O83" i="2"/>
  <c r="P91" i="2"/>
  <c r="Q91" i="2"/>
  <c r="O91" i="2"/>
  <c r="Q62" i="2"/>
  <c r="P62" i="2"/>
  <c r="P37" i="2"/>
  <c r="Q36" i="2"/>
  <c r="P36" i="2"/>
  <c r="Q49" i="2"/>
  <c r="P49" i="2"/>
  <c r="Q37" i="2"/>
  <c r="Q20" i="2"/>
  <c r="P20" i="2"/>
  <c r="O20" i="2"/>
  <c r="P18" i="2"/>
  <c r="Q18" i="2"/>
  <c r="O18" i="2"/>
  <c r="P13" i="2"/>
  <c r="Q13" i="2"/>
  <c r="O13" i="2"/>
  <c r="O9" i="2"/>
  <c r="O27" i="2" s="1"/>
  <c r="M35" i="2"/>
  <c r="N35" i="2"/>
  <c r="O35" i="2"/>
  <c r="G37" i="2"/>
  <c r="G36" i="2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O4" i="1"/>
  <c r="O7" i="1" s="1"/>
  <c r="F28" i="2" l="1"/>
  <c r="C14" i="2"/>
  <c r="C31" i="2" s="1"/>
  <c r="E33" i="2"/>
  <c r="G28" i="2"/>
  <c r="J9" i="2"/>
  <c r="J27" i="2" s="1"/>
  <c r="H27" i="2"/>
  <c r="H35" i="2"/>
  <c r="I20" i="2" s="1"/>
  <c r="I18" i="2"/>
  <c r="I33" i="2" s="1"/>
  <c r="J18" i="2"/>
  <c r="J33" i="2" s="1"/>
  <c r="J28" i="2"/>
  <c r="I28" i="2"/>
  <c r="F33" i="2"/>
  <c r="D33" i="2"/>
  <c r="C19" i="2"/>
  <c r="C21" i="2" s="1"/>
  <c r="C23" i="2" s="1"/>
  <c r="C25" i="2" s="1"/>
  <c r="I13" i="2"/>
  <c r="I14" i="2" s="1"/>
  <c r="I19" i="2" s="1"/>
  <c r="G19" i="2"/>
  <c r="H33" i="2"/>
  <c r="E28" i="2"/>
  <c r="H14" i="2"/>
  <c r="C33" i="2"/>
  <c r="F14" i="2"/>
  <c r="D28" i="2"/>
  <c r="E14" i="2"/>
  <c r="D14" i="2"/>
  <c r="I27" i="2"/>
  <c r="X29" i="2"/>
  <c r="R29" i="2"/>
  <c r="O33" i="2"/>
  <c r="P35" i="2"/>
  <c r="W27" i="2"/>
  <c r="W13" i="2"/>
  <c r="W14" i="2" s="1"/>
  <c r="P92" i="2"/>
  <c r="Q92" i="2"/>
  <c r="P33" i="2"/>
  <c r="Q63" i="2"/>
  <c r="Q64" i="2" s="1"/>
  <c r="Q33" i="2"/>
  <c r="P63" i="2"/>
  <c r="P64" i="2" s="1"/>
  <c r="O92" i="2"/>
  <c r="Q66" i="2"/>
  <c r="P66" i="2"/>
  <c r="O14" i="2"/>
  <c r="O31" i="2" s="1"/>
  <c r="G35" i="2"/>
  <c r="Q27" i="2"/>
  <c r="Q35" i="2"/>
  <c r="P27" i="2"/>
  <c r="R27" i="2"/>
  <c r="R13" i="2"/>
  <c r="R14" i="2" s="1"/>
  <c r="S27" i="2"/>
  <c r="S13" i="2"/>
  <c r="S14" i="2" s="1"/>
  <c r="Q14" i="2"/>
  <c r="Q31" i="2" s="1"/>
  <c r="P14" i="2"/>
  <c r="P31" i="2" s="1"/>
  <c r="J13" i="2" l="1"/>
  <c r="J14" i="2" s="1"/>
  <c r="J19" i="2" s="1"/>
  <c r="J32" i="2" s="1"/>
  <c r="E31" i="2"/>
  <c r="E19" i="2"/>
  <c r="D31" i="2"/>
  <c r="D19" i="2"/>
  <c r="C32" i="2"/>
  <c r="F31" i="2"/>
  <c r="F19" i="2"/>
  <c r="G32" i="2"/>
  <c r="G21" i="2"/>
  <c r="G23" i="2" s="1"/>
  <c r="G25" i="2" s="1"/>
  <c r="O8" i="1" s="1"/>
  <c r="H31" i="2"/>
  <c r="H19" i="2"/>
  <c r="X13" i="2"/>
  <c r="X14" i="2" s="1"/>
  <c r="X27" i="2"/>
  <c r="I32" i="2"/>
  <c r="I21" i="2"/>
  <c r="I22" i="2" s="1"/>
  <c r="I23" i="2" s="1"/>
  <c r="I35" i="2" s="1"/>
  <c r="Y13" i="2"/>
  <c r="Y14" i="2" s="1"/>
  <c r="Y27" i="2"/>
  <c r="Y29" i="2"/>
  <c r="O19" i="2"/>
  <c r="O21" i="2" s="1"/>
  <c r="R15" i="2"/>
  <c r="S15" i="2" s="1"/>
  <c r="S77" i="2"/>
  <c r="R73" i="2"/>
  <c r="S73" i="2" s="1"/>
  <c r="R75" i="2"/>
  <c r="S75" i="2" s="1"/>
  <c r="R74" i="2"/>
  <c r="S74" i="2" s="1"/>
  <c r="R70" i="2"/>
  <c r="S70" i="2" s="1"/>
  <c r="S82" i="2"/>
  <c r="R81" i="2"/>
  <c r="S81" i="2" s="1"/>
  <c r="R80" i="2"/>
  <c r="S80" i="2" s="1"/>
  <c r="R79" i="2"/>
  <c r="S79" i="2" s="1"/>
  <c r="R78" i="2"/>
  <c r="S78" i="2" s="1"/>
  <c r="R76" i="2"/>
  <c r="S76" i="2" s="1"/>
  <c r="R72" i="2"/>
  <c r="S72" i="2" s="1"/>
  <c r="S91" i="2"/>
  <c r="S29" i="2"/>
  <c r="P19" i="2"/>
  <c r="Q19" i="2"/>
  <c r="R18" i="2" l="1"/>
  <c r="H32" i="2"/>
  <c r="H21" i="2"/>
  <c r="H23" i="2" s="1"/>
  <c r="H25" i="2" s="1"/>
  <c r="F21" i="2"/>
  <c r="F23" i="2" s="1"/>
  <c r="F25" i="2" s="1"/>
  <c r="F32" i="2"/>
  <c r="D21" i="2"/>
  <c r="D23" i="2" s="1"/>
  <c r="D25" i="2" s="1"/>
  <c r="D32" i="2"/>
  <c r="E21" i="2"/>
  <c r="E23" i="2" s="1"/>
  <c r="E25" i="2" s="1"/>
  <c r="E32" i="2"/>
  <c r="I25" i="2"/>
  <c r="J20" i="2"/>
  <c r="J21" i="2" s="1"/>
  <c r="O32" i="2"/>
  <c r="Z27" i="2"/>
  <c r="Z13" i="2"/>
  <c r="Z14" i="2" s="1"/>
  <c r="Z29" i="2"/>
  <c r="AA29" i="2"/>
  <c r="R19" i="2"/>
  <c r="R33" i="2"/>
  <c r="P21" i="2"/>
  <c r="P23" i="2" s="1"/>
  <c r="P32" i="2"/>
  <c r="O23" i="2"/>
  <c r="Q21" i="2"/>
  <c r="Q32" i="2"/>
  <c r="S18" i="2"/>
  <c r="T13" i="2"/>
  <c r="T14" i="2" s="1"/>
  <c r="T27" i="2"/>
  <c r="T70" i="2" s="1"/>
  <c r="J22" i="2" l="1"/>
  <c r="J23" i="2" s="1"/>
  <c r="AA13" i="2"/>
  <c r="AA14" i="2" s="1"/>
  <c r="AA27" i="2"/>
  <c r="Q23" i="2"/>
  <c r="Q25" i="2" s="1"/>
  <c r="Q68" i="2"/>
  <c r="O25" i="2"/>
  <c r="O68" i="2"/>
  <c r="P25" i="2"/>
  <c r="P68" i="2"/>
  <c r="R21" i="2"/>
  <c r="R22" i="2" s="1"/>
  <c r="R32" i="2"/>
  <c r="T78" i="2"/>
  <c r="T91" i="2"/>
  <c r="T73" i="2"/>
  <c r="T75" i="2"/>
  <c r="T76" i="2"/>
  <c r="T81" i="2"/>
  <c r="T74" i="2"/>
  <c r="T72" i="2"/>
  <c r="T82" i="2"/>
  <c r="S19" i="2"/>
  <c r="S32" i="2" s="1"/>
  <c r="S33" i="2"/>
  <c r="T79" i="2"/>
  <c r="T80" i="2"/>
  <c r="T77" i="2"/>
  <c r="T29" i="2"/>
  <c r="T15" i="2"/>
  <c r="U27" i="2"/>
  <c r="U70" i="2" s="1"/>
  <c r="U13" i="2"/>
  <c r="U14" i="2" s="1"/>
  <c r="J25" i="2" l="1"/>
  <c r="J35" i="2"/>
  <c r="U76" i="2"/>
  <c r="U75" i="2"/>
  <c r="U74" i="2"/>
  <c r="R23" i="2"/>
  <c r="U73" i="2"/>
  <c r="U78" i="2"/>
  <c r="U72" i="2"/>
  <c r="U82" i="2"/>
  <c r="U77" i="2"/>
  <c r="U80" i="2"/>
  <c r="U79" i="2"/>
  <c r="U91" i="2"/>
  <c r="U81" i="2"/>
  <c r="U15" i="2"/>
  <c r="U29" i="2"/>
  <c r="V27" i="2"/>
  <c r="V70" i="2" s="1"/>
  <c r="W70" i="2" s="1"/>
  <c r="X70" i="2" s="1"/>
  <c r="Y70" i="2" s="1"/>
  <c r="Z70" i="2" s="1"/>
  <c r="AA70" i="2" s="1"/>
  <c r="V13" i="2"/>
  <c r="V14" i="2" s="1"/>
  <c r="T18" i="2"/>
  <c r="R68" i="2" l="1"/>
  <c r="R83" i="2" s="1"/>
  <c r="R92" i="2" s="1"/>
  <c r="S20" i="2"/>
  <c r="S21" i="2" s="1"/>
  <c r="S22" i="2" s="1"/>
  <c r="R25" i="2"/>
  <c r="V91" i="2"/>
  <c r="W91" i="2" s="1"/>
  <c r="X91" i="2" s="1"/>
  <c r="Y91" i="2" s="1"/>
  <c r="Z91" i="2" s="1"/>
  <c r="AA91" i="2" s="1"/>
  <c r="V74" i="2"/>
  <c r="W74" i="2" s="1"/>
  <c r="X74" i="2" s="1"/>
  <c r="Y74" i="2" s="1"/>
  <c r="Z74" i="2" s="1"/>
  <c r="AA74" i="2" s="1"/>
  <c r="V81" i="2"/>
  <c r="W81" i="2" s="1"/>
  <c r="X81" i="2" s="1"/>
  <c r="Y81" i="2" s="1"/>
  <c r="Z81" i="2" s="1"/>
  <c r="AA81" i="2" s="1"/>
  <c r="V73" i="2"/>
  <c r="W73" i="2" s="1"/>
  <c r="X73" i="2" s="1"/>
  <c r="Y73" i="2" s="1"/>
  <c r="Z73" i="2" s="1"/>
  <c r="AA73" i="2" s="1"/>
  <c r="V75" i="2"/>
  <c r="W75" i="2" s="1"/>
  <c r="X75" i="2" s="1"/>
  <c r="Y75" i="2" s="1"/>
  <c r="Z75" i="2" s="1"/>
  <c r="AA75" i="2" s="1"/>
  <c r="V76" i="2"/>
  <c r="W76" i="2" s="1"/>
  <c r="X76" i="2" s="1"/>
  <c r="Y76" i="2" s="1"/>
  <c r="Z76" i="2" s="1"/>
  <c r="AA76" i="2" s="1"/>
  <c r="V79" i="2"/>
  <c r="W79" i="2" s="1"/>
  <c r="X79" i="2" s="1"/>
  <c r="Y79" i="2" s="1"/>
  <c r="Z79" i="2" s="1"/>
  <c r="AA79" i="2" s="1"/>
  <c r="T19" i="2"/>
  <c r="T33" i="2"/>
  <c r="V78" i="2"/>
  <c r="W78" i="2" s="1"/>
  <c r="X78" i="2" s="1"/>
  <c r="Y78" i="2" s="1"/>
  <c r="Z78" i="2" s="1"/>
  <c r="AA78" i="2" s="1"/>
  <c r="V82" i="2"/>
  <c r="W82" i="2" s="1"/>
  <c r="X82" i="2" s="1"/>
  <c r="Y82" i="2" s="1"/>
  <c r="Z82" i="2" s="1"/>
  <c r="AA82" i="2" s="1"/>
  <c r="V80" i="2"/>
  <c r="W80" i="2" s="1"/>
  <c r="X80" i="2" s="1"/>
  <c r="Y80" i="2" s="1"/>
  <c r="Z80" i="2" s="1"/>
  <c r="AA80" i="2" s="1"/>
  <c r="V77" i="2"/>
  <c r="W77" i="2" s="1"/>
  <c r="X77" i="2" s="1"/>
  <c r="Y77" i="2" s="1"/>
  <c r="Z77" i="2" s="1"/>
  <c r="AA77" i="2" s="1"/>
  <c r="V72" i="2"/>
  <c r="W72" i="2" s="1"/>
  <c r="X72" i="2" s="1"/>
  <c r="Y72" i="2" s="1"/>
  <c r="Z72" i="2" s="1"/>
  <c r="AA72" i="2" s="1"/>
  <c r="V15" i="2"/>
  <c r="W15" i="2" s="1"/>
  <c r="X15" i="2" s="1"/>
  <c r="U18" i="2"/>
  <c r="Y15" i="2" l="1"/>
  <c r="X18" i="2"/>
  <c r="S23" i="2"/>
  <c r="S68" i="2" s="1"/>
  <c r="S83" i="2" s="1"/>
  <c r="S92" i="2" s="1"/>
  <c r="W29" i="2"/>
  <c r="V29" i="2"/>
  <c r="W18" i="2"/>
  <c r="V18" i="2"/>
  <c r="V19" i="2" s="1"/>
  <c r="V32" i="2" s="1"/>
  <c r="U19" i="2"/>
  <c r="U32" i="2" s="1"/>
  <c r="U33" i="2"/>
  <c r="T32" i="2"/>
  <c r="S35" i="2" l="1"/>
  <c r="T20" i="2" s="1"/>
  <c r="T21" i="2" s="1"/>
  <c r="T22" i="2" s="1"/>
  <c r="S25" i="2"/>
  <c r="X33" i="2"/>
  <c r="X19" i="2"/>
  <c r="X32" i="2" s="1"/>
  <c r="Y18" i="2"/>
  <c r="Z15" i="2"/>
  <c r="W19" i="2"/>
  <c r="W32" i="2" s="1"/>
  <c r="W33" i="2"/>
  <c r="V33" i="2"/>
  <c r="T23" i="2" l="1"/>
  <c r="T68" i="2" s="1"/>
  <c r="T83" i="2" s="1"/>
  <c r="T92" i="2" s="1"/>
  <c r="AA15" i="2"/>
  <c r="AA18" i="2" s="1"/>
  <c r="Z18" i="2"/>
  <c r="Y19" i="2"/>
  <c r="Y32" i="2" s="1"/>
  <c r="Y33" i="2"/>
  <c r="T35" i="2" l="1"/>
  <c r="U20" i="2" s="1"/>
  <c r="U21" i="2" s="1"/>
  <c r="U22" i="2" s="1"/>
  <c r="T25" i="2"/>
  <c r="Z33" i="2"/>
  <c r="Z19" i="2"/>
  <c r="Z32" i="2" s="1"/>
  <c r="AA19" i="2"/>
  <c r="AA32" i="2" s="1"/>
  <c r="AA33" i="2"/>
  <c r="U23" i="2"/>
  <c r="U68" i="2" l="1"/>
  <c r="U83" i="2" s="1"/>
  <c r="U92" i="2" s="1"/>
  <c r="U35" i="2"/>
  <c r="U25" i="2"/>
  <c r="V20" i="2" l="1"/>
  <c r="V21" i="2" s="1"/>
  <c r="V22" i="2" s="1"/>
  <c r="V23" i="2" l="1"/>
  <c r="V68" i="2" l="1"/>
  <c r="V83" i="2" s="1"/>
  <c r="V92" i="2" s="1"/>
  <c r="V25" i="2"/>
  <c r="V35" i="2"/>
  <c r="W20" i="2" l="1"/>
  <c r="W21" i="2" s="1"/>
  <c r="W22" i="2" s="1"/>
  <c r="W23" i="2" l="1"/>
  <c r="W68" i="2" l="1"/>
  <c r="W83" i="2" s="1"/>
  <c r="W92" i="2" s="1"/>
  <c r="W25" i="2"/>
  <c r="W35" i="2"/>
  <c r="X20" i="2" l="1"/>
  <c r="X21" i="2" s="1"/>
  <c r="X22" i="2" s="1"/>
  <c r="X23" i="2" l="1"/>
  <c r="X35" i="2" l="1"/>
  <c r="Y20" i="2" s="1"/>
  <c r="Y21" i="2" s="1"/>
  <c r="Y22" i="2" s="1"/>
  <c r="X25" i="2"/>
  <c r="X68" i="2"/>
  <c r="X83" i="2" s="1"/>
  <c r="X92" i="2" s="1"/>
  <c r="Y23" i="2" l="1"/>
  <c r="Y68" i="2" s="1"/>
  <c r="Y83" i="2" s="1"/>
  <c r="Y92" i="2" s="1"/>
  <c r="Y35" i="2"/>
  <c r="Y25" i="2" l="1"/>
  <c r="Z20" i="2"/>
  <c r="Z21" i="2" s="1"/>
  <c r="Z22" i="2" s="1"/>
  <c r="Z23" i="2" l="1"/>
  <c r="Z68" i="2" s="1"/>
  <c r="Z83" i="2" s="1"/>
  <c r="Z92" i="2" s="1"/>
  <c r="Z25" i="2" l="1"/>
  <c r="Z35" i="2"/>
  <c r="AA20" i="2" l="1"/>
  <c r="AA21" i="2" s="1"/>
  <c r="AA22" i="2" s="1"/>
  <c r="AA23" i="2" l="1"/>
  <c r="AA68" i="2" s="1"/>
  <c r="AA83" i="2" s="1"/>
  <c r="AA92" i="2" s="1"/>
  <c r="AB92" i="2" l="1"/>
  <c r="AC92" i="2" s="1"/>
  <c r="AD92" i="2" s="1"/>
  <c r="AE92" i="2" s="1"/>
  <c r="AF92" i="2" s="1"/>
  <c r="AG92" i="2" s="1"/>
  <c r="AH92" i="2" s="1"/>
  <c r="AI92" i="2" s="1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 s="1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BJ92" i="2" s="1"/>
  <c r="BK92" i="2" s="1"/>
  <c r="BL92" i="2" s="1"/>
  <c r="BM92" i="2" s="1"/>
  <c r="BN92" i="2" s="1"/>
  <c r="BO92" i="2" s="1"/>
  <c r="BP92" i="2" s="1"/>
  <c r="BQ92" i="2" s="1"/>
  <c r="BR92" i="2" s="1"/>
  <c r="BS92" i="2" s="1"/>
  <c r="BT92" i="2" s="1"/>
  <c r="BU92" i="2" s="1"/>
  <c r="BV92" i="2" s="1"/>
  <c r="BW92" i="2" s="1"/>
  <c r="BX92" i="2" s="1"/>
  <c r="BY92" i="2" s="1"/>
  <c r="BZ92" i="2" s="1"/>
  <c r="CA92" i="2" s="1"/>
  <c r="CB92" i="2" s="1"/>
  <c r="CC92" i="2" s="1"/>
  <c r="CD92" i="2" s="1"/>
  <c r="CE92" i="2" s="1"/>
  <c r="CF92" i="2" s="1"/>
  <c r="CG92" i="2" s="1"/>
  <c r="CH92" i="2" s="1"/>
  <c r="CI92" i="2" s="1"/>
  <c r="CJ92" i="2" s="1"/>
  <c r="CK92" i="2" s="1"/>
  <c r="CL92" i="2" s="1"/>
  <c r="CM92" i="2" s="1"/>
  <c r="CN92" i="2" s="1"/>
  <c r="CO92" i="2" s="1"/>
  <c r="CP92" i="2" s="1"/>
  <c r="CQ92" i="2" s="1"/>
  <c r="CR92" i="2" s="1"/>
  <c r="CS92" i="2" s="1"/>
  <c r="CT92" i="2" s="1"/>
  <c r="CU92" i="2" s="1"/>
  <c r="CV92" i="2" s="1"/>
  <c r="CW92" i="2" s="1"/>
  <c r="CX92" i="2" s="1"/>
  <c r="CY92" i="2" s="1"/>
  <c r="CZ92" i="2" s="1"/>
  <c r="DA92" i="2" s="1"/>
  <c r="DB92" i="2" s="1"/>
  <c r="DC92" i="2" s="1"/>
  <c r="DD92" i="2" s="1"/>
  <c r="DE92" i="2" s="1"/>
  <c r="DF92" i="2" s="1"/>
  <c r="DG92" i="2" s="1"/>
  <c r="DH92" i="2" s="1"/>
  <c r="DI92" i="2" s="1"/>
  <c r="DJ92" i="2" s="1"/>
  <c r="DK92" i="2" s="1"/>
  <c r="AD87" i="2" s="1"/>
  <c r="AD88" i="2" s="1"/>
  <c r="AA25" i="2"/>
  <c r="AA35" i="2"/>
  <c r="AD89" i="2" l="1"/>
</calcChain>
</file>

<file path=xl/sharedStrings.xml><?xml version="1.0" encoding="utf-8"?>
<sst xmlns="http://schemas.openxmlformats.org/spreadsheetml/2006/main" count="122" uniqueCount="106">
  <si>
    <t>Price</t>
  </si>
  <si>
    <t>Shares</t>
  </si>
  <si>
    <t>MC</t>
  </si>
  <si>
    <t>Cash</t>
  </si>
  <si>
    <t>Debt</t>
  </si>
  <si>
    <t>EV</t>
  </si>
  <si>
    <t>Subscription</t>
  </si>
  <si>
    <t>Product</t>
  </si>
  <si>
    <t>Services</t>
  </si>
  <si>
    <t>Revenue</t>
  </si>
  <si>
    <t>Subscription COGS</t>
  </si>
  <si>
    <t>Product COGS</t>
  </si>
  <si>
    <t>Services COGS</t>
  </si>
  <si>
    <t>COGS</t>
  </si>
  <si>
    <t>Gross Profit</t>
  </si>
  <si>
    <t>R&amp;D</t>
  </si>
  <si>
    <t>S&amp;M</t>
  </si>
  <si>
    <t>G&amp;A</t>
  </si>
  <si>
    <t>OPEX</t>
  </si>
  <si>
    <t>Operating Income</t>
  </si>
  <si>
    <t>Pretax Income</t>
  </si>
  <si>
    <t>Tax</t>
  </si>
  <si>
    <t>Net Income</t>
  </si>
  <si>
    <t>EPS</t>
  </si>
  <si>
    <t>Gross Margin</t>
  </si>
  <si>
    <t>CFFO</t>
  </si>
  <si>
    <t>FCF</t>
  </si>
  <si>
    <t>Net Cash</t>
  </si>
  <si>
    <t>Q125</t>
  </si>
  <si>
    <t>ROIC</t>
  </si>
  <si>
    <t>Maturity</t>
  </si>
  <si>
    <t>Discount</t>
  </si>
  <si>
    <t>NPV</t>
  </si>
  <si>
    <t>Diff</t>
  </si>
  <si>
    <t>Revenue y/y</t>
  </si>
  <si>
    <t>OPEX Margin</t>
  </si>
  <si>
    <t>Operating Margin</t>
  </si>
  <si>
    <t>Short-term Investments</t>
  </si>
  <si>
    <t>AR</t>
  </si>
  <si>
    <t>Prepaid Expenses</t>
  </si>
  <si>
    <t>PP&amp;E</t>
  </si>
  <si>
    <t>Operating Lease Assets</t>
  </si>
  <si>
    <t>GW</t>
  </si>
  <si>
    <t>Other Intangibles</t>
  </si>
  <si>
    <t>DIT</t>
  </si>
  <si>
    <t>Other Assets</t>
  </si>
  <si>
    <t>Assets</t>
  </si>
  <si>
    <t>Trade Payables</t>
  </si>
  <si>
    <t>Accrued Expenses</t>
  </si>
  <si>
    <t>Deferred Revenue</t>
  </si>
  <si>
    <t>ITP</t>
  </si>
  <si>
    <t>Operating Lease Liabilities</t>
  </si>
  <si>
    <t>Cur. Debt</t>
  </si>
  <si>
    <t>LT Debt</t>
  </si>
  <si>
    <t>LT Deferred Revenue</t>
  </si>
  <si>
    <t>Other Liabilities</t>
  </si>
  <si>
    <t>SE</t>
  </si>
  <si>
    <t>Liabilities</t>
  </si>
  <si>
    <t>L+SE</t>
  </si>
  <si>
    <t>Main</t>
  </si>
  <si>
    <t>Q124</t>
  </si>
  <si>
    <t>Q224</t>
  </si>
  <si>
    <t>Q324</t>
  </si>
  <si>
    <t>Q425</t>
  </si>
  <si>
    <t>Q225</t>
  </si>
  <si>
    <t>Q325</t>
  </si>
  <si>
    <t>LT ITP</t>
  </si>
  <si>
    <t>DSO</t>
  </si>
  <si>
    <t>Model NI</t>
  </si>
  <si>
    <t>Reported NI</t>
  </si>
  <si>
    <t>D&amp;A</t>
  </si>
  <si>
    <t>Stock-based Comp</t>
  </si>
  <si>
    <t>Reduction of OL Assets</t>
  </si>
  <si>
    <t>Lease Asset Impairments</t>
  </si>
  <si>
    <t>Unrealized Losses on Investments</t>
  </si>
  <si>
    <t>Other Non-cash</t>
  </si>
  <si>
    <t>AP</t>
  </si>
  <si>
    <t>DR</t>
  </si>
  <si>
    <t>Maturity of ST Investments</t>
  </si>
  <si>
    <t>Purchase of ST Investments</t>
  </si>
  <si>
    <t>Sale of ST Investments</t>
  </si>
  <si>
    <t>Acquisitions</t>
  </si>
  <si>
    <t>Purchase of PP&amp;E</t>
  </si>
  <si>
    <t>Purchase LT Investments</t>
  </si>
  <si>
    <t>Sale of LT Investments</t>
  </si>
  <si>
    <t>CAPEX</t>
  </si>
  <si>
    <t>Digital Media</t>
  </si>
  <si>
    <t>Digital Experience</t>
  </si>
  <si>
    <t>SG&amp;A y/y</t>
  </si>
  <si>
    <t>Revenue q/q</t>
  </si>
  <si>
    <t>Interest Income</t>
  </si>
  <si>
    <t>CEO: Shantanu Narayen</t>
  </si>
  <si>
    <t>Digital Art Industry</t>
  </si>
  <si>
    <t>https://www.scirp.org/journal/paperinformation?paperid=110725</t>
  </si>
  <si>
    <t>Source:</t>
  </si>
  <si>
    <t>Adobe Software</t>
  </si>
  <si>
    <t>Desc.</t>
  </si>
  <si>
    <t>"The majority (66%) of artist jobs with an annual salary of over 60 K are related to digital art and come from technology sectors"</t>
  </si>
  <si>
    <t>Digital Art software is a major productivity increase worth the investment a necessary tool</t>
  </si>
  <si>
    <t>Photoshop hard to recreate complex mathematical equations</t>
  </si>
  <si>
    <t>Hard to learn and master and large set of tools makes it advantageous for customer to stay</t>
  </si>
  <si>
    <t>Questions</t>
  </si>
  <si>
    <t>What is the competitive advantage over competitors?</t>
  </si>
  <si>
    <t>How will management advance the technology as competitors "catch up" to the current software?</t>
  </si>
  <si>
    <t>Is the ecosystem sufficient and is it disadvantageous to pay lower to switch to a different software due to learning?</t>
  </si>
  <si>
    <t>Can they sell cloud side software with server side compute?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</si>
</sst>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7" fillId="0" borderId="0" xfId="0" applyFont="1"/>
    <xf numFmtId="0" fontId="5" fillId="0" borderId="0" xfId="0" applyFont="1"/>
    <xf numFmtId="4" fontId="5" fillId="0" borderId="0" xfId="0" applyNumberFormat="1" applyFont="1"/>
    <xf numFmtId="3" fontId="5" fillId="0" borderId="0" xfId="0" applyNumberFormat="1" applyFont="1"/>
    <xf numFmtId="3" fontId="8" fillId="0" borderId="0" xfId="1" applyNumberFormat="1" applyFont="1"/>
    <xf numFmtId="3" fontId="4" fillId="0" borderId="0" xfId="0" applyNumberFormat="1" applyFont="1"/>
    <xf numFmtId="0" fontId="4" fillId="0" borderId="0" xfId="0" applyFont="1"/>
    <xf numFmtId="1" fontId="4" fillId="0" borderId="0" xfId="0" applyNumberFormat="1" applyFont="1"/>
    <xf numFmtId="4" fontId="4" fillId="0" borderId="0" xfId="0" applyNumberFormat="1" applyFont="1"/>
    <xf numFmtId="3" fontId="7" fillId="0" borderId="0" xfId="0" applyNumberFormat="1" applyFont="1"/>
    <xf numFmtId="10" fontId="4" fillId="0" borderId="0" xfId="0" applyNumberFormat="1" applyFont="1"/>
    <xf numFmtId="9" fontId="7" fillId="0" borderId="0" xfId="0" applyNumberFormat="1" applyFont="1"/>
    <xf numFmtId="164" fontId="7" fillId="0" borderId="0" xfId="0" applyNumberFormat="1" applyFont="1"/>
    <xf numFmtId="9" fontId="4" fillId="0" borderId="0" xfId="0" applyNumberFormat="1" applyFont="1"/>
    <xf numFmtId="164" fontId="4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1" fillId="0" borderId="0" xfId="0" applyFont="1"/>
    <xf numFmtId="0" fontId="9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</xdr:row>
      <xdr:rowOff>28575</xdr:rowOff>
    </xdr:from>
    <xdr:to>
      <xdr:col>17</xdr:col>
      <xdr:colOff>19050</xdr:colOff>
      <xdr:row>98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7E734B-78F6-25CF-AF3A-9164F515D047}"/>
            </a:ext>
          </a:extLst>
        </xdr:cNvPr>
        <xdr:cNvCxnSpPr/>
      </xdr:nvCxnSpPr>
      <xdr:spPr>
        <a:xfrm>
          <a:off x="10182225" y="28575"/>
          <a:ext cx="9525" cy="17945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632313</xdr:colOff>
      <xdr:row>1</xdr:row>
      <xdr:rowOff>0</xdr:rowOff>
    </xdr:from>
    <xdr:to>
      <xdr:col>8</xdr:col>
      <xdr:colOff>4396</xdr:colOff>
      <xdr:row>70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1F5E25C-17F0-4F8D-1774-386610D8C3FE}"/>
            </a:ext>
          </a:extLst>
        </xdr:cNvPr>
        <xdr:cNvCxnSpPr/>
      </xdr:nvCxnSpPr>
      <xdr:spPr>
        <a:xfrm flipH="1">
          <a:off x="5871063" y="0"/>
          <a:ext cx="9525" cy="113501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A162-EAE9-4CC5-AE4B-8B686CFC5399}">
  <dimension ref="A1:P14"/>
  <sheetViews>
    <sheetView zoomScale="115" zoomScaleNormal="115" workbookViewId="0">
      <selection activeCell="O2" sqref="O2"/>
    </sheetView>
  </sheetViews>
  <sheetFormatPr defaultRowHeight="12.75" x14ac:dyDescent="0.2"/>
  <cols>
    <col min="1" max="16384" width="9.140625" style="2"/>
  </cols>
  <sheetData>
    <row r="1" spans="1:16" x14ac:dyDescent="0.2">
      <c r="A1" s="1"/>
    </row>
    <row r="2" spans="1:16" x14ac:dyDescent="0.2">
      <c r="N2" s="2" t="s">
        <v>0</v>
      </c>
      <c r="O2" s="3">
        <v>348</v>
      </c>
    </row>
    <row r="3" spans="1:16" x14ac:dyDescent="0.2">
      <c r="N3" s="2" t="s">
        <v>1</v>
      </c>
      <c r="O3" s="4">
        <v>424.2</v>
      </c>
      <c r="P3" s="16" t="s">
        <v>64</v>
      </c>
    </row>
    <row r="4" spans="1:16" x14ac:dyDescent="0.2">
      <c r="N4" s="2" t="s">
        <v>2</v>
      </c>
      <c r="O4" s="4">
        <f>O3*O2</f>
        <v>147621.6</v>
      </c>
    </row>
    <row r="5" spans="1:16" x14ac:dyDescent="0.2">
      <c r="N5" s="2" t="s">
        <v>3</v>
      </c>
      <c r="O5" s="4">
        <f>4931+782</f>
        <v>5713</v>
      </c>
      <c r="P5" s="16" t="s">
        <v>64</v>
      </c>
    </row>
    <row r="6" spans="1:16" x14ac:dyDescent="0.2">
      <c r="N6" s="2" t="s">
        <v>4</v>
      </c>
      <c r="O6" s="4">
        <f>6166+114+477+323+540</f>
        <v>7620</v>
      </c>
      <c r="P6" s="16" t="s">
        <v>64</v>
      </c>
    </row>
    <row r="7" spans="1:16" x14ac:dyDescent="0.2">
      <c r="N7" s="2" t="s">
        <v>5</v>
      </c>
      <c r="O7" s="4">
        <f>O4+O6-O5</f>
        <v>149528.6</v>
      </c>
    </row>
    <row r="8" spans="1:16" x14ac:dyDescent="0.2">
      <c r="O8" s="3" t="e">
        <f>O2/(1.1*4*Model!G25)</f>
        <v>#DIV/0!</v>
      </c>
    </row>
    <row r="10" spans="1:16" x14ac:dyDescent="0.2">
      <c r="J10" s="21" t="s">
        <v>101</v>
      </c>
      <c r="N10" s="18" t="s">
        <v>91</v>
      </c>
    </row>
    <row r="11" spans="1:16" x14ac:dyDescent="0.2">
      <c r="J11" s="20" t="s">
        <v>102</v>
      </c>
    </row>
    <row r="12" spans="1:16" x14ac:dyDescent="0.2">
      <c r="J12" s="20" t="s">
        <v>104</v>
      </c>
    </row>
    <row r="13" spans="1:16" x14ac:dyDescent="0.2">
      <c r="J13" s="20" t="s">
        <v>103</v>
      </c>
    </row>
    <row r="14" spans="1:16" x14ac:dyDescent="0.2">
      <c r="J14" s="20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5702-5366-4A93-A101-38C235480BE9}">
  <dimension ref="A1:DK94"/>
  <sheetViews>
    <sheetView tabSelected="1" zoomScale="130" zoomScaleNormal="130" workbookViewId="0">
      <pane xSplit="2" ySplit="2" topLeftCell="S68" activePane="bottomRight" state="frozen"/>
      <selection pane="topRight" activeCell="B1" sqref="B1"/>
      <selection pane="bottomLeft" activeCell="A2" sqref="A2"/>
      <selection pane="bottomRight" activeCell="AE93" sqref="AE93"/>
    </sheetView>
  </sheetViews>
  <sheetFormatPr defaultRowHeight="12.75" x14ac:dyDescent="0.2"/>
  <cols>
    <col min="1" max="1" width="5" style="6" customWidth="1"/>
    <col min="2" max="2" width="27.85546875" style="6" customWidth="1"/>
    <col min="3" max="6" width="9.140625" style="7"/>
    <col min="7" max="7" width="9.140625" style="6"/>
    <col min="8" max="8" width="9.5703125" style="7" bestFit="1" customWidth="1"/>
    <col min="9" max="11" width="9.140625" style="7"/>
    <col min="12" max="17" width="9.140625" style="6"/>
    <col min="18" max="18" width="9.5703125" style="6" bestFit="1" customWidth="1"/>
    <col min="19" max="16384" width="9.140625" style="6"/>
  </cols>
  <sheetData>
    <row r="1" spans="1:28" x14ac:dyDescent="0.2">
      <c r="A1" s="5" t="s">
        <v>59</v>
      </c>
    </row>
    <row r="2" spans="1:28" x14ac:dyDescent="0.2">
      <c r="C2" s="7" t="s">
        <v>60</v>
      </c>
      <c r="D2" s="7" t="s">
        <v>61</v>
      </c>
      <c r="E2" s="7" t="s">
        <v>62</v>
      </c>
      <c r="F2" s="7" t="s">
        <v>63</v>
      </c>
      <c r="G2" s="6" t="s">
        <v>28</v>
      </c>
      <c r="H2" s="7" t="s">
        <v>64</v>
      </c>
      <c r="I2" s="7" t="s">
        <v>65</v>
      </c>
      <c r="J2" s="7" t="s">
        <v>63</v>
      </c>
      <c r="L2" s="8">
        <v>2019</v>
      </c>
      <c r="M2" s="8">
        <v>2020</v>
      </c>
      <c r="N2" s="8">
        <f>M2+1</f>
        <v>2021</v>
      </c>
      <c r="O2" s="8">
        <f t="shared" ref="O2:V2" si="0">N2+1</f>
        <v>2022</v>
      </c>
      <c r="P2" s="8">
        <f t="shared" si="0"/>
        <v>2023</v>
      </c>
      <c r="Q2" s="8">
        <f t="shared" si="0"/>
        <v>2024</v>
      </c>
      <c r="R2" s="8">
        <f t="shared" si="0"/>
        <v>2025</v>
      </c>
      <c r="S2" s="8">
        <f t="shared" si="0"/>
        <v>2026</v>
      </c>
      <c r="T2" s="8">
        <f t="shared" si="0"/>
        <v>2027</v>
      </c>
      <c r="U2" s="8">
        <f t="shared" si="0"/>
        <v>2028</v>
      </c>
      <c r="V2" s="8">
        <f t="shared" si="0"/>
        <v>2029</v>
      </c>
      <c r="W2" s="8">
        <f t="shared" ref="W2" si="1">V2+1</f>
        <v>2030</v>
      </c>
      <c r="X2" s="8">
        <f t="shared" ref="X2" si="2">W2+1</f>
        <v>2031</v>
      </c>
      <c r="Y2" s="8">
        <f t="shared" ref="Y2" si="3">X2+1</f>
        <v>2032</v>
      </c>
      <c r="Z2" s="8">
        <f t="shared" ref="Z2" si="4">Y2+1</f>
        <v>2033</v>
      </c>
      <c r="AA2" s="8">
        <f t="shared" ref="AA2" si="5">Z2+1</f>
        <v>2034</v>
      </c>
    </row>
    <row r="3" spans="1:28" x14ac:dyDescent="0.2">
      <c r="A3" s="5"/>
      <c r="B3" s="6" t="s">
        <v>86</v>
      </c>
      <c r="H3" s="6">
        <v>4300</v>
      </c>
      <c r="I3" s="6">
        <v>4400</v>
      </c>
      <c r="K3" s="6"/>
      <c r="M3" s="8"/>
      <c r="N3" s="8"/>
      <c r="O3" s="8"/>
      <c r="P3" s="8"/>
      <c r="Q3" s="8"/>
      <c r="R3" s="6">
        <v>17500</v>
      </c>
      <c r="S3" s="8"/>
      <c r="T3" s="8"/>
      <c r="U3" s="8"/>
      <c r="V3" s="8"/>
      <c r="W3" s="8"/>
      <c r="X3" s="8"/>
      <c r="Y3" s="8"/>
      <c r="Z3" s="8"/>
      <c r="AA3" s="8"/>
    </row>
    <row r="4" spans="1:28" x14ac:dyDescent="0.2">
      <c r="A4" s="5"/>
      <c r="B4" s="6" t="s">
        <v>87</v>
      </c>
      <c r="H4" s="6">
        <v>1450</v>
      </c>
      <c r="I4" s="6">
        <v>1450</v>
      </c>
      <c r="M4" s="8"/>
      <c r="N4" s="8"/>
      <c r="O4" s="8"/>
      <c r="P4" s="8"/>
      <c r="Q4" s="8"/>
      <c r="R4" s="6">
        <v>5850</v>
      </c>
      <c r="S4" s="8"/>
      <c r="T4" s="8"/>
      <c r="U4" s="8"/>
      <c r="V4" s="8"/>
      <c r="W4" s="8"/>
      <c r="X4" s="8"/>
      <c r="Y4" s="8"/>
      <c r="Z4" s="8"/>
      <c r="AA4" s="8"/>
    </row>
    <row r="5" spans="1:28" x14ac:dyDescent="0.2">
      <c r="A5" s="5"/>
      <c r="H5" s="6"/>
      <c r="I5" s="14"/>
      <c r="K5" s="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14"/>
    </row>
    <row r="6" spans="1:28" x14ac:dyDescent="0.2">
      <c r="B6" s="6" t="s">
        <v>6</v>
      </c>
      <c r="D6" s="6">
        <v>5060</v>
      </c>
      <c r="H6" s="6">
        <v>5641</v>
      </c>
      <c r="I6" s="6"/>
      <c r="J6" s="6"/>
      <c r="K6" s="6"/>
      <c r="L6" s="6">
        <v>9634</v>
      </c>
      <c r="M6" s="6">
        <v>11626</v>
      </c>
      <c r="N6" s="6">
        <v>14573</v>
      </c>
      <c r="O6" s="6">
        <v>16388</v>
      </c>
      <c r="P6" s="6">
        <v>18284</v>
      </c>
      <c r="Q6" s="6">
        <v>20521</v>
      </c>
    </row>
    <row r="7" spans="1:28" x14ac:dyDescent="0.2">
      <c r="B7" s="6" t="s">
        <v>7</v>
      </c>
      <c r="D7" s="6">
        <v>104</v>
      </c>
      <c r="H7" s="7">
        <v>88</v>
      </c>
      <c r="L7" s="6">
        <v>648</v>
      </c>
      <c r="M7" s="6">
        <v>507</v>
      </c>
      <c r="N7" s="6">
        <v>555</v>
      </c>
      <c r="O7" s="6">
        <v>532</v>
      </c>
      <c r="P7" s="6">
        <v>460</v>
      </c>
      <c r="Q7" s="6">
        <v>386</v>
      </c>
    </row>
    <row r="8" spans="1:28" x14ac:dyDescent="0.2">
      <c r="B8" s="6" t="s">
        <v>8</v>
      </c>
      <c r="D8" s="6">
        <v>145</v>
      </c>
      <c r="H8" s="7">
        <v>144</v>
      </c>
      <c r="L8" s="6">
        <v>889</v>
      </c>
      <c r="M8" s="6">
        <v>735</v>
      </c>
      <c r="N8" s="6">
        <v>657</v>
      </c>
      <c r="O8" s="6">
        <v>686</v>
      </c>
      <c r="P8" s="6">
        <v>665</v>
      </c>
      <c r="Q8" s="6">
        <v>598</v>
      </c>
    </row>
    <row r="9" spans="1:28" s="10" customFormat="1" x14ac:dyDescent="0.2">
      <c r="B9" s="10" t="s">
        <v>9</v>
      </c>
      <c r="C9" s="10">
        <f>SUM(C6:C8)</f>
        <v>0</v>
      </c>
      <c r="D9" s="10">
        <f>SUM(D6:D8)</f>
        <v>5309</v>
      </c>
      <c r="E9" s="10">
        <f>SUM(E6:E8)</f>
        <v>0</v>
      </c>
      <c r="F9" s="10">
        <f>SUM(F6:F8)</f>
        <v>0</v>
      </c>
      <c r="G9" s="10">
        <v>5710</v>
      </c>
      <c r="H9" s="10">
        <f>SUM(H6:H8)</f>
        <v>5873</v>
      </c>
      <c r="I9" s="10">
        <v>5900</v>
      </c>
      <c r="J9" s="10">
        <f>I9*1.02</f>
        <v>6018</v>
      </c>
      <c r="L9" s="10">
        <f>SUM(L6:L8)</f>
        <v>11171</v>
      </c>
      <c r="M9" s="10">
        <f>SUM(M6:M8)</f>
        <v>12868</v>
      </c>
      <c r="N9" s="10">
        <f>SUM(N6:N8)</f>
        <v>15785</v>
      </c>
      <c r="O9" s="10">
        <f>SUM(O6:O8)</f>
        <v>17606</v>
      </c>
      <c r="P9" s="10">
        <f t="shared" ref="P9:Q9" si="6">SUM(P6:P8)</f>
        <v>19409</v>
      </c>
      <c r="Q9" s="10">
        <f t="shared" si="6"/>
        <v>21505</v>
      </c>
      <c r="R9" s="10">
        <v>23600</v>
      </c>
      <c r="S9" s="10">
        <f>R9*1.07</f>
        <v>25252</v>
      </c>
      <c r="T9" s="10">
        <f t="shared" ref="T9:AA9" si="7">S9*1.07</f>
        <v>27019.640000000003</v>
      </c>
      <c r="U9" s="10">
        <f t="shared" si="7"/>
        <v>28911.014800000004</v>
      </c>
      <c r="V9" s="10">
        <f t="shared" si="7"/>
        <v>30934.785836000006</v>
      </c>
      <c r="W9" s="10">
        <f t="shared" si="7"/>
        <v>33100.220844520009</v>
      </c>
      <c r="X9" s="10">
        <f t="shared" ref="X9:AA9" si="8">W9*1.03</f>
        <v>34093.227469855607</v>
      </c>
      <c r="Y9" s="10">
        <f t="shared" si="8"/>
        <v>35116.024293951275</v>
      </c>
      <c r="Z9" s="10">
        <f t="shared" si="8"/>
        <v>36169.505022769816</v>
      </c>
      <c r="AA9" s="10">
        <f t="shared" si="8"/>
        <v>37254.590173452911</v>
      </c>
    </row>
    <row r="10" spans="1:28" x14ac:dyDescent="0.2">
      <c r="B10" s="6" t="s">
        <v>10</v>
      </c>
      <c r="D10" s="7">
        <v>456</v>
      </c>
      <c r="H10" s="7">
        <v>505</v>
      </c>
      <c r="I10" s="6"/>
      <c r="O10" s="6">
        <v>1646</v>
      </c>
      <c r="P10" s="6">
        <v>1822</v>
      </c>
      <c r="Q10" s="6">
        <v>1799</v>
      </c>
      <c r="AA10" s="14"/>
    </row>
    <row r="11" spans="1:28" x14ac:dyDescent="0.2">
      <c r="B11" s="6" t="s">
        <v>11</v>
      </c>
      <c r="D11" s="7">
        <v>8</v>
      </c>
      <c r="H11" s="7">
        <v>6</v>
      </c>
      <c r="O11" s="6">
        <v>35</v>
      </c>
      <c r="P11" s="6">
        <v>29</v>
      </c>
      <c r="Q11" s="6">
        <v>25</v>
      </c>
      <c r="R11" s="14"/>
      <c r="S11" s="14"/>
    </row>
    <row r="12" spans="1:28" x14ac:dyDescent="0.2">
      <c r="B12" s="6" t="s">
        <v>12</v>
      </c>
      <c r="D12" s="7">
        <v>134</v>
      </c>
      <c r="H12" s="7">
        <v>127</v>
      </c>
      <c r="O12" s="6">
        <v>484</v>
      </c>
      <c r="P12" s="6">
        <v>503</v>
      </c>
      <c r="Q12" s="6">
        <v>534</v>
      </c>
    </row>
    <row r="13" spans="1:28" x14ac:dyDescent="0.2">
      <c r="B13" s="6" t="s">
        <v>13</v>
      </c>
      <c r="C13" s="7">
        <f>SUM(C10:C12)</f>
        <v>0</v>
      </c>
      <c r="D13" s="7">
        <f>SUM(D10:D12)</f>
        <v>598</v>
      </c>
      <c r="E13" s="7">
        <f t="shared" ref="E13:H13" si="9">SUM(E10:E12)</f>
        <v>0</v>
      </c>
      <c r="F13" s="7">
        <f t="shared" si="9"/>
        <v>0</v>
      </c>
      <c r="G13" s="7">
        <f t="shared" si="9"/>
        <v>0</v>
      </c>
      <c r="H13" s="7">
        <f t="shared" si="9"/>
        <v>638</v>
      </c>
      <c r="I13" s="6">
        <f>I9*(1-I31)</f>
        <v>648.99999999999989</v>
      </c>
      <c r="J13" s="6">
        <f>J9*(1-J31)</f>
        <v>661.9799999999999</v>
      </c>
      <c r="K13" s="6"/>
      <c r="L13" s="6">
        <f>SUM(L10:L12)</f>
        <v>0</v>
      </c>
      <c r="M13" s="6">
        <f>SUM(M10:M12)</f>
        <v>0</v>
      </c>
      <c r="N13" s="6">
        <f>SUM(N10:N12)</f>
        <v>0</v>
      </c>
      <c r="O13" s="6">
        <f>SUM(O10:O12)</f>
        <v>2165</v>
      </c>
      <c r="P13" s="6">
        <f t="shared" ref="P13:Q13" si="10">SUM(P10:P12)</f>
        <v>2354</v>
      </c>
      <c r="Q13" s="6">
        <f t="shared" si="10"/>
        <v>2358</v>
      </c>
      <c r="R13" s="6">
        <f t="shared" ref="R13:W13" si="11">R9*(1-R31)</f>
        <v>2595.9999999999995</v>
      </c>
      <c r="S13" s="6">
        <f t="shared" si="11"/>
        <v>2777.72</v>
      </c>
      <c r="T13" s="6">
        <f t="shared" si="11"/>
        <v>2972.1603999999998</v>
      </c>
      <c r="U13" s="6">
        <f t="shared" si="11"/>
        <v>3180.211628</v>
      </c>
      <c r="V13" s="6">
        <f t="shared" si="11"/>
        <v>3402.8264419600005</v>
      </c>
      <c r="W13" s="6">
        <f t="shared" si="11"/>
        <v>3641.0242928972007</v>
      </c>
      <c r="X13" s="6">
        <f t="shared" ref="X13:AA13" si="12">X9*(1-X31)</f>
        <v>3750.2550216841164</v>
      </c>
      <c r="Y13" s="6">
        <f t="shared" si="12"/>
        <v>3862.7626723346398</v>
      </c>
      <c r="Z13" s="6">
        <f t="shared" si="12"/>
        <v>3978.6455525046795</v>
      </c>
      <c r="AA13" s="6">
        <f t="shared" si="12"/>
        <v>4098.00491907982</v>
      </c>
    </row>
    <row r="14" spans="1:28" x14ac:dyDescent="0.2">
      <c r="B14" s="6" t="s">
        <v>14</v>
      </c>
      <c r="C14" s="6">
        <f>C9-C13</f>
        <v>0</v>
      </c>
      <c r="D14" s="6">
        <f>D9-D13</f>
        <v>4711</v>
      </c>
      <c r="E14" s="6">
        <f t="shared" ref="E14:J14" si="13">E9-E13</f>
        <v>0</v>
      </c>
      <c r="F14" s="6">
        <f t="shared" si="13"/>
        <v>0</v>
      </c>
      <c r="G14" s="6">
        <f t="shared" si="13"/>
        <v>5710</v>
      </c>
      <c r="H14" s="6">
        <f t="shared" si="13"/>
        <v>5235</v>
      </c>
      <c r="I14" s="6">
        <f t="shared" si="13"/>
        <v>5251</v>
      </c>
      <c r="J14" s="6">
        <f t="shared" si="13"/>
        <v>5356.02</v>
      </c>
      <c r="K14" s="6"/>
      <c r="O14" s="6">
        <f>O9-O13</f>
        <v>15441</v>
      </c>
      <c r="P14" s="6">
        <f t="shared" ref="P14:Q14" si="14">P9-P13</f>
        <v>17055</v>
      </c>
      <c r="Q14" s="6">
        <f t="shared" si="14"/>
        <v>19147</v>
      </c>
      <c r="R14" s="6">
        <f t="shared" ref="R14" si="15">R9-R13</f>
        <v>21004</v>
      </c>
      <c r="S14" s="6">
        <f t="shared" ref="S14" si="16">S9-S13</f>
        <v>22474.28</v>
      </c>
      <c r="T14" s="6">
        <f t="shared" ref="T14" si="17">T9-T13</f>
        <v>24047.479600000002</v>
      </c>
      <c r="U14" s="6">
        <f t="shared" ref="U14" si="18">U9-U13</f>
        <v>25730.803172000004</v>
      </c>
      <c r="V14" s="6">
        <f t="shared" ref="V14:W14" si="19">V9-V13</f>
        <v>27531.959394040005</v>
      </c>
      <c r="W14" s="6">
        <f t="shared" si="19"/>
        <v>29459.196551622808</v>
      </c>
      <c r="X14" s="6">
        <f t="shared" ref="X14:AA14" si="20">X9-X13</f>
        <v>30342.972448171491</v>
      </c>
      <c r="Y14" s="6">
        <f t="shared" si="20"/>
        <v>31253.261621616635</v>
      </c>
      <c r="Z14" s="6">
        <f t="shared" si="20"/>
        <v>32190.859470265135</v>
      </c>
      <c r="AA14" s="6">
        <f t="shared" si="20"/>
        <v>33156.585254373087</v>
      </c>
    </row>
    <row r="15" spans="1:28" x14ac:dyDescent="0.2">
      <c r="B15" s="6" t="s">
        <v>15</v>
      </c>
      <c r="C15" s="6"/>
      <c r="D15" s="6">
        <v>984</v>
      </c>
      <c r="E15" s="6"/>
      <c r="F15" s="6"/>
      <c r="H15" s="6">
        <v>1082</v>
      </c>
      <c r="I15" s="6">
        <f t="shared" ref="I15:J17" si="21">H15*1.01</f>
        <v>1092.82</v>
      </c>
      <c r="J15" s="6">
        <f t="shared" si="21"/>
        <v>1103.7482</v>
      </c>
      <c r="K15" s="6"/>
      <c r="O15" s="6">
        <v>2987</v>
      </c>
      <c r="P15" s="6">
        <v>3473</v>
      </c>
      <c r="Q15" s="6">
        <v>3944</v>
      </c>
      <c r="R15" s="6">
        <f>Q15*(1+R27)</f>
        <v>4328.221343873518</v>
      </c>
      <c r="S15" s="6">
        <f t="shared" ref="S15:W15" si="22">R15*(1+S27)</f>
        <v>4631.1968379446644</v>
      </c>
      <c r="T15" s="6">
        <f t="shared" si="22"/>
        <v>4955.3806166007907</v>
      </c>
      <c r="U15" s="6">
        <f t="shared" si="22"/>
        <v>5302.2572597628468</v>
      </c>
      <c r="V15" s="6">
        <f t="shared" si="22"/>
        <v>5673.4152679462468</v>
      </c>
      <c r="W15" s="6">
        <f t="shared" si="22"/>
        <v>6070.5543367024848</v>
      </c>
      <c r="X15" s="6">
        <f t="shared" ref="X15" si="23">W15*(1+X27)</f>
        <v>6252.6709668035592</v>
      </c>
      <c r="Y15" s="6">
        <f t="shared" ref="Y15" si="24">X15*(1+Y27)</f>
        <v>6440.2510958076664</v>
      </c>
      <c r="Z15" s="6">
        <f t="shared" ref="Z15" si="25">Y15*(1+Z27)</f>
        <v>6633.4586286818967</v>
      </c>
      <c r="AA15" s="6">
        <f t="shared" ref="AA15" si="26">Z15*(1+AA27)</f>
        <v>6832.462387542354</v>
      </c>
    </row>
    <row r="16" spans="1:28" x14ac:dyDescent="0.2">
      <c r="B16" s="6" t="s">
        <v>16</v>
      </c>
      <c r="C16" s="6"/>
      <c r="D16" s="6">
        <v>1445</v>
      </c>
      <c r="E16" s="6"/>
      <c r="F16" s="6"/>
      <c r="H16" s="6">
        <v>1626</v>
      </c>
      <c r="I16" s="6">
        <f t="shared" si="21"/>
        <v>1642.26</v>
      </c>
      <c r="J16" s="6">
        <f t="shared" si="21"/>
        <v>1658.6826000000001</v>
      </c>
      <c r="K16" s="6"/>
      <c r="O16" s="6">
        <v>4968</v>
      </c>
      <c r="P16" s="6">
        <v>5351</v>
      </c>
      <c r="Q16" s="6">
        <v>5764</v>
      </c>
      <c r="R16" s="6">
        <f>Q16*1.05</f>
        <v>6052.2</v>
      </c>
      <c r="S16" s="6">
        <f t="shared" ref="S16:AA16" si="27">R16*1.05</f>
        <v>6354.81</v>
      </c>
      <c r="T16" s="6">
        <f t="shared" si="27"/>
        <v>6672.5505000000003</v>
      </c>
      <c r="U16" s="6">
        <f t="shared" si="27"/>
        <v>7006.1780250000002</v>
      </c>
      <c r="V16" s="6">
        <f t="shared" si="27"/>
        <v>7356.4869262500006</v>
      </c>
      <c r="W16" s="6">
        <f t="shared" si="27"/>
        <v>7724.3112725625006</v>
      </c>
      <c r="X16" s="6">
        <f>W16*1.02</f>
        <v>7878.7974980137506</v>
      </c>
      <c r="Y16" s="6">
        <f t="shared" ref="Y16:AA16" si="28">X16*1.02</f>
        <v>8036.373447974026</v>
      </c>
      <c r="Z16" s="6">
        <f t="shared" si="28"/>
        <v>8197.1009169335066</v>
      </c>
      <c r="AA16" s="6">
        <f t="shared" si="28"/>
        <v>8361.0429352721767</v>
      </c>
    </row>
    <row r="17" spans="2:27" x14ac:dyDescent="0.2">
      <c r="B17" s="6" t="s">
        <v>17</v>
      </c>
      <c r="C17" s="6"/>
      <c r="D17" s="6">
        <v>355</v>
      </c>
      <c r="E17" s="6"/>
      <c r="F17" s="6"/>
      <c r="H17" s="6">
        <v>377</v>
      </c>
      <c r="I17" s="6">
        <f t="shared" si="21"/>
        <v>380.77</v>
      </c>
      <c r="J17" s="6">
        <f t="shared" si="21"/>
        <v>384.57769999999999</v>
      </c>
      <c r="K17" s="6"/>
      <c r="O17" s="6">
        <v>1219</v>
      </c>
      <c r="P17" s="6">
        <v>1413</v>
      </c>
      <c r="Q17" s="6">
        <v>1529</v>
      </c>
      <c r="R17" s="6">
        <f>Q17*1.05</f>
        <v>1605.45</v>
      </c>
      <c r="S17" s="6">
        <f t="shared" ref="S17:AA17" si="29">R17*1.05</f>
        <v>1685.7225000000001</v>
      </c>
      <c r="T17" s="6">
        <f t="shared" si="29"/>
        <v>1770.0086250000002</v>
      </c>
      <c r="U17" s="6">
        <f t="shared" si="29"/>
        <v>1858.5090562500002</v>
      </c>
      <c r="V17" s="6">
        <f t="shared" si="29"/>
        <v>1951.4345090625002</v>
      </c>
      <c r="W17" s="6">
        <f t="shared" si="29"/>
        <v>2049.0062345156252</v>
      </c>
      <c r="X17" s="6">
        <f>W17*1.02</f>
        <v>2089.9863592059378</v>
      </c>
      <c r="Y17" s="6">
        <f t="shared" ref="Y17:AA17" si="30">X17*1.02</f>
        <v>2131.7860863900564</v>
      </c>
      <c r="Z17" s="6">
        <f t="shared" si="30"/>
        <v>2174.4218081178574</v>
      </c>
      <c r="AA17" s="6">
        <f t="shared" si="30"/>
        <v>2217.9102442802146</v>
      </c>
    </row>
    <row r="18" spans="2:27" x14ac:dyDescent="0.2">
      <c r="B18" s="6" t="s">
        <v>18</v>
      </c>
      <c r="C18" s="6">
        <f>SUM(C15:C17)</f>
        <v>0</v>
      </c>
      <c r="D18" s="6">
        <f t="shared" ref="D18:J18" si="31">SUM(D15:D17)</f>
        <v>2784</v>
      </c>
      <c r="E18" s="6">
        <f t="shared" si="31"/>
        <v>0</v>
      </c>
      <c r="F18" s="6">
        <f t="shared" si="31"/>
        <v>0</v>
      </c>
      <c r="G18" s="6">
        <f t="shared" si="31"/>
        <v>0</v>
      </c>
      <c r="H18" s="6">
        <f t="shared" si="31"/>
        <v>3085</v>
      </c>
      <c r="I18" s="6">
        <f t="shared" si="31"/>
        <v>3115.85</v>
      </c>
      <c r="J18" s="6">
        <f t="shared" si="31"/>
        <v>3147.0084999999999</v>
      </c>
      <c r="K18" s="6"/>
      <c r="L18" s="6">
        <f>SUM(L15:L17)</f>
        <v>0</v>
      </c>
      <c r="M18" s="6">
        <f>SUM(M15:M17)</f>
        <v>0</v>
      </c>
      <c r="N18" s="6">
        <f>SUM(N15:N17)</f>
        <v>0</v>
      </c>
      <c r="O18" s="6">
        <f>SUM(O15:O17)</f>
        <v>9174</v>
      </c>
      <c r="P18" s="6">
        <f t="shared" ref="P18:V18" si="32">SUM(P15:P17)</f>
        <v>10237</v>
      </c>
      <c r="Q18" s="6">
        <f t="shared" si="32"/>
        <v>11237</v>
      </c>
      <c r="R18" s="6">
        <f t="shared" si="32"/>
        <v>11985.871343873518</v>
      </c>
      <c r="S18" s="6">
        <f t="shared" si="32"/>
        <v>12671.729337944664</v>
      </c>
      <c r="T18" s="6">
        <f t="shared" si="32"/>
        <v>13397.939741600791</v>
      </c>
      <c r="U18" s="6">
        <f t="shared" si="32"/>
        <v>14166.944341012848</v>
      </c>
      <c r="V18" s="6">
        <f t="shared" si="32"/>
        <v>14981.336703258748</v>
      </c>
      <c r="W18" s="6">
        <f t="shared" ref="W18:AA18" si="33">SUM(W15:W17)</f>
        <v>15843.871843780611</v>
      </c>
      <c r="X18" s="6">
        <f t="shared" si="33"/>
        <v>16221.454824023247</v>
      </c>
      <c r="Y18" s="6">
        <f t="shared" si="33"/>
        <v>16608.410630171747</v>
      </c>
      <c r="Z18" s="6">
        <f t="shared" si="33"/>
        <v>17004.981353733263</v>
      </c>
      <c r="AA18" s="6">
        <f t="shared" si="33"/>
        <v>17411.415567094744</v>
      </c>
    </row>
    <row r="19" spans="2:27" x14ac:dyDescent="0.2">
      <c r="B19" s="6" t="s">
        <v>19</v>
      </c>
      <c r="C19" s="6">
        <f>C14-C18</f>
        <v>0</v>
      </c>
      <c r="D19" s="6">
        <f t="shared" ref="D19:J19" si="34">D14-D18</f>
        <v>1927</v>
      </c>
      <c r="E19" s="6">
        <f t="shared" si="34"/>
        <v>0</v>
      </c>
      <c r="F19" s="6">
        <f t="shared" si="34"/>
        <v>0</v>
      </c>
      <c r="G19" s="6">
        <f t="shared" si="34"/>
        <v>5710</v>
      </c>
      <c r="H19" s="6">
        <f t="shared" si="34"/>
        <v>2150</v>
      </c>
      <c r="I19" s="6">
        <f t="shared" si="34"/>
        <v>2135.15</v>
      </c>
      <c r="J19" s="6">
        <f t="shared" si="34"/>
        <v>2209.0115000000005</v>
      </c>
      <c r="K19" s="6"/>
      <c r="L19" s="6">
        <f>L14-L18</f>
        <v>0</v>
      </c>
      <c r="M19" s="6">
        <f>M14-M18</f>
        <v>0</v>
      </c>
      <c r="N19" s="6">
        <f>N14-N18</f>
        <v>0</v>
      </c>
      <c r="O19" s="6">
        <f>O14-O18</f>
        <v>6267</v>
      </c>
      <c r="P19" s="6">
        <f t="shared" ref="P19:V19" si="35">P14-P18</f>
        <v>6818</v>
      </c>
      <c r="Q19" s="6">
        <f t="shared" si="35"/>
        <v>7910</v>
      </c>
      <c r="R19" s="6">
        <f t="shared" si="35"/>
        <v>9018.1286561264824</v>
      </c>
      <c r="S19" s="6">
        <f t="shared" si="35"/>
        <v>9802.5506620553351</v>
      </c>
      <c r="T19" s="6">
        <f t="shared" si="35"/>
        <v>10649.539858399212</v>
      </c>
      <c r="U19" s="6">
        <f t="shared" si="35"/>
        <v>11563.858830987156</v>
      </c>
      <c r="V19" s="6">
        <f t="shared" si="35"/>
        <v>12550.622690781256</v>
      </c>
      <c r="W19" s="6">
        <f t="shared" ref="W19:AA19" si="36">W14-W18</f>
        <v>13615.324707842197</v>
      </c>
      <c r="X19" s="6">
        <f t="shared" si="36"/>
        <v>14121.517624148244</v>
      </c>
      <c r="Y19" s="6">
        <f t="shared" si="36"/>
        <v>14644.850991444888</v>
      </c>
      <c r="Z19" s="6">
        <f t="shared" si="36"/>
        <v>15185.878116531872</v>
      </c>
      <c r="AA19" s="6">
        <f t="shared" si="36"/>
        <v>15745.169687278343</v>
      </c>
    </row>
    <row r="20" spans="2:27" x14ac:dyDescent="0.2">
      <c r="B20" s="17" t="s">
        <v>90</v>
      </c>
      <c r="I20" s="6">
        <f>H35*$AD$84/4</f>
        <v>-9.5350000000000001</v>
      </c>
      <c r="J20" s="6">
        <f>I35*$AD$84/4</f>
        <v>-1.0325399999999991</v>
      </c>
      <c r="K20" s="6"/>
      <c r="O20" s="6">
        <f>-112-19</f>
        <v>-131</v>
      </c>
      <c r="P20" s="6">
        <f>-113+16</f>
        <v>-97</v>
      </c>
      <c r="Q20" s="6">
        <f>-169+48</f>
        <v>-121</v>
      </c>
      <c r="R20" s="6">
        <f>SUM(G20:J20)</f>
        <v>-10.567539999999999</v>
      </c>
      <c r="S20" s="6">
        <f t="shared" ref="S20:AA20" si="37">R35*$AD$84</f>
        <v>31.19750336000001</v>
      </c>
      <c r="T20" s="6">
        <f t="shared" si="37"/>
        <v>194.43772290589456</v>
      </c>
      <c r="U20" s="6">
        <f t="shared" si="37"/>
        <v>374.4477507555593</v>
      </c>
      <c r="V20" s="6">
        <f t="shared" si="37"/>
        <v>572.62364001248829</v>
      </c>
      <c r="W20" s="6">
        <f t="shared" si="37"/>
        <v>790.46952910366451</v>
      </c>
      <c r="X20" s="6">
        <f t="shared" si="37"/>
        <v>1029.605713436966</v>
      </c>
      <c r="Y20" s="6">
        <f t="shared" si="37"/>
        <v>1281.1143608408804</v>
      </c>
      <c r="Z20" s="6">
        <f t="shared" si="37"/>
        <v>1545.4853856888242</v>
      </c>
      <c r="AA20" s="6">
        <f t="shared" si="37"/>
        <v>1823.2260198256877</v>
      </c>
    </row>
    <row r="21" spans="2:27" x14ac:dyDescent="0.2">
      <c r="B21" s="6" t="s">
        <v>20</v>
      </c>
      <c r="C21" s="6">
        <f>C19+C20</f>
        <v>0</v>
      </c>
      <c r="D21" s="6">
        <f t="shared" ref="D21:J21" si="38">D19+D20</f>
        <v>1927</v>
      </c>
      <c r="E21" s="6">
        <f t="shared" si="38"/>
        <v>0</v>
      </c>
      <c r="F21" s="6">
        <f t="shared" si="38"/>
        <v>0</v>
      </c>
      <c r="G21" s="6">
        <f t="shared" si="38"/>
        <v>5710</v>
      </c>
      <c r="H21" s="6">
        <f t="shared" si="38"/>
        <v>2150</v>
      </c>
      <c r="I21" s="6">
        <f t="shared" si="38"/>
        <v>2125.6150000000002</v>
      </c>
      <c r="J21" s="6">
        <f t="shared" si="38"/>
        <v>2207.9789600000004</v>
      </c>
      <c r="K21" s="6"/>
      <c r="L21" s="6">
        <f>L19+L20</f>
        <v>0</v>
      </c>
      <c r="M21" s="6">
        <f>M19+M20</f>
        <v>0</v>
      </c>
      <c r="N21" s="6">
        <f>N19+N20</f>
        <v>0</v>
      </c>
      <c r="O21" s="6">
        <f>O19+O20</f>
        <v>6136</v>
      </c>
      <c r="P21" s="6">
        <f t="shared" ref="P21:V21" si="39">P19+P20</f>
        <v>6721</v>
      </c>
      <c r="Q21" s="6">
        <f t="shared" si="39"/>
        <v>7789</v>
      </c>
      <c r="R21" s="6">
        <f t="shared" si="39"/>
        <v>9007.5611161264824</v>
      </c>
      <c r="S21" s="6">
        <f t="shared" si="39"/>
        <v>9833.7481654153344</v>
      </c>
      <c r="T21" s="6">
        <f t="shared" si="39"/>
        <v>10843.977581305106</v>
      </c>
      <c r="U21" s="6">
        <f t="shared" si="39"/>
        <v>11938.306581742714</v>
      </c>
      <c r="V21" s="6">
        <f t="shared" si="39"/>
        <v>13123.246330793745</v>
      </c>
      <c r="W21" s="6">
        <f t="shared" ref="W21:AA21" si="40">W19+W20</f>
        <v>14405.794236945861</v>
      </c>
      <c r="X21" s="6">
        <f t="shared" si="40"/>
        <v>15151.12333758521</v>
      </c>
      <c r="Y21" s="6">
        <f t="shared" si="40"/>
        <v>15925.965352285768</v>
      </c>
      <c r="Z21" s="6">
        <f t="shared" si="40"/>
        <v>16731.363502220698</v>
      </c>
      <c r="AA21" s="6">
        <f t="shared" si="40"/>
        <v>17568.395707104031</v>
      </c>
    </row>
    <row r="22" spans="2:27" x14ac:dyDescent="0.2">
      <c r="B22" s="6" t="s">
        <v>21</v>
      </c>
      <c r="I22" s="6">
        <f>I21*0.2</f>
        <v>425.12300000000005</v>
      </c>
      <c r="J22" s="6">
        <f>J21*0.2</f>
        <v>441.59579200000007</v>
      </c>
      <c r="K22" s="6"/>
      <c r="L22" s="14"/>
      <c r="M22" s="14"/>
      <c r="N22" s="14"/>
      <c r="O22" s="6">
        <v>1252</v>
      </c>
      <c r="P22" s="6">
        <v>1371</v>
      </c>
      <c r="Q22" s="6">
        <v>1371</v>
      </c>
      <c r="R22" s="6">
        <f>R21*0.17</f>
        <v>1531.2853897415021</v>
      </c>
      <c r="S22" s="6">
        <f t="shared" ref="S22:AA22" si="41">S21*0.17</f>
        <v>1671.737188120607</v>
      </c>
      <c r="T22" s="6">
        <f t="shared" si="41"/>
        <v>1843.4761888218682</v>
      </c>
      <c r="U22" s="6">
        <f t="shared" si="41"/>
        <v>2029.5121188962617</v>
      </c>
      <c r="V22" s="6">
        <f t="shared" si="41"/>
        <v>2230.9518762349367</v>
      </c>
      <c r="W22" s="6">
        <f t="shared" si="41"/>
        <v>2448.9850202807966</v>
      </c>
      <c r="X22" s="6">
        <f t="shared" si="41"/>
        <v>2575.6909673894856</v>
      </c>
      <c r="Y22" s="6">
        <f t="shared" si="41"/>
        <v>2707.4141098885807</v>
      </c>
      <c r="Z22" s="6">
        <f t="shared" si="41"/>
        <v>2844.331795377519</v>
      </c>
      <c r="AA22" s="6">
        <f t="shared" si="41"/>
        <v>2986.6272702076853</v>
      </c>
    </row>
    <row r="23" spans="2:27" s="10" customFormat="1" x14ac:dyDescent="0.2">
      <c r="B23" s="10" t="s">
        <v>22</v>
      </c>
      <c r="C23" s="10">
        <f>C21-C22</f>
        <v>0</v>
      </c>
      <c r="D23" s="10">
        <f t="shared" ref="D23:J23" si="42">D21-D22</f>
        <v>1927</v>
      </c>
      <c r="E23" s="10">
        <f t="shared" si="42"/>
        <v>0</v>
      </c>
      <c r="F23" s="10">
        <f t="shared" si="42"/>
        <v>0</v>
      </c>
      <c r="G23" s="10">
        <f t="shared" si="42"/>
        <v>5710</v>
      </c>
      <c r="H23" s="10">
        <f t="shared" si="42"/>
        <v>2150</v>
      </c>
      <c r="I23" s="10">
        <f t="shared" si="42"/>
        <v>1700.4920000000002</v>
      </c>
      <c r="J23" s="10">
        <f t="shared" si="42"/>
        <v>1766.3831680000003</v>
      </c>
      <c r="L23" s="10">
        <f>L21-L22</f>
        <v>0</v>
      </c>
      <c r="M23" s="10">
        <f>M21-M22</f>
        <v>0</v>
      </c>
      <c r="N23" s="10">
        <f>N21-N22</f>
        <v>0</v>
      </c>
      <c r="O23" s="10">
        <f>O21-O22</f>
        <v>4884</v>
      </c>
      <c r="P23" s="10">
        <f t="shared" ref="P23:Q23" si="43">P21-P22</f>
        <v>5350</v>
      </c>
      <c r="Q23" s="10">
        <f t="shared" si="43"/>
        <v>6418</v>
      </c>
      <c r="R23" s="10">
        <f t="shared" ref="R23" si="44">R21-R22</f>
        <v>7476.2757263849799</v>
      </c>
      <c r="S23" s="10">
        <f t="shared" ref="S23" si="45">S21-S22</f>
        <v>8162.0109772947271</v>
      </c>
      <c r="T23" s="10">
        <f t="shared" ref="T23" si="46">T21-T22</f>
        <v>9000.5013924832383</v>
      </c>
      <c r="U23" s="10">
        <f t="shared" ref="U23" si="47">U21-U22</f>
        <v>9908.794462846452</v>
      </c>
      <c r="V23" s="10">
        <f t="shared" ref="V23:W23" si="48">V21-V22</f>
        <v>10892.294454558809</v>
      </c>
      <c r="W23" s="10">
        <f t="shared" si="48"/>
        <v>11956.809216665064</v>
      </c>
      <c r="X23" s="10">
        <f t="shared" ref="X23:AA23" si="49">X21-X22</f>
        <v>12575.432370195724</v>
      </c>
      <c r="Y23" s="10">
        <f t="shared" si="49"/>
        <v>13218.551242397187</v>
      </c>
      <c r="Z23" s="10">
        <f t="shared" si="49"/>
        <v>13887.03170684318</v>
      </c>
      <c r="AA23" s="10">
        <f t="shared" si="49"/>
        <v>14581.768436896346</v>
      </c>
    </row>
    <row r="24" spans="2:27" x14ac:dyDescent="0.2">
      <c r="B24" s="6" t="s">
        <v>1</v>
      </c>
      <c r="H24" s="4">
        <v>424.2</v>
      </c>
      <c r="I24" s="6">
        <f>H24*1</f>
        <v>424.2</v>
      </c>
      <c r="J24" s="6">
        <f>I24*1</f>
        <v>424.2</v>
      </c>
      <c r="K24" s="6"/>
      <c r="O24" s="6">
        <v>471</v>
      </c>
      <c r="P24" s="6">
        <v>459</v>
      </c>
      <c r="Q24" s="6">
        <v>450</v>
      </c>
      <c r="R24" s="6">
        <v>450</v>
      </c>
      <c r="S24" s="6">
        <v>450</v>
      </c>
      <c r="T24" s="6">
        <v>450</v>
      </c>
      <c r="U24" s="6">
        <v>450</v>
      </c>
      <c r="V24" s="6">
        <v>450</v>
      </c>
      <c r="W24" s="6">
        <v>450</v>
      </c>
      <c r="X24" s="6">
        <v>450</v>
      </c>
      <c r="Y24" s="6">
        <v>450</v>
      </c>
      <c r="Z24" s="6">
        <v>450</v>
      </c>
      <c r="AA24" s="6">
        <v>450</v>
      </c>
    </row>
    <row r="25" spans="2:27" x14ac:dyDescent="0.2">
      <c r="B25" s="6" t="s">
        <v>23</v>
      </c>
      <c r="C25" s="9" t="e">
        <f t="shared" ref="C25:J25" si="50">C23/C24</f>
        <v>#DIV/0!</v>
      </c>
      <c r="D25" s="9" t="e">
        <f t="shared" si="50"/>
        <v>#DIV/0!</v>
      </c>
      <c r="E25" s="9" t="e">
        <f t="shared" si="50"/>
        <v>#DIV/0!</v>
      </c>
      <c r="F25" s="9" t="e">
        <f t="shared" si="50"/>
        <v>#DIV/0!</v>
      </c>
      <c r="G25" s="9" t="e">
        <f t="shared" si="50"/>
        <v>#DIV/0!</v>
      </c>
      <c r="H25" s="9">
        <f t="shared" si="50"/>
        <v>5.0683639792550688</v>
      </c>
      <c r="I25" s="9">
        <f t="shared" si="50"/>
        <v>4.0087034417727496</v>
      </c>
      <c r="J25" s="9">
        <f t="shared" si="50"/>
        <v>4.1640338708156541</v>
      </c>
      <c r="K25" s="9"/>
      <c r="L25" s="9" t="e">
        <f>L23/L24</f>
        <v>#DIV/0!</v>
      </c>
      <c r="M25" s="9" t="e">
        <f>M23/M24</f>
        <v>#DIV/0!</v>
      </c>
      <c r="N25" s="9" t="e">
        <f>N23/N24</f>
        <v>#DIV/0!</v>
      </c>
      <c r="O25" s="9">
        <f>O23/O24</f>
        <v>10.369426751592357</v>
      </c>
      <c r="P25" s="9">
        <f t="shared" ref="P25:V25" si="51">P23/P24</f>
        <v>11.655773420479303</v>
      </c>
      <c r="Q25" s="9">
        <f t="shared" si="51"/>
        <v>14.262222222222222</v>
      </c>
      <c r="R25" s="9">
        <f t="shared" si="51"/>
        <v>16.613946058633289</v>
      </c>
      <c r="S25" s="9">
        <f t="shared" si="51"/>
        <v>18.137802171766062</v>
      </c>
      <c r="T25" s="9">
        <f t="shared" si="51"/>
        <v>20.001114205518306</v>
      </c>
      <c r="U25" s="9">
        <f t="shared" si="51"/>
        <v>22.019543250769892</v>
      </c>
      <c r="V25" s="9">
        <f t="shared" si="51"/>
        <v>24.205098787908465</v>
      </c>
      <c r="W25" s="9">
        <f t="shared" ref="W25:AA25" si="52">W23/W24</f>
        <v>26.570687148144586</v>
      </c>
      <c r="X25" s="9">
        <f t="shared" si="52"/>
        <v>27.945405267101609</v>
      </c>
      <c r="Y25" s="9">
        <f t="shared" si="52"/>
        <v>29.374558316438193</v>
      </c>
      <c r="Z25" s="9">
        <f t="shared" si="52"/>
        <v>30.86007045965151</v>
      </c>
      <c r="AA25" s="9">
        <f t="shared" si="52"/>
        <v>32.403929859769654</v>
      </c>
    </row>
    <row r="26" spans="2:27" x14ac:dyDescent="0.2">
      <c r="N26" s="11"/>
    </row>
    <row r="27" spans="2:27" s="10" customFormat="1" x14ac:dyDescent="0.2">
      <c r="B27" s="10" t="s">
        <v>34</v>
      </c>
      <c r="E27" s="12"/>
      <c r="F27" s="12"/>
      <c r="G27" s="12" t="e">
        <f>G9/C9-1</f>
        <v>#DIV/0!</v>
      </c>
      <c r="H27" s="12">
        <f>H9/D9-1</f>
        <v>0.10623469579958567</v>
      </c>
      <c r="I27" s="12" t="e">
        <f>I9/E9-1</f>
        <v>#DIV/0!</v>
      </c>
      <c r="J27" s="12" t="e">
        <f>J9/F9-1</f>
        <v>#DIV/0!</v>
      </c>
      <c r="K27" s="12"/>
      <c r="L27" s="12"/>
      <c r="M27" s="12">
        <f>M9/L9-1</f>
        <v>0.151911198639334</v>
      </c>
      <c r="N27" s="12">
        <f>N9/M9-1</f>
        <v>0.22668635374572577</v>
      </c>
      <c r="O27" s="12">
        <f>O9/N9-1</f>
        <v>0.11536268609439349</v>
      </c>
      <c r="P27" s="12">
        <f>P9/O9-1</f>
        <v>0.10240826990798602</v>
      </c>
      <c r="Q27" s="12">
        <f>Q9/P9-1</f>
        <v>0.10799113813179462</v>
      </c>
      <c r="R27" s="12">
        <f t="shared" ref="R27:W27" si="53">R9/Q9-1</f>
        <v>9.7419204836084683E-2</v>
      </c>
      <c r="S27" s="12">
        <f t="shared" si="53"/>
        <v>7.0000000000000062E-2</v>
      </c>
      <c r="T27" s="12">
        <f t="shared" si="53"/>
        <v>7.0000000000000062E-2</v>
      </c>
      <c r="U27" s="12">
        <f t="shared" si="53"/>
        <v>7.0000000000000062E-2</v>
      </c>
      <c r="V27" s="12">
        <f t="shared" si="53"/>
        <v>7.0000000000000062E-2</v>
      </c>
      <c r="W27" s="12">
        <f t="shared" si="53"/>
        <v>7.0000000000000062E-2</v>
      </c>
      <c r="X27" s="12">
        <f t="shared" ref="X27" si="54">X9/W9-1</f>
        <v>3.0000000000000027E-2</v>
      </c>
      <c r="Y27" s="12">
        <f t="shared" ref="Y27" si="55">Y9/X9-1</f>
        <v>3.0000000000000027E-2</v>
      </c>
      <c r="Z27" s="12">
        <f t="shared" ref="Z27" si="56">Z9/Y9-1</f>
        <v>3.0000000000000027E-2</v>
      </c>
      <c r="AA27" s="12">
        <f t="shared" ref="AA27" si="57">AA9/Z9-1</f>
        <v>3.0000000000000027E-2</v>
      </c>
    </row>
    <row r="28" spans="2:27" s="10" customFormat="1" x14ac:dyDescent="0.2">
      <c r="B28" s="17" t="s">
        <v>89</v>
      </c>
      <c r="C28" s="12"/>
      <c r="D28" s="12" t="e">
        <f t="shared" ref="D28:J28" si="58">D9/C9-1</f>
        <v>#DIV/0!</v>
      </c>
      <c r="E28" s="12">
        <f t="shared" si="58"/>
        <v>-1</v>
      </c>
      <c r="F28" s="12" t="e">
        <f t="shared" si="58"/>
        <v>#DIV/0!</v>
      </c>
      <c r="G28" s="12" t="e">
        <f t="shared" si="58"/>
        <v>#DIV/0!</v>
      </c>
      <c r="H28" s="12">
        <f t="shared" si="58"/>
        <v>2.8546409807355566E-2</v>
      </c>
      <c r="I28" s="12">
        <f t="shared" si="58"/>
        <v>4.5973097224587534E-3</v>
      </c>
      <c r="J28" s="12">
        <f t="shared" si="58"/>
        <v>2.0000000000000018E-2</v>
      </c>
      <c r="K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2:27" s="10" customFormat="1" x14ac:dyDescent="0.2">
      <c r="B29" s="6" t="s">
        <v>88</v>
      </c>
      <c r="M29" s="12" t="e">
        <f t="shared" ref="M29:R29" si="59">SUM(M16:M17)/SUM(L16:L17)-1</f>
        <v>#DIV/0!</v>
      </c>
      <c r="N29" s="12" t="e">
        <f t="shared" si="59"/>
        <v>#DIV/0!</v>
      </c>
      <c r="O29" s="12" t="e">
        <f t="shared" si="59"/>
        <v>#DIV/0!</v>
      </c>
      <c r="P29" s="12">
        <f t="shared" si="59"/>
        <v>9.326006141910459E-2</v>
      </c>
      <c r="Q29" s="12">
        <f t="shared" si="59"/>
        <v>7.820816085156701E-2</v>
      </c>
      <c r="R29" s="12">
        <f t="shared" si="59"/>
        <v>5.0000000000000044E-2</v>
      </c>
      <c r="S29" s="12">
        <f t="shared" ref="S29:W29" si="60">SUM(S16:S17)/SUM(R16:R17)-1</f>
        <v>5.0000000000000044E-2</v>
      </c>
      <c r="T29" s="12">
        <f t="shared" si="60"/>
        <v>5.0000000000000044E-2</v>
      </c>
      <c r="U29" s="12">
        <f t="shared" si="60"/>
        <v>5.0000000000000044E-2</v>
      </c>
      <c r="V29" s="12">
        <f t="shared" si="60"/>
        <v>5.0000000000000044E-2</v>
      </c>
      <c r="W29" s="12">
        <f t="shared" si="60"/>
        <v>5.0000000000000044E-2</v>
      </c>
      <c r="X29" s="12">
        <f t="shared" ref="X29" si="61">SUM(X16:X17)/SUM(W16:W17)-1</f>
        <v>2.0000000000000018E-2</v>
      </c>
      <c r="Y29" s="12">
        <f t="shared" ref="Y29" si="62">SUM(Y16:Y17)/SUM(X16:X17)-1</f>
        <v>2.0000000000000018E-2</v>
      </c>
      <c r="Z29" s="12">
        <f t="shared" ref="Z29" si="63">SUM(Z16:Z17)/SUM(Y16:Y17)-1</f>
        <v>2.0000000000000018E-2</v>
      </c>
      <c r="AA29" s="12">
        <f t="shared" ref="AA29" si="64">SUM(AA16:AA17)/SUM(Z16:Z17)-1</f>
        <v>2.0000000000000018E-2</v>
      </c>
    </row>
    <row r="31" spans="2:27" s="10" customFormat="1" x14ac:dyDescent="0.2">
      <c r="B31" s="10" t="s">
        <v>24</v>
      </c>
      <c r="C31" s="13" t="e">
        <f>C14/C9</f>
        <v>#DIV/0!</v>
      </c>
      <c r="D31" s="13">
        <f t="shared" ref="D31:H31" si="65">D14/D9</f>
        <v>0.88736108495008481</v>
      </c>
      <c r="E31" s="13" t="e">
        <f t="shared" si="65"/>
        <v>#DIV/0!</v>
      </c>
      <c r="F31" s="13" t="e">
        <f t="shared" si="65"/>
        <v>#DIV/0!</v>
      </c>
      <c r="G31" s="13">
        <f t="shared" si="65"/>
        <v>1</v>
      </c>
      <c r="H31" s="13">
        <f t="shared" si="65"/>
        <v>0.89136727396560533</v>
      </c>
      <c r="I31" s="13">
        <v>0.89</v>
      </c>
      <c r="J31" s="13">
        <v>0.89</v>
      </c>
      <c r="K31" s="13"/>
      <c r="O31" s="13">
        <f>O14/O9</f>
        <v>0.87703055776439853</v>
      </c>
      <c r="P31" s="13">
        <f>P14/P9</f>
        <v>0.87871605955999799</v>
      </c>
      <c r="Q31" s="13">
        <f>Q14/Q9</f>
        <v>0.89035108114392003</v>
      </c>
      <c r="R31" s="13">
        <v>0.89</v>
      </c>
      <c r="S31" s="13">
        <v>0.89</v>
      </c>
      <c r="T31" s="13">
        <v>0.89</v>
      </c>
      <c r="U31" s="13">
        <v>0.89</v>
      </c>
      <c r="V31" s="13">
        <v>0.89</v>
      </c>
      <c r="W31" s="13">
        <v>0.89</v>
      </c>
      <c r="X31" s="13">
        <v>0.89</v>
      </c>
      <c r="Y31" s="13">
        <v>0.89</v>
      </c>
      <c r="Z31" s="13">
        <v>0.89</v>
      </c>
      <c r="AA31" s="13">
        <v>0.89</v>
      </c>
    </row>
    <row r="32" spans="2:27" s="10" customFormat="1" x14ac:dyDescent="0.2">
      <c r="B32" s="6" t="s">
        <v>36</v>
      </c>
      <c r="C32" s="14" t="e">
        <f t="shared" ref="C32:J32" si="66">C19/C9</f>
        <v>#DIV/0!</v>
      </c>
      <c r="D32" s="14">
        <f t="shared" si="66"/>
        <v>0.36296854398191752</v>
      </c>
      <c r="E32" s="14" t="e">
        <f t="shared" si="66"/>
        <v>#DIV/0!</v>
      </c>
      <c r="F32" s="14" t="e">
        <f t="shared" si="66"/>
        <v>#DIV/0!</v>
      </c>
      <c r="G32" s="14">
        <f t="shared" si="66"/>
        <v>1</v>
      </c>
      <c r="H32" s="14">
        <f t="shared" si="66"/>
        <v>0.36608207049208241</v>
      </c>
      <c r="I32" s="14">
        <f t="shared" si="66"/>
        <v>0.36188983050847462</v>
      </c>
      <c r="J32" s="14">
        <f t="shared" si="66"/>
        <v>0.36706738118976412</v>
      </c>
      <c r="K32" s="14"/>
      <c r="O32" s="14">
        <f t="shared" ref="O32:W32" si="67">O19/O9</f>
        <v>0.35595819606952173</v>
      </c>
      <c r="P32" s="14">
        <f t="shared" si="67"/>
        <v>0.35128033386573237</v>
      </c>
      <c r="Q32" s="14">
        <f t="shared" si="67"/>
        <v>0.36782143687514529</v>
      </c>
      <c r="R32" s="14">
        <f t="shared" si="67"/>
        <v>0.38212409559857974</v>
      </c>
      <c r="S32" s="14">
        <f t="shared" si="67"/>
        <v>0.38818908055026674</v>
      </c>
      <c r="T32" s="14">
        <f t="shared" si="67"/>
        <v>0.39414070129724937</v>
      </c>
      <c r="U32" s="14">
        <f t="shared" si="67"/>
        <v>0.3999810767966247</v>
      </c>
      <c r="V32" s="14">
        <f t="shared" si="67"/>
        <v>0.40571228639881551</v>
      </c>
      <c r="W32" s="14">
        <f t="shared" si="67"/>
        <v>0.41133637058788136</v>
      </c>
      <c r="X32" s="14">
        <f t="shared" ref="X32:AA32" si="68">X19/X9</f>
        <v>0.41420301544153137</v>
      </c>
      <c r="Y32" s="14">
        <f t="shared" si="68"/>
        <v>0.41704182879174789</v>
      </c>
      <c r="Z32" s="14">
        <f t="shared" si="68"/>
        <v>0.41985308084730205</v>
      </c>
      <c r="AA32" s="14">
        <f t="shared" si="68"/>
        <v>0.42263703919357909</v>
      </c>
    </row>
    <row r="33" spans="2:27" s="10" customFormat="1" x14ac:dyDescent="0.2">
      <c r="B33" s="6" t="s">
        <v>35</v>
      </c>
      <c r="C33" s="14" t="e">
        <f t="shared" ref="C33:J33" si="69">C18/C9</f>
        <v>#DIV/0!</v>
      </c>
      <c r="D33" s="14">
        <f t="shared" si="69"/>
        <v>0.52439254096816723</v>
      </c>
      <c r="E33" s="14" t="e">
        <f t="shared" si="69"/>
        <v>#DIV/0!</v>
      </c>
      <c r="F33" s="14" t="e">
        <f t="shared" si="69"/>
        <v>#DIV/0!</v>
      </c>
      <c r="G33" s="14">
        <f t="shared" si="69"/>
        <v>0</v>
      </c>
      <c r="H33" s="14">
        <f t="shared" si="69"/>
        <v>0.52528520347352292</v>
      </c>
      <c r="I33" s="14">
        <f t="shared" si="69"/>
        <v>0.52811016949152545</v>
      </c>
      <c r="J33" s="14">
        <f t="shared" si="69"/>
        <v>0.52293261881023589</v>
      </c>
      <c r="K33" s="14"/>
      <c r="O33" s="14">
        <f t="shared" ref="O33:AA33" si="70">O18/O9</f>
        <v>0.5210723616948767</v>
      </c>
      <c r="P33" s="14">
        <f t="shared" si="70"/>
        <v>0.52743572569426556</v>
      </c>
      <c r="Q33" s="14">
        <f t="shared" si="70"/>
        <v>0.52252964426877468</v>
      </c>
      <c r="R33" s="14">
        <f t="shared" si="70"/>
        <v>0.50787590440142028</v>
      </c>
      <c r="S33" s="14">
        <f t="shared" si="70"/>
        <v>0.50181091944973322</v>
      </c>
      <c r="T33" s="14">
        <f t="shared" si="70"/>
        <v>0.49585929870275064</v>
      </c>
      <c r="U33" s="14">
        <f t="shared" si="70"/>
        <v>0.49001892320337526</v>
      </c>
      <c r="V33" s="14">
        <f t="shared" si="70"/>
        <v>0.48428771360118444</v>
      </c>
      <c r="W33" s="14">
        <f t="shared" si="70"/>
        <v>0.47866362941211865</v>
      </c>
      <c r="X33" s="14">
        <f t="shared" si="70"/>
        <v>0.47579698455846864</v>
      </c>
      <c r="Y33" s="14">
        <f t="shared" si="70"/>
        <v>0.47295817120825212</v>
      </c>
      <c r="Z33" s="14">
        <f t="shared" si="70"/>
        <v>0.47014691915269796</v>
      </c>
      <c r="AA33" s="14">
        <f t="shared" si="70"/>
        <v>0.46736296080642087</v>
      </c>
    </row>
    <row r="35" spans="2:27" x14ac:dyDescent="0.2">
      <c r="B35" s="6" t="s">
        <v>27</v>
      </c>
      <c r="C35" s="6">
        <f t="shared" ref="C35:H35" si="71">C36-C37</f>
        <v>0</v>
      </c>
      <c r="D35" s="6">
        <f t="shared" si="71"/>
        <v>0</v>
      </c>
      <c r="E35" s="6">
        <f t="shared" si="71"/>
        <v>0</v>
      </c>
      <c r="F35" s="6">
        <f t="shared" si="71"/>
        <v>0</v>
      </c>
      <c r="G35" s="6">
        <f t="shared" si="71"/>
        <v>-262</v>
      </c>
      <c r="H35" s="6">
        <f t="shared" si="71"/>
        <v>-1907</v>
      </c>
      <c r="I35" s="6">
        <f t="shared" ref="I35:J35" si="72">H35+I23</f>
        <v>-206.50799999999981</v>
      </c>
      <c r="J35" s="6">
        <f t="shared" si="72"/>
        <v>1559.8751680000005</v>
      </c>
      <c r="K35" s="6"/>
      <c r="M35" s="6">
        <f>M36-M37</f>
        <v>0</v>
      </c>
      <c r="N35" s="6">
        <f>N36-N37</f>
        <v>0</v>
      </c>
      <c r="O35" s="6">
        <f>O36-O37</f>
        <v>0</v>
      </c>
      <c r="P35" s="6">
        <f>P36-P37</f>
        <v>2832</v>
      </c>
      <c r="Q35" s="6">
        <f>Q36-Q37</f>
        <v>189</v>
      </c>
      <c r="R35" s="6">
        <f>J35</f>
        <v>1559.8751680000005</v>
      </c>
      <c r="S35" s="6">
        <f t="shared" ref="S35:AA35" si="73">R35+S23</f>
        <v>9721.8861452947276</v>
      </c>
      <c r="T35" s="6">
        <f t="shared" si="73"/>
        <v>18722.387537777966</v>
      </c>
      <c r="U35" s="6">
        <f t="shared" si="73"/>
        <v>28631.182000624416</v>
      </c>
      <c r="V35" s="6">
        <f t="shared" si="73"/>
        <v>39523.476455183227</v>
      </c>
      <c r="W35" s="6">
        <f t="shared" si="73"/>
        <v>51480.285671848294</v>
      </c>
      <c r="X35" s="6">
        <f t="shared" si="73"/>
        <v>64055.71804204402</v>
      </c>
      <c r="Y35" s="6">
        <f t="shared" si="73"/>
        <v>77274.269284441209</v>
      </c>
      <c r="Z35" s="6">
        <f t="shared" si="73"/>
        <v>91161.300991284385</v>
      </c>
      <c r="AA35" s="6">
        <f t="shared" si="73"/>
        <v>105743.06942818072</v>
      </c>
    </row>
    <row r="36" spans="2:27" x14ac:dyDescent="0.2">
      <c r="B36" s="6" t="s">
        <v>3</v>
      </c>
      <c r="G36" s="6">
        <f>6758+677</f>
        <v>7435</v>
      </c>
      <c r="H36" s="4">
        <f>4931+782</f>
        <v>5713</v>
      </c>
      <c r="P36" s="6">
        <f>P39+P40</f>
        <v>7842</v>
      </c>
      <c r="Q36" s="6">
        <f>Q39+Q40</f>
        <v>7886</v>
      </c>
    </row>
    <row r="37" spans="2:27" x14ac:dyDescent="0.2">
      <c r="B37" s="6" t="s">
        <v>4</v>
      </c>
      <c r="G37" s="6">
        <f>6155+143+567+334+498</f>
        <v>7697</v>
      </c>
      <c r="H37" s="4">
        <f>6166+114+477+323+540</f>
        <v>7620</v>
      </c>
      <c r="P37" s="6">
        <f>SUM(P57:P61)</f>
        <v>5010</v>
      </c>
      <c r="Q37" s="6">
        <f>6155+143+567+334+498</f>
        <v>7697</v>
      </c>
    </row>
    <row r="39" spans="2:27" x14ac:dyDescent="0.2">
      <c r="B39" s="6" t="s">
        <v>3</v>
      </c>
      <c r="P39" s="6">
        <v>7141</v>
      </c>
      <c r="Q39" s="6">
        <v>7613</v>
      </c>
    </row>
    <row r="40" spans="2:27" x14ac:dyDescent="0.2">
      <c r="B40" s="6" t="s">
        <v>37</v>
      </c>
      <c r="P40" s="6">
        <v>701</v>
      </c>
      <c r="Q40" s="6">
        <v>273</v>
      </c>
    </row>
    <row r="41" spans="2:27" x14ac:dyDescent="0.2">
      <c r="B41" s="6" t="s">
        <v>38</v>
      </c>
      <c r="P41" s="6">
        <v>2224</v>
      </c>
      <c r="Q41" s="6">
        <v>2072</v>
      </c>
    </row>
    <row r="42" spans="2:27" x14ac:dyDescent="0.2">
      <c r="B42" s="6" t="s">
        <v>39</v>
      </c>
      <c r="P42" s="6">
        <v>1018</v>
      </c>
      <c r="Q42" s="6">
        <v>1274</v>
      </c>
    </row>
    <row r="43" spans="2:27" x14ac:dyDescent="0.2">
      <c r="B43" s="6" t="s">
        <v>40</v>
      </c>
      <c r="P43" s="6">
        <v>2030</v>
      </c>
      <c r="Q43" s="6">
        <v>1936</v>
      </c>
    </row>
    <row r="44" spans="2:27" x14ac:dyDescent="0.2">
      <c r="B44" s="6" t="s">
        <v>41</v>
      </c>
      <c r="P44" s="6">
        <v>358</v>
      </c>
      <c r="Q44" s="6">
        <v>281</v>
      </c>
    </row>
    <row r="45" spans="2:27" x14ac:dyDescent="0.2">
      <c r="B45" s="6" t="s">
        <v>42</v>
      </c>
      <c r="P45" s="6">
        <v>12805</v>
      </c>
      <c r="Q45" s="6">
        <v>12788</v>
      </c>
    </row>
    <row r="46" spans="2:27" x14ac:dyDescent="0.2">
      <c r="B46" s="6" t="s">
        <v>43</v>
      </c>
      <c r="P46" s="6">
        <v>1088</v>
      </c>
      <c r="Q46" s="6">
        <v>782</v>
      </c>
    </row>
    <row r="47" spans="2:27" x14ac:dyDescent="0.2">
      <c r="B47" s="6" t="s">
        <v>44</v>
      </c>
      <c r="P47" s="6">
        <v>1191</v>
      </c>
      <c r="Q47" s="6">
        <v>1657</v>
      </c>
    </row>
    <row r="48" spans="2:27" x14ac:dyDescent="0.2">
      <c r="B48" s="6" t="s">
        <v>45</v>
      </c>
      <c r="P48" s="6">
        <v>1223</v>
      </c>
      <c r="Q48" s="6">
        <v>1554</v>
      </c>
    </row>
    <row r="49" spans="2:17" x14ac:dyDescent="0.2">
      <c r="B49" s="6" t="s">
        <v>46</v>
      </c>
      <c r="P49" s="6">
        <f>SUM(P39:P48)</f>
        <v>29779</v>
      </c>
      <c r="Q49" s="6">
        <f>SUM(Q39:Q48)</f>
        <v>30230</v>
      </c>
    </row>
    <row r="51" spans="2:17" x14ac:dyDescent="0.2">
      <c r="B51" s="6" t="s">
        <v>47</v>
      </c>
      <c r="P51" s="6">
        <v>314</v>
      </c>
      <c r="Q51" s="6">
        <v>361</v>
      </c>
    </row>
    <row r="52" spans="2:17" x14ac:dyDescent="0.2">
      <c r="B52" s="6" t="s">
        <v>48</v>
      </c>
      <c r="P52" s="6">
        <v>1942</v>
      </c>
      <c r="Q52" s="6">
        <v>2336</v>
      </c>
    </row>
    <row r="53" spans="2:17" x14ac:dyDescent="0.2">
      <c r="B53" s="6" t="s">
        <v>52</v>
      </c>
      <c r="P53" s="6">
        <v>0</v>
      </c>
      <c r="Q53" s="6">
        <v>1499</v>
      </c>
    </row>
    <row r="54" spans="2:17" x14ac:dyDescent="0.2">
      <c r="B54" s="6" t="s">
        <v>49</v>
      </c>
      <c r="P54" s="6">
        <v>5837</v>
      </c>
      <c r="Q54" s="6">
        <v>6131</v>
      </c>
    </row>
    <row r="55" spans="2:17" x14ac:dyDescent="0.2">
      <c r="B55" s="6" t="s">
        <v>50</v>
      </c>
      <c r="P55" s="6">
        <v>85</v>
      </c>
      <c r="Q55" s="6">
        <v>119</v>
      </c>
    </row>
    <row r="56" spans="2:17" x14ac:dyDescent="0.2">
      <c r="B56" s="6" t="s">
        <v>51</v>
      </c>
      <c r="P56" s="6">
        <v>73</v>
      </c>
      <c r="Q56" s="6">
        <v>75</v>
      </c>
    </row>
    <row r="57" spans="2:17" x14ac:dyDescent="0.2">
      <c r="B57" s="6" t="s">
        <v>53</v>
      </c>
      <c r="P57" s="6">
        <v>3634</v>
      </c>
      <c r="Q57" s="6">
        <v>4129</v>
      </c>
    </row>
    <row r="58" spans="2:17" x14ac:dyDescent="0.2">
      <c r="B58" s="6" t="s">
        <v>54</v>
      </c>
      <c r="P58" s="6">
        <v>113</v>
      </c>
      <c r="Q58" s="6">
        <v>128</v>
      </c>
    </row>
    <row r="59" spans="2:17" x14ac:dyDescent="0.2">
      <c r="B59" s="6" t="s">
        <v>66</v>
      </c>
      <c r="P59" s="6">
        <v>514</v>
      </c>
      <c r="Q59" s="6">
        <v>548</v>
      </c>
    </row>
    <row r="60" spans="2:17" x14ac:dyDescent="0.2">
      <c r="B60" s="6" t="s">
        <v>51</v>
      </c>
      <c r="P60" s="6">
        <v>373</v>
      </c>
      <c r="Q60" s="6">
        <v>353</v>
      </c>
    </row>
    <row r="61" spans="2:17" x14ac:dyDescent="0.2">
      <c r="B61" s="6" t="s">
        <v>55</v>
      </c>
      <c r="P61" s="6">
        <v>376</v>
      </c>
      <c r="Q61" s="6">
        <v>446</v>
      </c>
    </row>
    <row r="62" spans="2:17" x14ac:dyDescent="0.2">
      <c r="B62" s="6" t="s">
        <v>57</v>
      </c>
      <c r="P62" s="6">
        <f>SUM(P51:P61)</f>
        <v>13261</v>
      </c>
      <c r="Q62" s="6">
        <f>SUM(Q51:Q61)</f>
        <v>16125</v>
      </c>
    </row>
    <row r="63" spans="2:17" x14ac:dyDescent="0.2">
      <c r="B63" s="6" t="s">
        <v>56</v>
      </c>
      <c r="P63" s="6">
        <f>P49-P62</f>
        <v>16518</v>
      </c>
      <c r="Q63" s="6">
        <f>Q49-Q62</f>
        <v>14105</v>
      </c>
    </row>
    <row r="64" spans="2:17" x14ac:dyDescent="0.2">
      <c r="B64" s="6" t="s">
        <v>58</v>
      </c>
      <c r="P64" s="6">
        <f>P63+P62</f>
        <v>29779</v>
      </c>
      <c r="Q64" s="6">
        <f>Q63+Q62</f>
        <v>30230</v>
      </c>
    </row>
    <row r="66" spans="2:29" x14ac:dyDescent="0.2">
      <c r="B66" s="6" t="s">
        <v>67</v>
      </c>
      <c r="P66" s="6">
        <f>P41/P9*360</f>
        <v>41.250966046679373</v>
      </c>
      <c r="Q66" s="6">
        <f>Q41/Q9*360</f>
        <v>34.68588700302255</v>
      </c>
    </row>
    <row r="67" spans="2:29" x14ac:dyDescent="0.2">
      <c r="Q67" s="14"/>
      <c r="R67" s="14"/>
      <c r="S67" s="14"/>
    </row>
    <row r="68" spans="2:29" s="10" customFormat="1" x14ac:dyDescent="0.2">
      <c r="B68" s="6" t="s">
        <v>68</v>
      </c>
      <c r="O68" s="10">
        <f t="shared" ref="O68:AA68" si="74">O23</f>
        <v>4884</v>
      </c>
      <c r="P68" s="10">
        <f t="shared" si="74"/>
        <v>5350</v>
      </c>
      <c r="Q68" s="10">
        <f t="shared" si="74"/>
        <v>6418</v>
      </c>
      <c r="R68" s="10">
        <f t="shared" si="74"/>
        <v>7476.2757263849799</v>
      </c>
      <c r="S68" s="10">
        <f t="shared" si="74"/>
        <v>8162.0109772947271</v>
      </c>
      <c r="T68" s="10">
        <f t="shared" si="74"/>
        <v>9000.5013924832383</v>
      </c>
      <c r="U68" s="10">
        <f t="shared" si="74"/>
        <v>9908.794462846452</v>
      </c>
      <c r="V68" s="10">
        <f t="shared" si="74"/>
        <v>10892.294454558809</v>
      </c>
      <c r="W68" s="10">
        <f t="shared" si="74"/>
        <v>11956.809216665064</v>
      </c>
      <c r="X68" s="10">
        <f t="shared" si="74"/>
        <v>12575.432370195724</v>
      </c>
      <c r="Y68" s="10">
        <f t="shared" si="74"/>
        <v>13218.551242397187</v>
      </c>
      <c r="Z68" s="10">
        <f t="shared" si="74"/>
        <v>13887.03170684318</v>
      </c>
      <c r="AA68" s="10">
        <f t="shared" si="74"/>
        <v>14581.768436896346</v>
      </c>
    </row>
    <row r="69" spans="2:29" x14ac:dyDescent="0.2">
      <c r="B69" s="6" t="s">
        <v>69</v>
      </c>
      <c r="O69" s="6">
        <v>4756</v>
      </c>
      <c r="P69" s="6">
        <v>5428</v>
      </c>
      <c r="Q69" s="6">
        <v>5560</v>
      </c>
      <c r="R69" s="14"/>
    </row>
    <row r="70" spans="2:29" x14ac:dyDescent="0.2">
      <c r="B70" s="6" t="s">
        <v>70</v>
      </c>
      <c r="O70" s="6">
        <v>856</v>
      </c>
      <c r="P70" s="6">
        <v>872</v>
      </c>
      <c r="Q70" s="6">
        <v>857</v>
      </c>
      <c r="R70" s="6">
        <f t="shared" ref="R70:AA70" si="75">Q70*(1+R27)</f>
        <v>940.48825854452457</v>
      </c>
      <c r="S70" s="6">
        <f t="shared" si="75"/>
        <v>1006.3224366426414</v>
      </c>
      <c r="T70" s="6">
        <f t="shared" si="75"/>
        <v>1076.7650072076262</v>
      </c>
      <c r="U70" s="6">
        <f t="shared" si="75"/>
        <v>1152.13855771216</v>
      </c>
      <c r="V70" s="6">
        <f t="shared" si="75"/>
        <v>1232.7882567520114</v>
      </c>
      <c r="W70" s="6">
        <f t="shared" si="75"/>
        <v>1319.0834347246523</v>
      </c>
      <c r="X70" s="6">
        <f t="shared" si="75"/>
        <v>1358.6559377663918</v>
      </c>
      <c r="Y70" s="6">
        <f t="shared" si="75"/>
        <v>1399.4156158993837</v>
      </c>
      <c r="Z70" s="6">
        <f t="shared" si="75"/>
        <v>1441.3980843763652</v>
      </c>
      <c r="AA70" s="6">
        <f t="shared" si="75"/>
        <v>1484.6400269076562</v>
      </c>
    </row>
    <row r="71" spans="2:29" x14ac:dyDescent="0.2">
      <c r="B71" s="6" t="s">
        <v>71</v>
      </c>
      <c r="O71" s="6">
        <v>1440</v>
      </c>
      <c r="P71" s="6">
        <v>1718</v>
      </c>
      <c r="Q71" s="6">
        <v>1833</v>
      </c>
      <c r="R71" s="6">
        <f t="shared" ref="R71:AA71" si="76">Q71*1.1</f>
        <v>2016.3000000000002</v>
      </c>
      <c r="S71" s="6">
        <f t="shared" si="76"/>
        <v>2217.9300000000003</v>
      </c>
      <c r="T71" s="6">
        <f t="shared" si="76"/>
        <v>2439.7230000000004</v>
      </c>
      <c r="U71" s="6">
        <f t="shared" si="76"/>
        <v>2683.6953000000008</v>
      </c>
      <c r="V71" s="6">
        <f t="shared" si="76"/>
        <v>2952.0648300000012</v>
      </c>
      <c r="W71" s="6">
        <f t="shared" si="76"/>
        <v>3247.2713130000016</v>
      </c>
      <c r="X71" s="6">
        <f t="shared" si="76"/>
        <v>3571.9984443000021</v>
      </c>
      <c r="Y71" s="6">
        <f t="shared" si="76"/>
        <v>3929.1982887300028</v>
      </c>
      <c r="Z71" s="6">
        <f t="shared" si="76"/>
        <v>4322.1181176030032</v>
      </c>
      <c r="AA71" s="6">
        <f t="shared" si="76"/>
        <v>4754.3299293633036</v>
      </c>
    </row>
    <row r="72" spans="2:29" x14ac:dyDescent="0.2">
      <c r="B72" s="6" t="s">
        <v>72</v>
      </c>
      <c r="O72" s="6">
        <v>83</v>
      </c>
      <c r="P72" s="6">
        <v>72</v>
      </c>
      <c r="Q72" s="6">
        <v>77</v>
      </c>
      <c r="R72" s="6">
        <f t="shared" ref="R72:AA72" si="77">Q72*(1+R27)</f>
        <v>84.501278772378527</v>
      </c>
      <c r="S72" s="6">
        <f t="shared" si="77"/>
        <v>90.416368286445035</v>
      </c>
      <c r="T72" s="6">
        <f t="shared" si="77"/>
        <v>96.745514066496199</v>
      </c>
      <c r="U72" s="6">
        <f t="shared" si="77"/>
        <v>103.51770005115094</v>
      </c>
      <c r="V72" s="6">
        <f t="shared" si="77"/>
        <v>110.76393905473151</v>
      </c>
      <c r="W72" s="6">
        <f t="shared" si="77"/>
        <v>118.51741478856272</v>
      </c>
      <c r="X72" s="6">
        <f t="shared" si="77"/>
        <v>122.0729372322196</v>
      </c>
      <c r="Y72" s="6">
        <f t="shared" si="77"/>
        <v>125.73512534918619</v>
      </c>
      <c r="Z72" s="6">
        <f t="shared" si="77"/>
        <v>129.50717910966179</v>
      </c>
      <c r="AA72" s="6">
        <f t="shared" si="77"/>
        <v>133.39239448295166</v>
      </c>
    </row>
    <row r="73" spans="2:29" x14ac:dyDescent="0.2">
      <c r="B73" s="6" t="s">
        <v>73</v>
      </c>
      <c r="O73" s="6">
        <v>0</v>
      </c>
      <c r="P73" s="6">
        <v>0</v>
      </c>
      <c r="Q73" s="6">
        <v>78</v>
      </c>
      <c r="R73" s="6">
        <f t="shared" ref="R73:AA73" si="78">Q73*(1+R27)</f>
        <v>85.598697977214599</v>
      </c>
      <c r="S73" s="6">
        <f t="shared" si="78"/>
        <v>91.590606835619624</v>
      </c>
      <c r="T73" s="6">
        <f t="shared" si="78"/>
        <v>98.001949314113006</v>
      </c>
      <c r="U73" s="6">
        <f t="shared" si="78"/>
        <v>104.86208576610092</v>
      </c>
      <c r="V73" s="6">
        <f t="shared" si="78"/>
        <v>112.20243176972799</v>
      </c>
      <c r="W73" s="6">
        <f t="shared" si="78"/>
        <v>120.05660199360896</v>
      </c>
      <c r="X73" s="6">
        <f t="shared" si="78"/>
        <v>123.65830005341724</v>
      </c>
      <c r="Y73" s="6">
        <f t="shared" si="78"/>
        <v>127.36804905501975</v>
      </c>
      <c r="Z73" s="6">
        <f t="shared" si="78"/>
        <v>131.18909052667036</v>
      </c>
      <c r="AA73" s="6">
        <f t="shared" si="78"/>
        <v>135.12476324247046</v>
      </c>
    </row>
    <row r="74" spans="2:29" x14ac:dyDescent="0.2">
      <c r="B74" s="6" t="s">
        <v>44</v>
      </c>
      <c r="O74" s="6">
        <v>328</v>
      </c>
      <c r="P74" s="6">
        <v>-426</v>
      </c>
      <c r="Q74" s="6">
        <v>-468</v>
      </c>
      <c r="R74" s="6">
        <f t="shared" ref="R74:AA74" si="79">Q74*(1+R27)</f>
        <v>-513.59218786328768</v>
      </c>
      <c r="S74" s="6">
        <f t="shared" si="79"/>
        <v>-549.54364101371789</v>
      </c>
      <c r="T74" s="6">
        <f t="shared" si="79"/>
        <v>-588.01169588467815</v>
      </c>
      <c r="U74" s="6">
        <f t="shared" si="79"/>
        <v>-629.17251459660565</v>
      </c>
      <c r="V74" s="6">
        <f t="shared" si="79"/>
        <v>-673.21459061836811</v>
      </c>
      <c r="W74" s="6">
        <f t="shared" si="79"/>
        <v>-720.33961196165387</v>
      </c>
      <c r="X74" s="6">
        <f t="shared" si="79"/>
        <v>-741.94980032050353</v>
      </c>
      <c r="Y74" s="6">
        <f t="shared" si="79"/>
        <v>-764.20829433011863</v>
      </c>
      <c r="Z74" s="6">
        <f t="shared" si="79"/>
        <v>-787.13454316002219</v>
      </c>
      <c r="AA74" s="6">
        <f t="shared" si="79"/>
        <v>-810.7485794548229</v>
      </c>
    </row>
    <row r="75" spans="2:29" x14ac:dyDescent="0.2">
      <c r="B75" s="6" t="s">
        <v>74</v>
      </c>
      <c r="O75" s="6">
        <v>29</v>
      </c>
      <c r="P75" s="6">
        <v>-10</v>
      </c>
      <c r="Q75" s="6">
        <v>-35</v>
      </c>
      <c r="R75" s="6">
        <f t="shared" ref="R75:AA75" si="80">Q75*(1+R27)</f>
        <v>-38.409672169262961</v>
      </c>
      <c r="S75" s="6">
        <f t="shared" si="80"/>
        <v>-41.09834922111137</v>
      </c>
      <c r="T75" s="6">
        <f t="shared" si="80"/>
        <v>-43.975233666589169</v>
      </c>
      <c r="U75" s="6">
        <f t="shared" si="80"/>
        <v>-47.053500023250415</v>
      </c>
      <c r="V75" s="6">
        <f t="shared" si="80"/>
        <v>-50.34724502487795</v>
      </c>
      <c r="W75" s="6">
        <f t="shared" si="80"/>
        <v>-53.87155217661941</v>
      </c>
      <c r="X75" s="6">
        <f t="shared" si="80"/>
        <v>-55.487698741917995</v>
      </c>
      <c r="Y75" s="6">
        <f t="shared" si="80"/>
        <v>-57.152329704175536</v>
      </c>
      <c r="Z75" s="6">
        <f t="shared" si="80"/>
        <v>-58.866899595300801</v>
      </c>
      <c r="AA75" s="6">
        <f t="shared" si="80"/>
        <v>-60.632906583159823</v>
      </c>
      <c r="AC75" s="19"/>
    </row>
    <row r="76" spans="2:29" x14ac:dyDescent="0.2">
      <c r="B76" s="6" t="s">
        <v>75</v>
      </c>
      <c r="O76" s="6">
        <v>10</v>
      </c>
      <c r="P76" s="6">
        <v>3</v>
      </c>
      <c r="Q76" s="6">
        <v>10</v>
      </c>
      <c r="R76" s="6">
        <f t="shared" ref="R76:AA76" si="81">Q76*(1+R27)</f>
        <v>10.974192048360846</v>
      </c>
      <c r="S76" s="6">
        <f t="shared" si="81"/>
        <v>11.742385491746106</v>
      </c>
      <c r="T76" s="6">
        <f t="shared" si="81"/>
        <v>12.564352476168335</v>
      </c>
      <c r="U76" s="6">
        <f t="shared" si="81"/>
        <v>13.443857149500118</v>
      </c>
      <c r="V76" s="6">
        <f t="shared" si="81"/>
        <v>14.384927149965128</v>
      </c>
      <c r="W76" s="6">
        <f t="shared" si="81"/>
        <v>15.391872050462688</v>
      </c>
      <c r="X76" s="6">
        <f t="shared" si="81"/>
        <v>15.853628211976568</v>
      </c>
      <c r="Y76" s="6">
        <f t="shared" si="81"/>
        <v>16.329237058335867</v>
      </c>
      <c r="Z76" s="6">
        <f t="shared" si="81"/>
        <v>16.819114170085943</v>
      </c>
      <c r="AA76" s="6">
        <f t="shared" si="81"/>
        <v>17.32368759518852</v>
      </c>
      <c r="AC76" s="19"/>
    </row>
    <row r="77" spans="2:29" x14ac:dyDescent="0.2">
      <c r="B77" s="6" t="s">
        <v>38</v>
      </c>
      <c r="O77" s="6">
        <v>-198</v>
      </c>
      <c r="P77" s="6">
        <v>-159</v>
      </c>
      <c r="Q77" s="6">
        <v>143</v>
      </c>
      <c r="R77" s="6">
        <v>0</v>
      </c>
      <c r="S77" s="6">
        <f t="shared" ref="S77:AA77" si="82">R77*(1+S27)</f>
        <v>0</v>
      </c>
      <c r="T77" s="6">
        <f t="shared" si="82"/>
        <v>0</v>
      </c>
      <c r="U77" s="6">
        <f t="shared" si="82"/>
        <v>0</v>
      </c>
      <c r="V77" s="6">
        <f t="shared" si="82"/>
        <v>0</v>
      </c>
      <c r="W77" s="6">
        <f t="shared" si="82"/>
        <v>0</v>
      </c>
      <c r="X77" s="6">
        <f t="shared" si="82"/>
        <v>0</v>
      </c>
      <c r="Y77" s="6">
        <f t="shared" si="82"/>
        <v>0</v>
      </c>
      <c r="Z77" s="6">
        <f t="shared" si="82"/>
        <v>0</v>
      </c>
      <c r="AA77" s="6">
        <f t="shared" si="82"/>
        <v>0</v>
      </c>
      <c r="AC77" s="19"/>
    </row>
    <row r="78" spans="2:29" x14ac:dyDescent="0.2">
      <c r="B78" s="6" t="s">
        <v>39</v>
      </c>
      <c r="O78" s="6">
        <v>-94</v>
      </c>
      <c r="P78" s="6">
        <v>-818</v>
      </c>
      <c r="Q78" s="6">
        <v>-616</v>
      </c>
      <c r="R78" s="6">
        <f t="shared" ref="R78:AA78" si="83">Q78*(1+R27)</f>
        <v>-676.01023017902821</v>
      </c>
      <c r="S78" s="6">
        <f t="shared" si="83"/>
        <v>-723.33094629156028</v>
      </c>
      <c r="T78" s="6">
        <f t="shared" si="83"/>
        <v>-773.96411253196959</v>
      </c>
      <c r="U78" s="6">
        <f t="shared" si="83"/>
        <v>-828.14160040920751</v>
      </c>
      <c r="V78" s="6">
        <f t="shared" si="83"/>
        <v>-886.11151243785207</v>
      </c>
      <c r="W78" s="6">
        <f t="shared" si="83"/>
        <v>-948.13931830850174</v>
      </c>
      <c r="X78" s="6">
        <f t="shared" si="83"/>
        <v>-976.58349785775681</v>
      </c>
      <c r="Y78" s="6">
        <f t="shared" si="83"/>
        <v>-1005.8810027934895</v>
      </c>
      <c r="Z78" s="6">
        <f t="shared" si="83"/>
        <v>-1036.0574328772943</v>
      </c>
      <c r="AA78" s="6">
        <f t="shared" si="83"/>
        <v>-1067.1391558636133</v>
      </c>
      <c r="AC78" s="19"/>
    </row>
    <row r="79" spans="2:29" x14ac:dyDescent="0.2">
      <c r="B79" s="6" t="s">
        <v>76</v>
      </c>
      <c r="O79" s="6">
        <v>66</v>
      </c>
      <c r="P79" s="6">
        <v>-49</v>
      </c>
      <c r="Q79" s="6">
        <v>44</v>
      </c>
      <c r="R79" s="6">
        <f t="shared" ref="R79:AA79" si="84">Q79*(1+R27)</f>
        <v>48.286445012787723</v>
      </c>
      <c r="S79" s="6">
        <f t="shared" si="84"/>
        <v>51.666496163682865</v>
      </c>
      <c r="T79" s="6">
        <f t="shared" si="84"/>
        <v>55.283150895140672</v>
      </c>
      <c r="U79" s="6">
        <f t="shared" si="84"/>
        <v>59.152971457800525</v>
      </c>
      <c r="V79" s="6">
        <f t="shared" si="84"/>
        <v>63.293679459846565</v>
      </c>
      <c r="W79" s="6">
        <f t="shared" si="84"/>
        <v>67.724237022035823</v>
      </c>
      <c r="X79" s="6">
        <f t="shared" si="84"/>
        <v>69.755964132696903</v>
      </c>
      <c r="Y79" s="6">
        <f t="shared" si="84"/>
        <v>71.848643056677815</v>
      </c>
      <c r="Z79" s="6">
        <f t="shared" si="84"/>
        <v>74.004102348378154</v>
      </c>
      <c r="AA79" s="6">
        <f t="shared" si="84"/>
        <v>76.224225418829505</v>
      </c>
      <c r="AC79" s="19"/>
    </row>
    <row r="80" spans="2:29" x14ac:dyDescent="0.2">
      <c r="B80" s="6" t="s">
        <v>48</v>
      </c>
      <c r="O80" s="6">
        <v>7</v>
      </c>
      <c r="P80" s="6">
        <v>146</v>
      </c>
      <c r="Q80" s="6">
        <v>196</v>
      </c>
      <c r="R80" s="6">
        <f t="shared" ref="R80:AA80" si="85">Q80*(1+R27)</f>
        <v>215.09416414787259</v>
      </c>
      <c r="S80" s="6">
        <f t="shared" si="85"/>
        <v>230.15075563822367</v>
      </c>
      <c r="T80" s="6">
        <f t="shared" si="85"/>
        <v>246.26130853289933</v>
      </c>
      <c r="U80" s="6">
        <f t="shared" si="85"/>
        <v>263.49960013020228</v>
      </c>
      <c r="V80" s="6">
        <f t="shared" si="85"/>
        <v>281.94457213931645</v>
      </c>
      <c r="W80" s="6">
        <f t="shared" si="85"/>
        <v>301.68069218906862</v>
      </c>
      <c r="X80" s="6">
        <f t="shared" si="85"/>
        <v>310.73111295474069</v>
      </c>
      <c r="Y80" s="6">
        <f t="shared" si="85"/>
        <v>320.0530463433829</v>
      </c>
      <c r="Z80" s="6">
        <f t="shared" si="85"/>
        <v>329.65463773368441</v>
      </c>
      <c r="AA80" s="6">
        <f t="shared" si="85"/>
        <v>339.54427686569494</v>
      </c>
    </row>
    <row r="81" spans="1:115" x14ac:dyDescent="0.2">
      <c r="B81" s="6" t="s">
        <v>50</v>
      </c>
      <c r="O81" s="6">
        <v>19</v>
      </c>
      <c r="P81" s="6">
        <v>-11</v>
      </c>
      <c r="Q81" s="6">
        <v>68</v>
      </c>
      <c r="R81" s="6">
        <f t="shared" ref="R81:AA81" si="86">Q81*(1+R27)</f>
        <v>74.624505928853765</v>
      </c>
      <c r="S81" s="6">
        <f t="shared" si="86"/>
        <v>79.848221343873533</v>
      </c>
      <c r="T81" s="6">
        <f t="shared" si="86"/>
        <v>85.437596837944682</v>
      </c>
      <c r="U81" s="6">
        <f t="shared" si="86"/>
        <v>91.418228616600814</v>
      </c>
      <c r="V81" s="6">
        <f t="shared" si="86"/>
        <v>97.817504619762872</v>
      </c>
      <c r="W81" s="6">
        <f t="shared" si="86"/>
        <v>104.66472994314628</v>
      </c>
      <c r="X81" s="6">
        <f t="shared" si="86"/>
        <v>107.80467184144068</v>
      </c>
      <c r="Y81" s="6">
        <f t="shared" si="86"/>
        <v>111.0388119966839</v>
      </c>
      <c r="Z81" s="6">
        <f t="shared" si="86"/>
        <v>114.36997635658443</v>
      </c>
      <c r="AA81" s="6">
        <f t="shared" si="86"/>
        <v>117.80107564728196</v>
      </c>
    </row>
    <row r="82" spans="1:115" x14ac:dyDescent="0.2">
      <c r="B82" s="6" t="s">
        <v>77</v>
      </c>
      <c r="O82" s="6">
        <v>536</v>
      </c>
      <c r="P82" s="6">
        <v>536</v>
      </c>
      <c r="Q82" s="6">
        <v>309</v>
      </c>
      <c r="R82" s="6">
        <v>0</v>
      </c>
      <c r="S82" s="6">
        <f t="shared" ref="S82:AA82" si="87">R82*(1+S27)</f>
        <v>0</v>
      </c>
      <c r="T82" s="6">
        <f t="shared" si="87"/>
        <v>0</v>
      </c>
      <c r="U82" s="6">
        <f t="shared" si="87"/>
        <v>0</v>
      </c>
      <c r="V82" s="6">
        <f t="shared" si="87"/>
        <v>0</v>
      </c>
      <c r="W82" s="6">
        <f t="shared" si="87"/>
        <v>0</v>
      </c>
      <c r="X82" s="6">
        <f t="shared" si="87"/>
        <v>0</v>
      </c>
      <c r="Y82" s="6">
        <f t="shared" si="87"/>
        <v>0</v>
      </c>
      <c r="Z82" s="6">
        <f t="shared" si="87"/>
        <v>0</v>
      </c>
      <c r="AA82" s="6">
        <f t="shared" si="87"/>
        <v>0</v>
      </c>
    </row>
    <row r="83" spans="1:115" s="10" customFormat="1" x14ac:dyDescent="0.2">
      <c r="A83" s="6"/>
      <c r="B83" s="10" t="s">
        <v>25</v>
      </c>
      <c r="C83" s="1"/>
      <c r="D83" s="1"/>
      <c r="E83" s="1"/>
      <c r="F83" s="1"/>
      <c r="H83" s="1"/>
      <c r="I83" s="1"/>
      <c r="J83" s="1"/>
      <c r="K83" s="1"/>
      <c r="O83" s="10">
        <f>SUM(O69:O82)</f>
        <v>7838</v>
      </c>
      <c r="P83" s="10">
        <f t="shared" ref="P83:Q83" si="88">SUM(P69:P82)</f>
        <v>7302</v>
      </c>
      <c r="Q83" s="10">
        <f t="shared" si="88"/>
        <v>8056</v>
      </c>
      <c r="R83" s="10">
        <f>SUM(R68:R82)</f>
        <v>9724.1311786053957</v>
      </c>
      <c r="S83" s="10">
        <f t="shared" ref="S83:V83" si="89">SUM(S68:S82)</f>
        <v>10627.705311170574</v>
      </c>
      <c r="T83" s="10">
        <f t="shared" si="89"/>
        <v>11705.332229730391</v>
      </c>
      <c r="U83" s="10">
        <f t="shared" si="89"/>
        <v>12876.155148700904</v>
      </c>
      <c r="V83" s="10">
        <f t="shared" si="89"/>
        <v>14147.881247423076</v>
      </c>
      <c r="W83" s="10">
        <f t="shared" ref="W83:AA83" si="90">SUM(W68:W82)</f>
        <v>15528.849029929828</v>
      </c>
      <c r="X83" s="10">
        <f t="shared" si="90"/>
        <v>16481.942369768429</v>
      </c>
      <c r="Y83" s="10">
        <f t="shared" si="90"/>
        <v>17492.296433058083</v>
      </c>
      <c r="Z83" s="10">
        <f t="shared" si="90"/>
        <v>18564.033133434998</v>
      </c>
      <c r="AA83" s="10">
        <f t="shared" si="90"/>
        <v>19701.628174518126</v>
      </c>
    </row>
    <row r="84" spans="1:115" x14ac:dyDescent="0.2">
      <c r="B84" s="6" t="s">
        <v>79</v>
      </c>
      <c r="O84" s="6">
        <v>-909</v>
      </c>
      <c r="P84" s="6">
        <v>0</v>
      </c>
      <c r="Q84" s="6">
        <v>-59</v>
      </c>
      <c r="AC84" s="6" t="s">
        <v>29</v>
      </c>
      <c r="AD84" s="15">
        <v>0.02</v>
      </c>
    </row>
    <row r="85" spans="1:115" x14ac:dyDescent="0.2">
      <c r="B85" s="6" t="s">
        <v>78</v>
      </c>
      <c r="O85" s="6">
        <v>683</v>
      </c>
      <c r="P85" s="6">
        <v>965</v>
      </c>
      <c r="Q85" s="6">
        <v>486</v>
      </c>
      <c r="AC85" s="6" t="s">
        <v>30</v>
      </c>
      <c r="AD85" s="15">
        <v>0.01</v>
      </c>
    </row>
    <row r="86" spans="1:115" x14ac:dyDescent="0.2">
      <c r="B86" s="6" t="s">
        <v>80</v>
      </c>
      <c r="O86" s="6">
        <v>270</v>
      </c>
      <c r="P86" s="6">
        <v>223</v>
      </c>
      <c r="Q86" s="6">
        <v>11</v>
      </c>
      <c r="AC86" s="6" t="s">
        <v>31</v>
      </c>
      <c r="AD86" s="11">
        <v>8.5000000000000006E-2</v>
      </c>
    </row>
    <row r="87" spans="1:115" x14ac:dyDescent="0.2">
      <c r="B87" s="6" t="s">
        <v>81</v>
      </c>
      <c r="O87" s="6">
        <v>-126</v>
      </c>
      <c r="P87" s="6">
        <v>0</v>
      </c>
      <c r="Q87" s="6">
        <v>0</v>
      </c>
      <c r="Y87" s="9"/>
      <c r="AC87" s="6" t="s">
        <v>32</v>
      </c>
      <c r="AD87" s="10">
        <f>NPV(AD86,R92:DK92)+Main!O5-Main!O6</f>
        <v>201311.51690912101</v>
      </c>
    </row>
    <row r="88" spans="1:115" x14ac:dyDescent="0.2">
      <c r="B88" s="6" t="s">
        <v>82</v>
      </c>
      <c r="O88" s="6">
        <v>-442</v>
      </c>
      <c r="P88" s="6">
        <v>-360</v>
      </c>
      <c r="Q88" s="6">
        <v>-183</v>
      </c>
      <c r="Y88" s="9"/>
      <c r="AC88" s="6" t="s">
        <v>0</v>
      </c>
      <c r="AD88" s="9">
        <f>AD87/Main!O3</f>
        <v>474.56746088901701</v>
      </c>
    </row>
    <row r="89" spans="1:115" x14ac:dyDescent="0.2">
      <c r="B89" s="6" t="s">
        <v>83</v>
      </c>
      <c r="O89" s="6">
        <v>-46</v>
      </c>
      <c r="P89" s="6">
        <v>-53</v>
      </c>
      <c r="Q89" s="6">
        <v>-108</v>
      </c>
      <c r="AC89" s="6" t="s">
        <v>33</v>
      </c>
      <c r="AD89" s="14">
        <f>AD88/Main!O2-1</f>
        <v>0.36369960025579595</v>
      </c>
    </row>
    <row r="90" spans="1:115" x14ac:dyDescent="0.2">
      <c r="B90" s="6" t="s">
        <v>84</v>
      </c>
      <c r="O90" s="6">
        <v>0</v>
      </c>
      <c r="P90" s="6">
        <v>1</v>
      </c>
      <c r="Q90" s="6">
        <v>2</v>
      </c>
    </row>
    <row r="91" spans="1:115" s="10" customFormat="1" x14ac:dyDescent="0.2">
      <c r="A91" s="6"/>
      <c r="B91" s="10" t="s">
        <v>85</v>
      </c>
      <c r="C91" s="1"/>
      <c r="D91" s="1"/>
      <c r="E91" s="1"/>
      <c r="F91" s="1"/>
      <c r="H91" s="1"/>
      <c r="I91" s="1"/>
      <c r="J91" s="1"/>
      <c r="K91" s="1"/>
      <c r="O91" s="10">
        <f>O88+O87</f>
        <v>-568</v>
      </c>
      <c r="P91" s="10">
        <f t="shared" ref="P91:Q91" si="91">P88+P87</f>
        <v>-360</v>
      </c>
      <c r="Q91" s="10">
        <f t="shared" si="91"/>
        <v>-183</v>
      </c>
      <c r="R91" s="10">
        <v>-300</v>
      </c>
      <c r="S91" s="10">
        <f t="shared" ref="S91:AA91" si="92">R91*(1+S27)</f>
        <v>-321</v>
      </c>
      <c r="T91" s="10">
        <f t="shared" si="92"/>
        <v>-343.47</v>
      </c>
      <c r="U91" s="10">
        <f t="shared" si="92"/>
        <v>-367.51290000000006</v>
      </c>
      <c r="V91" s="10">
        <f t="shared" si="92"/>
        <v>-393.23880300000008</v>
      </c>
      <c r="W91" s="10">
        <f t="shared" si="92"/>
        <v>-420.76551921000009</v>
      </c>
      <c r="X91" s="10">
        <f t="shared" si="92"/>
        <v>-433.38848478630013</v>
      </c>
      <c r="Y91" s="10">
        <f t="shared" si="92"/>
        <v>-446.39013932988917</v>
      </c>
      <c r="Z91" s="10">
        <f t="shared" si="92"/>
        <v>-459.78184350978586</v>
      </c>
      <c r="AA91" s="10">
        <f t="shared" si="92"/>
        <v>-473.57529881507946</v>
      </c>
    </row>
    <row r="92" spans="1:115" s="10" customFormat="1" x14ac:dyDescent="0.2">
      <c r="A92" s="6"/>
      <c r="B92" s="10" t="s">
        <v>26</v>
      </c>
      <c r="C92" s="1"/>
      <c r="D92" s="1"/>
      <c r="E92" s="1"/>
      <c r="F92" s="1"/>
      <c r="H92" s="1"/>
      <c r="I92" s="1"/>
      <c r="J92" s="1"/>
      <c r="K92" s="1"/>
      <c r="O92" s="10">
        <f>O83+O91</f>
        <v>7270</v>
      </c>
      <c r="P92" s="10">
        <f t="shared" ref="P92:V92" si="93">P83+P91</f>
        <v>6942</v>
      </c>
      <c r="Q92" s="10">
        <f t="shared" si="93"/>
        <v>7873</v>
      </c>
      <c r="R92" s="10">
        <f t="shared" si="93"/>
        <v>9424.1311786053957</v>
      </c>
      <c r="S92" s="10">
        <f t="shared" si="93"/>
        <v>10306.705311170574</v>
      </c>
      <c r="T92" s="10">
        <f t="shared" si="93"/>
        <v>11361.862229730392</v>
      </c>
      <c r="U92" s="10">
        <f t="shared" si="93"/>
        <v>12508.642248700904</v>
      </c>
      <c r="V92" s="10">
        <f t="shared" si="93"/>
        <v>13754.642444423076</v>
      </c>
      <c r="W92" s="10">
        <f t="shared" ref="W92:AA92" si="94">W83+W91</f>
        <v>15108.083510719829</v>
      </c>
      <c r="X92" s="10">
        <f t="shared" si="94"/>
        <v>16048.553884982128</v>
      </c>
      <c r="Y92" s="10">
        <f t="shared" si="94"/>
        <v>17045.906293728196</v>
      </c>
      <c r="Z92" s="10">
        <f t="shared" si="94"/>
        <v>18104.251289925211</v>
      </c>
      <c r="AA92" s="10">
        <f t="shared" si="94"/>
        <v>19228.052875703048</v>
      </c>
      <c r="AB92" s="10">
        <f t="shared" ref="AB92:BG92" si="95">AA92*(1+$AD$85)</f>
        <v>19420.333404460078</v>
      </c>
      <c r="AC92" s="10">
        <f t="shared" si="95"/>
        <v>19614.536738504677</v>
      </c>
      <c r="AD92" s="10">
        <f t="shared" si="95"/>
        <v>19810.682105889726</v>
      </c>
      <c r="AE92" s="10">
        <f t="shared" si="95"/>
        <v>20008.788926948622</v>
      </c>
      <c r="AF92" s="10">
        <f t="shared" si="95"/>
        <v>20208.876816218108</v>
      </c>
      <c r="AG92" s="10">
        <f t="shared" si="95"/>
        <v>20410.96558438029</v>
      </c>
      <c r="AH92" s="10">
        <f t="shared" si="95"/>
        <v>20615.075240224094</v>
      </c>
      <c r="AI92" s="10">
        <f t="shared" si="95"/>
        <v>20821.225992626336</v>
      </c>
      <c r="AJ92" s="10">
        <f t="shared" si="95"/>
        <v>21029.438252552598</v>
      </c>
      <c r="AK92" s="10">
        <f t="shared" si="95"/>
        <v>21239.732635078126</v>
      </c>
      <c r="AL92" s="10">
        <f t="shared" si="95"/>
        <v>21452.129961428909</v>
      </c>
      <c r="AM92" s="10">
        <f t="shared" si="95"/>
        <v>21666.6512610432</v>
      </c>
      <c r="AN92" s="10">
        <f t="shared" si="95"/>
        <v>21883.317773653631</v>
      </c>
      <c r="AO92" s="10">
        <f t="shared" si="95"/>
        <v>22102.150951390166</v>
      </c>
      <c r="AP92" s="10">
        <f t="shared" si="95"/>
        <v>22323.172460904068</v>
      </c>
      <c r="AQ92" s="10">
        <f t="shared" si="95"/>
        <v>22546.404185513111</v>
      </c>
      <c r="AR92" s="10">
        <f t="shared" si="95"/>
        <v>22771.868227368243</v>
      </c>
      <c r="AS92" s="10">
        <f t="shared" si="95"/>
        <v>22999.586909641926</v>
      </c>
      <c r="AT92" s="10">
        <f t="shared" si="95"/>
        <v>23229.582778738346</v>
      </c>
      <c r="AU92" s="10">
        <f t="shared" si="95"/>
        <v>23461.87860652573</v>
      </c>
      <c r="AV92" s="10">
        <f t="shared" si="95"/>
        <v>23696.497392590987</v>
      </c>
      <c r="AW92" s="10">
        <f t="shared" si="95"/>
        <v>23933.462366516898</v>
      </c>
      <c r="AX92" s="10">
        <f t="shared" si="95"/>
        <v>24172.796990182069</v>
      </c>
      <c r="AY92" s="10">
        <f t="shared" si="95"/>
        <v>24414.524960083891</v>
      </c>
      <c r="AZ92" s="10">
        <f t="shared" si="95"/>
        <v>24658.670209684729</v>
      </c>
      <c r="BA92" s="10">
        <f t="shared" si="95"/>
        <v>24905.256911781576</v>
      </c>
      <c r="BB92" s="10">
        <f t="shared" si="95"/>
        <v>25154.309480899392</v>
      </c>
      <c r="BC92" s="10">
        <f t="shared" si="95"/>
        <v>25405.852575708384</v>
      </c>
      <c r="BD92" s="10">
        <f t="shared" si="95"/>
        <v>25659.91110146547</v>
      </c>
      <c r="BE92" s="10">
        <f t="shared" si="95"/>
        <v>25916.510212480123</v>
      </c>
      <c r="BF92" s="10">
        <f t="shared" si="95"/>
        <v>26175.675314604923</v>
      </c>
      <c r="BG92" s="10">
        <f t="shared" si="95"/>
        <v>26437.432067750971</v>
      </c>
      <c r="BH92" s="10">
        <f t="shared" ref="BH92:CM92" si="96">BG92*(1+$AD$85)</f>
        <v>26701.806388428482</v>
      </c>
      <c r="BI92" s="10">
        <f t="shared" si="96"/>
        <v>26968.824452312769</v>
      </c>
      <c r="BJ92" s="10">
        <f t="shared" si="96"/>
        <v>27238.512696835896</v>
      </c>
      <c r="BK92" s="10">
        <f t="shared" si="96"/>
        <v>27510.897823804255</v>
      </c>
      <c r="BL92" s="10">
        <f t="shared" si="96"/>
        <v>27786.006802042299</v>
      </c>
      <c r="BM92" s="10">
        <f t="shared" si="96"/>
        <v>28063.86687006272</v>
      </c>
      <c r="BN92" s="10">
        <f t="shared" si="96"/>
        <v>28344.505538763347</v>
      </c>
      <c r="BO92" s="10">
        <f t="shared" si="96"/>
        <v>28627.950594150981</v>
      </c>
      <c r="BP92" s="10">
        <f t="shared" si="96"/>
        <v>28914.230100092493</v>
      </c>
      <c r="BQ92" s="10">
        <f t="shared" si="96"/>
        <v>29203.372401093417</v>
      </c>
      <c r="BR92" s="10">
        <f t="shared" si="96"/>
        <v>29495.406125104349</v>
      </c>
      <c r="BS92" s="10">
        <f t="shared" si="96"/>
        <v>29790.360186355392</v>
      </c>
      <c r="BT92" s="10">
        <f t="shared" si="96"/>
        <v>30088.263788218945</v>
      </c>
      <c r="BU92" s="10">
        <f t="shared" si="96"/>
        <v>30389.146426101135</v>
      </c>
      <c r="BV92" s="10">
        <f t="shared" si="96"/>
        <v>30693.037890362146</v>
      </c>
      <c r="BW92" s="10">
        <f t="shared" si="96"/>
        <v>30999.968269265766</v>
      </c>
      <c r="BX92" s="10">
        <f t="shared" si="96"/>
        <v>31309.967951958424</v>
      </c>
      <c r="BY92" s="10">
        <f t="shared" si="96"/>
        <v>31623.06763147801</v>
      </c>
      <c r="BZ92" s="10">
        <f t="shared" si="96"/>
        <v>31939.298307792789</v>
      </c>
      <c r="CA92" s="10">
        <f t="shared" si="96"/>
        <v>32258.691290870716</v>
      </c>
      <c r="CB92" s="10">
        <f t="shared" si="96"/>
        <v>32581.278203779424</v>
      </c>
      <c r="CC92" s="10">
        <f t="shared" si="96"/>
        <v>32907.090985817216</v>
      </c>
      <c r="CD92" s="10">
        <f t="shared" si="96"/>
        <v>33236.161895675388</v>
      </c>
      <c r="CE92" s="10">
        <f t="shared" si="96"/>
        <v>33568.523514632143</v>
      </c>
      <c r="CF92" s="10">
        <f t="shared" si="96"/>
        <v>33904.208749778467</v>
      </c>
      <c r="CG92" s="10">
        <f t="shared" si="96"/>
        <v>34243.250837276253</v>
      </c>
      <c r="CH92" s="10">
        <f t="shared" si="96"/>
        <v>34585.683345649013</v>
      </c>
      <c r="CI92" s="10">
        <f t="shared" si="96"/>
        <v>34931.540179105505</v>
      </c>
      <c r="CJ92" s="10">
        <f t="shared" si="96"/>
        <v>35280.855580896561</v>
      </c>
      <c r="CK92" s="10">
        <f t="shared" si="96"/>
        <v>35633.664136705527</v>
      </c>
      <c r="CL92" s="10">
        <f t="shared" si="96"/>
        <v>35990.000778072586</v>
      </c>
      <c r="CM92" s="10">
        <f t="shared" si="96"/>
        <v>36349.900785853315</v>
      </c>
      <c r="CN92" s="10">
        <f t="shared" ref="CN92:DK92" si="97">CM92*(1+$AD$85)</f>
        <v>36713.399793711847</v>
      </c>
      <c r="CO92" s="10">
        <f t="shared" si="97"/>
        <v>37080.533791648966</v>
      </c>
      <c r="CP92" s="10">
        <f t="shared" si="97"/>
        <v>37451.339129565458</v>
      </c>
      <c r="CQ92" s="10">
        <f t="shared" si="97"/>
        <v>37825.85252086111</v>
      </c>
      <c r="CR92" s="10">
        <f t="shared" si="97"/>
        <v>38204.111046069724</v>
      </c>
      <c r="CS92" s="10">
        <f t="shared" si="97"/>
        <v>38586.152156530421</v>
      </c>
      <c r="CT92" s="10">
        <f t="shared" si="97"/>
        <v>38972.013678095725</v>
      </c>
      <c r="CU92" s="10">
        <f t="shared" si="97"/>
        <v>39361.733814876687</v>
      </c>
      <c r="CV92" s="10">
        <f t="shared" si="97"/>
        <v>39755.351153025455</v>
      </c>
      <c r="CW92" s="10">
        <f t="shared" si="97"/>
        <v>40152.90466455571</v>
      </c>
      <c r="CX92" s="10">
        <f t="shared" si="97"/>
        <v>40554.433711201265</v>
      </c>
      <c r="CY92" s="10">
        <f t="shared" si="97"/>
        <v>40959.978048313278</v>
      </c>
      <c r="CZ92" s="10">
        <f t="shared" si="97"/>
        <v>41369.577828796413</v>
      </c>
      <c r="DA92" s="10">
        <f t="shared" si="97"/>
        <v>41783.273607084375</v>
      </c>
      <c r="DB92" s="10">
        <f t="shared" si="97"/>
        <v>42201.106343155217</v>
      </c>
      <c r="DC92" s="10">
        <f t="shared" si="97"/>
        <v>42623.117406586767</v>
      </c>
      <c r="DD92" s="10">
        <f t="shared" si="97"/>
        <v>43049.348580652637</v>
      </c>
      <c r="DE92" s="10">
        <f t="shared" si="97"/>
        <v>43479.842066459161</v>
      </c>
      <c r="DF92" s="10">
        <f t="shared" si="97"/>
        <v>43914.640487123754</v>
      </c>
      <c r="DG92" s="10">
        <f t="shared" si="97"/>
        <v>44353.786891994991</v>
      </c>
      <c r="DH92" s="10">
        <f t="shared" si="97"/>
        <v>44797.32476091494</v>
      </c>
      <c r="DI92" s="10">
        <f t="shared" si="97"/>
        <v>45245.298008524092</v>
      </c>
      <c r="DJ92" s="10">
        <f t="shared" si="97"/>
        <v>45697.750988609332</v>
      </c>
      <c r="DK92" s="10">
        <f t="shared" si="97"/>
        <v>46154.728498495424</v>
      </c>
    </row>
    <row r="93" spans="1:115" x14ac:dyDescent="0.2">
      <c r="O93" s="14"/>
      <c r="P93" s="14"/>
      <c r="Q93" s="14"/>
    </row>
    <row r="94" spans="1:115" x14ac:dyDescent="0.2">
      <c r="Q94" s="14"/>
      <c r="R94" s="14"/>
      <c r="S94" s="14"/>
      <c r="T94" s="14"/>
      <c r="U94" s="14"/>
      <c r="V94" s="14"/>
      <c r="W94" s="14"/>
    </row>
  </sheetData>
  <hyperlinks>
    <hyperlink ref="A1" location="Sheet1!A1" display="Main" xr:uid="{23B09628-C10F-428D-B1F6-3DB7F50BA868}"/>
  </hyperlink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055F-E604-4755-AF20-EEFE8F06FE88}">
  <dimension ref="A1:D9"/>
  <sheetViews>
    <sheetView zoomScale="130" zoomScaleNormal="130" workbookViewId="0">
      <selection activeCell="A2" sqref="A2"/>
    </sheetView>
  </sheetViews>
  <sheetFormatPr defaultRowHeight="12.75" x14ac:dyDescent="0.2"/>
  <cols>
    <col min="1" max="1" width="5" style="20" bestFit="1" customWidth="1"/>
    <col min="2" max="16384" width="9.140625" style="20"/>
  </cols>
  <sheetData>
    <row r="1" spans="1:4" ht="15" x14ac:dyDescent="0.25">
      <c r="A1" s="22" t="s">
        <v>59</v>
      </c>
    </row>
    <row r="2" spans="1:4" x14ac:dyDescent="0.2">
      <c r="B2" s="21" t="s">
        <v>92</v>
      </c>
    </row>
    <row r="3" spans="1:4" x14ac:dyDescent="0.2">
      <c r="B3" s="20" t="s">
        <v>94</v>
      </c>
      <c r="D3" s="20" t="s">
        <v>96</v>
      </c>
    </row>
    <row r="4" spans="1:4" x14ac:dyDescent="0.2">
      <c r="B4" s="1" t="s">
        <v>93</v>
      </c>
      <c r="D4" s="20" t="s">
        <v>97</v>
      </c>
    </row>
    <row r="5" spans="1:4" x14ac:dyDescent="0.2">
      <c r="B5" s="20" t="s">
        <v>98</v>
      </c>
    </row>
    <row r="7" spans="1:4" x14ac:dyDescent="0.2">
      <c r="B7" s="21" t="s">
        <v>95</v>
      </c>
    </row>
    <row r="8" spans="1:4" x14ac:dyDescent="0.2">
      <c r="B8" s="20" t="s">
        <v>99</v>
      </c>
    </row>
    <row r="9" spans="1:4" x14ac:dyDescent="0.2">
      <c r="B9" s="20" t="s">
        <v>100</v>
      </c>
    </row>
  </sheetData>
  <hyperlinks>
    <hyperlink ref="A1" location="Main!A1" display="Main" xr:uid="{57CC344B-77FC-4721-A491-E9AD202E5F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2025-04-18T01:52:05Z</dcterms:created>
  <dcterms:modified xsi:type="dcterms:W3CDTF">2025-08-02T21:57:32Z</dcterms:modified>
</cp:coreProperties>
</file>