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C50D966-DB87-4A9A-BD46-D0338E9E2B09}" xr6:coauthVersionLast="47" xr6:coauthVersionMax="47" xr10:uidLastSave="{00000000-0000-0000-0000-000000000000}"/>
  <bookViews>
    <workbookView xWindow="6120" yWindow="990" windowWidth="20505" windowHeight="14070" activeTab="1" xr2:uid="{EE83D29F-F538-45D1-A7C5-3904247C57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4" i="2" s="1"/>
  <c r="T4" i="2" s="1"/>
  <c r="Q4" i="2"/>
  <c r="Q27" i="2" s="1"/>
  <c r="P27" i="2"/>
  <c r="N23" i="2"/>
  <c r="O23" i="2"/>
  <c r="M23" i="2"/>
  <c r="N27" i="2"/>
  <c r="O27" i="2"/>
  <c r="M27" i="2"/>
  <c r="G4" i="2"/>
  <c r="H4" i="2" s="1"/>
  <c r="I4" i="2" s="1"/>
  <c r="O10" i="2"/>
  <c r="N10" i="2"/>
  <c r="M10" i="2"/>
  <c r="M4" i="2"/>
  <c r="N4" i="2"/>
  <c r="N18" i="2" s="1"/>
  <c r="O4" i="2"/>
  <c r="O18" i="2" s="1"/>
  <c r="M8" i="2"/>
  <c r="N8" i="2"/>
  <c r="O8" i="2"/>
  <c r="L4" i="2"/>
  <c r="L8" i="2"/>
  <c r="L9" i="2"/>
  <c r="L22" i="2" s="1"/>
  <c r="K4" i="2"/>
  <c r="K18" i="2" s="1"/>
  <c r="K8" i="2"/>
  <c r="O33" i="2"/>
  <c r="O31" i="2"/>
  <c r="F33" i="2"/>
  <c r="F31" i="2"/>
  <c r="F29" i="2" s="1"/>
  <c r="B10" i="2"/>
  <c r="F10" i="2"/>
  <c r="C8" i="2"/>
  <c r="D8" i="2"/>
  <c r="E8" i="2"/>
  <c r="F8" i="2"/>
  <c r="F9" i="2" s="1"/>
  <c r="F12" i="2" s="1"/>
  <c r="B8" i="2"/>
  <c r="C4" i="2"/>
  <c r="D4" i="2"/>
  <c r="E4" i="2"/>
  <c r="B4" i="2"/>
  <c r="F4" i="2"/>
  <c r="L1" i="2"/>
  <c r="M1" i="2" s="1"/>
  <c r="N1" i="2" s="1"/>
  <c r="O1" i="2" s="1"/>
  <c r="P1" i="2" s="1"/>
  <c r="Q1" i="2" s="1"/>
  <c r="R1" i="2" s="1"/>
  <c r="S1" i="2" s="1"/>
  <c r="T1" i="2" s="1"/>
  <c r="D6" i="1"/>
  <c r="D5" i="1"/>
  <c r="D7" i="1"/>
  <c r="D4" i="1"/>
  <c r="L18" i="2" l="1"/>
  <c r="M18" i="2"/>
  <c r="G19" i="2"/>
  <c r="G7" i="2" s="1"/>
  <c r="L12" i="2"/>
  <c r="I19" i="2"/>
  <c r="H19" i="2"/>
  <c r="H7" i="2" s="1"/>
  <c r="I7" i="2" s="1"/>
  <c r="P4" i="2"/>
  <c r="G5" i="2"/>
  <c r="G6" i="2"/>
  <c r="G10" i="2"/>
  <c r="O29" i="2"/>
  <c r="F22" i="2"/>
  <c r="D9" i="2"/>
  <c r="D12" i="2" s="1"/>
  <c r="O9" i="2"/>
  <c r="O12" i="2" s="1"/>
  <c r="N9" i="2"/>
  <c r="N12" i="2" s="1"/>
  <c r="K9" i="2"/>
  <c r="K12" i="2" s="1"/>
  <c r="F19" i="2"/>
  <c r="M9" i="2"/>
  <c r="M12" i="2" s="1"/>
  <c r="M22" i="2"/>
  <c r="M20" i="2"/>
  <c r="N22" i="2"/>
  <c r="E9" i="2"/>
  <c r="E12" i="2" s="1"/>
  <c r="D19" i="2"/>
  <c r="E19" i="2"/>
  <c r="F18" i="2"/>
  <c r="F14" i="2"/>
  <c r="F20" i="2"/>
  <c r="C9" i="2"/>
  <c r="C12" i="2" s="1"/>
  <c r="G18" i="2"/>
  <c r="C19" i="2"/>
  <c r="B9" i="2"/>
  <c r="B12" i="2" s="1"/>
  <c r="H18" i="2"/>
  <c r="I18" i="2"/>
  <c r="P7" i="2" l="1"/>
  <c r="Q7" i="2" s="1"/>
  <c r="R7" i="2" s="1"/>
  <c r="S7" i="2" s="1"/>
  <c r="T7" i="2" s="1"/>
  <c r="H6" i="2"/>
  <c r="I6" i="2" s="1"/>
  <c r="P6" i="2" s="1"/>
  <c r="Q6" i="2" s="1"/>
  <c r="P18" i="2"/>
  <c r="H5" i="2"/>
  <c r="G8" i="2"/>
  <c r="E22" i="2"/>
  <c r="K14" i="2"/>
  <c r="K16" i="2" s="1"/>
  <c r="K20" i="2"/>
  <c r="B22" i="2"/>
  <c r="D22" i="2"/>
  <c r="K22" i="2"/>
  <c r="C14" i="2"/>
  <c r="C22" i="2"/>
  <c r="M14" i="2"/>
  <c r="M16" i="2" s="1"/>
  <c r="O22" i="2"/>
  <c r="N20" i="2"/>
  <c r="N14" i="2"/>
  <c r="N16" i="2" s="1"/>
  <c r="O20" i="2"/>
  <c r="O14" i="2"/>
  <c r="O16" i="2" s="1"/>
  <c r="L14" i="2"/>
  <c r="L16" i="2" s="1"/>
  <c r="L20" i="2"/>
  <c r="B14" i="2"/>
  <c r="B20" i="2"/>
  <c r="C20" i="2"/>
  <c r="R6" i="2" l="1"/>
  <c r="R27" i="2"/>
  <c r="Q18" i="2"/>
  <c r="I5" i="2"/>
  <c r="I8" i="2" s="1"/>
  <c r="I9" i="2" s="1"/>
  <c r="I22" i="2" s="1"/>
  <c r="H8" i="2"/>
  <c r="H9" i="2" s="1"/>
  <c r="H22" i="2" s="1"/>
  <c r="D14" i="2"/>
  <c r="D20" i="2"/>
  <c r="E20" i="2"/>
  <c r="E14" i="2"/>
  <c r="S27" i="2" l="1"/>
  <c r="S6" i="2"/>
  <c r="T6" i="2" s="1"/>
  <c r="P5" i="2"/>
  <c r="R18" i="2"/>
  <c r="G9" i="2"/>
  <c r="Q5" i="2" l="1"/>
  <c r="P8" i="2"/>
  <c r="P9" i="2" s="1"/>
  <c r="P22" i="2" s="1"/>
  <c r="T27" i="2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S18" i="2"/>
  <c r="G22" i="2"/>
  <c r="G12" i="2"/>
  <c r="G13" i="2" s="1"/>
  <c r="W19" i="2" l="1"/>
  <c r="R5" i="2"/>
  <c r="Q8" i="2"/>
  <c r="Q9" i="2" s="1"/>
  <c r="Q22" i="2" s="1"/>
  <c r="T18" i="2"/>
  <c r="G14" i="2"/>
  <c r="G29" i="2" s="1"/>
  <c r="S5" i="2" l="1"/>
  <c r="R8" i="2"/>
  <c r="R9" i="2" s="1"/>
  <c r="R22" i="2" s="1"/>
  <c r="H10" i="2"/>
  <c r="S8" i="2" l="1"/>
  <c r="S9" i="2" s="1"/>
  <c r="S22" i="2" s="1"/>
  <c r="T5" i="2"/>
  <c r="T8" i="2" s="1"/>
  <c r="T9" i="2" s="1"/>
  <c r="T22" i="2" s="1"/>
  <c r="H12" i="2"/>
  <c r="H13" i="2" s="1"/>
  <c r="H14" i="2" l="1"/>
  <c r="H29" i="2" s="1"/>
  <c r="I10" i="2" l="1"/>
  <c r="I12" i="2" l="1"/>
  <c r="I13" i="2" s="1"/>
  <c r="P10" i="2"/>
  <c r="P12" i="2" s="1"/>
  <c r="P13" i="2" l="1"/>
  <c r="P14" i="2" s="1"/>
  <c r="I14" i="2"/>
  <c r="I29" i="2" s="1"/>
  <c r="P29" i="2" s="1"/>
  <c r="P16" i="2" l="1"/>
  <c r="Q10" i="2"/>
  <c r="Q12" i="2" s="1"/>
  <c r="Q13" i="2" l="1"/>
  <c r="Q14" i="2" s="1"/>
  <c r="Q16" i="2" l="1"/>
  <c r="Q29" i="2"/>
  <c r="R10" i="2" l="1"/>
  <c r="R12" i="2" s="1"/>
  <c r="R13" i="2" l="1"/>
  <c r="R14" i="2" s="1"/>
  <c r="R16" i="2" l="1"/>
  <c r="R29" i="2"/>
  <c r="S10" i="2" l="1"/>
  <c r="S12" i="2" s="1"/>
  <c r="S13" i="2" l="1"/>
  <c r="S14" i="2" s="1"/>
  <c r="S16" i="2" l="1"/>
  <c r="S29" i="2"/>
  <c r="T10" i="2" l="1"/>
  <c r="T12" i="2" s="1"/>
  <c r="T13" i="2" l="1"/>
  <c r="T14" i="2" s="1"/>
  <c r="T16" i="2" l="1"/>
  <c r="U14" i="2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T29" i="2"/>
  <c r="W20" i="2" l="1"/>
  <c r="W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tc={099A9AF0-E37F-4A1E-9D28-236B95063A8E}</author>
  </authors>
  <commentList>
    <comment ref="B20" authorId="0" shapeId="0" xr:uid="{099A9AF0-E37F-4A1E-9D28-236B95063A8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due to one time gain on equity investments of 100m</t>
      </text>
    </comment>
  </commentList>
</comments>
</file>

<file path=xl/sharedStrings.xml><?xml version="1.0" encoding="utf-8"?>
<sst xmlns="http://schemas.openxmlformats.org/spreadsheetml/2006/main" count="47" uniqueCount="43">
  <si>
    <t>INCY</t>
  </si>
  <si>
    <t>Price</t>
  </si>
  <si>
    <t>Shares</t>
  </si>
  <si>
    <t>MC</t>
  </si>
  <si>
    <t>Cash</t>
  </si>
  <si>
    <t>Debt</t>
  </si>
  <si>
    <t>EV</t>
  </si>
  <si>
    <t>Product Revenue</t>
  </si>
  <si>
    <t>Product Royalty</t>
  </si>
  <si>
    <t>Revenue</t>
  </si>
  <si>
    <t>Cost of Product</t>
  </si>
  <si>
    <t>R&amp;D</t>
  </si>
  <si>
    <t>SG&amp;A</t>
  </si>
  <si>
    <t>OPEX</t>
  </si>
  <si>
    <t>Interest</t>
  </si>
  <si>
    <t>Pretax Income</t>
  </si>
  <si>
    <t>Tax</t>
  </si>
  <si>
    <t>Net Income</t>
  </si>
  <si>
    <t>EPS</t>
  </si>
  <si>
    <t>Tax Rate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</si>
  <si>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</si>
  <si>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</si>
  <si>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</si>
  <si>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</si>
  <si>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</si>
  <si>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</si>
  <si>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</si>
  <si>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</si>
  <si>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</si>
  <si>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</si>
  <si>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</si>
  <si>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</si>
  <si>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ROIC</t>
  </si>
  <si>
    <t>Maturity</t>
  </si>
  <si>
    <t>Discount</t>
  </si>
  <si>
    <t>NPV</t>
  </si>
  <si>
    <t>Diff</t>
  </si>
  <si>
    <t>Revenue Growth q/q</t>
  </si>
  <si>
    <t>Revenue Growth y/y</t>
  </si>
  <si>
    <t>Operating Margin</t>
  </si>
  <si>
    <t>Operating Income</t>
  </si>
  <si>
    <t>Equity Investments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</si>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</sst>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28575</xdr:colOff>
      <xdr:row>37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9FDE8E-6660-EB54-5223-5A399EBBB78E}"/>
            </a:ext>
          </a:extLst>
        </xdr:cNvPr>
        <xdr:cNvCxnSpPr/>
      </xdr:nvCxnSpPr>
      <xdr:spPr>
        <a:xfrm>
          <a:off x="4171950" y="1905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0</xdr:rowOff>
    </xdr:from>
    <xdr:to>
      <xdr:col>15</xdr:col>
      <xdr:colOff>38100</xdr:colOff>
      <xdr:row>37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0F0D7A-915A-43B4-ACF0-B82C969BCB49}"/>
            </a:ext>
          </a:extLst>
        </xdr:cNvPr>
        <xdr:cNvCxnSpPr/>
      </xdr:nvCxnSpPr>
      <xdr:spPr>
        <a:xfrm>
          <a:off x="9667875" y="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EDFF5B9C-A26C-42F5-BC42-AC4D451FD426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01T17:31:01.70" personId="{EDFF5B9C-A26C-42F5-BC42-AC4D451FD426}" id="{099A9AF0-E37F-4A1E-9D28-236B95063A8E}">
    <text>Outlier due to one time gain on equity investments of 100m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1DA1-10F1-4563-8E6E-7F25228F570D}">
  <dimension ref="A1:D7"/>
  <sheetViews>
    <sheetView zoomScale="295" zoomScaleNormal="295" workbookViewId="0">
      <selection activeCell="D6" sqref="D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62.4</v>
      </c>
    </row>
    <row r="3" spans="1:4" x14ac:dyDescent="0.25">
      <c r="C3" t="s">
        <v>2</v>
      </c>
      <c r="D3" s="2">
        <v>193.56989999999999</v>
      </c>
    </row>
    <row r="4" spans="1:4" x14ac:dyDescent="0.25">
      <c r="C4" t="s">
        <v>3</v>
      </c>
      <c r="D4" s="2">
        <f>D3*D2</f>
        <v>12078.761759999999</v>
      </c>
    </row>
    <row r="5" spans="1:4" x14ac:dyDescent="0.25">
      <c r="C5" t="s">
        <v>4</v>
      </c>
      <c r="D5" s="2">
        <f>1941.7+466.9</f>
        <v>2408.6</v>
      </c>
    </row>
    <row r="6" spans="1:4" x14ac:dyDescent="0.25">
      <c r="C6" t="s">
        <v>5</v>
      </c>
      <c r="D6" s="2">
        <f>175.5+32.6</f>
        <v>208.1</v>
      </c>
    </row>
    <row r="7" spans="1:4" x14ac:dyDescent="0.25">
      <c r="C7" t="s">
        <v>6</v>
      </c>
      <c r="D7" s="2">
        <f>D4+D6-D5</f>
        <v>9878.2617599999994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36E9-DAC3-4793-8EF1-617FE08660A1}">
  <dimension ref="A1:DM33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defaultRowHeight="15" x14ac:dyDescent="0.25"/>
  <cols>
    <col min="1" max="1" width="18.85546875" style="2" customWidth="1"/>
    <col min="2" max="21" width="9.140625" style="2"/>
    <col min="22" max="22" width="9.85546875" style="2" bestFit="1" customWidth="1"/>
    <col min="23" max="16384" width="9.140625" style="2"/>
  </cols>
  <sheetData>
    <row r="1" spans="1:114" x14ac:dyDescent="0.25"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K1" s="6">
        <v>2020</v>
      </c>
      <c r="L1" s="6">
        <f>K1+1</f>
        <v>2021</v>
      </c>
      <c r="M1" s="6">
        <f t="shared" ref="M1:T1" si="0">L1+1</f>
        <v>2022</v>
      </c>
      <c r="N1" s="6">
        <f t="shared" si="0"/>
        <v>2023</v>
      </c>
      <c r="O1" s="6">
        <f t="shared" si="0"/>
        <v>2024</v>
      </c>
      <c r="P1" s="6">
        <f t="shared" si="0"/>
        <v>2025</v>
      </c>
      <c r="Q1" s="6">
        <f t="shared" si="0"/>
        <v>2026</v>
      </c>
      <c r="R1" s="6">
        <f t="shared" si="0"/>
        <v>2027</v>
      </c>
      <c r="S1" s="6">
        <f t="shared" si="0"/>
        <v>2028</v>
      </c>
      <c r="T1" s="6">
        <f t="shared" si="0"/>
        <v>2029</v>
      </c>
    </row>
    <row r="2" spans="1:114" x14ac:dyDescent="0.25">
      <c r="A2" s="2" t="s">
        <v>7</v>
      </c>
      <c r="B2" s="2">
        <v>729.9</v>
      </c>
      <c r="F2" s="2">
        <v>922.2</v>
      </c>
      <c r="M2" s="2">
        <v>2746.9</v>
      </c>
      <c r="N2" s="2">
        <v>3165.2</v>
      </c>
      <c r="O2" s="2">
        <v>3618.9</v>
      </c>
    </row>
    <row r="3" spans="1:114" x14ac:dyDescent="0.25">
      <c r="A3" s="2" t="s">
        <v>8</v>
      </c>
      <c r="B3" s="2">
        <v>125.96</v>
      </c>
      <c r="F3" s="2">
        <v>130.6</v>
      </c>
      <c r="M3" s="2">
        <v>482.74</v>
      </c>
      <c r="N3" s="2">
        <v>523.5</v>
      </c>
      <c r="O3" s="2">
        <v>579.33000000000004</v>
      </c>
    </row>
    <row r="4" spans="1:114" s="5" customFormat="1" x14ac:dyDescent="0.25">
      <c r="A4" s="5" t="s">
        <v>9</v>
      </c>
      <c r="B4" s="5">
        <f>SUM(B2:B3)</f>
        <v>855.86</v>
      </c>
      <c r="C4" s="5">
        <f t="shared" ref="C4:E4" si="1">SUM(C2:C3)</f>
        <v>0</v>
      </c>
      <c r="D4" s="5">
        <f t="shared" si="1"/>
        <v>0</v>
      </c>
      <c r="E4" s="5">
        <f t="shared" si="1"/>
        <v>0</v>
      </c>
      <c r="F4" s="5">
        <f>SUM(F2:F3)</f>
        <v>1052.8</v>
      </c>
      <c r="G4" s="5">
        <f>F4*1.09</f>
        <v>1147.5520000000001</v>
      </c>
      <c r="H4" s="5">
        <f t="shared" ref="H4:I4" si="2">G4*1.09</f>
        <v>1250.8316800000002</v>
      </c>
      <c r="I4" s="5">
        <f t="shared" si="2"/>
        <v>1363.4065312000002</v>
      </c>
      <c r="K4" s="5">
        <f t="shared" ref="K4:L4" si="3">SUM(K2:K3)</f>
        <v>0</v>
      </c>
      <c r="L4" s="5">
        <f t="shared" si="3"/>
        <v>0</v>
      </c>
      <c r="M4" s="5">
        <f t="shared" ref="M4" si="4">SUM(M2:M3)</f>
        <v>3229.6400000000003</v>
      </c>
      <c r="N4" s="5">
        <f t="shared" ref="N4" si="5">SUM(N2:N3)</f>
        <v>3688.7</v>
      </c>
      <c r="O4" s="5">
        <f t="shared" ref="O4" si="6">SUM(O2:O3)</f>
        <v>4198.2300000000005</v>
      </c>
      <c r="P4" s="5">
        <f>SUM(F4:I4)</f>
        <v>4814.5902112000003</v>
      </c>
      <c r="Q4" s="5">
        <f>P4*1.14</f>
        <v>5488.6328407680003</v>
      </c>
      <c r="R4" s="5">
        <f t="shared" ref="R4:T4" si="7">Q4*1.14</f>
        <v>6257.0414384755195</v>
      </c>
      <c r="S4" s="5">
        <f t="shared" si="7"/>
        <v>7133.0272398620918</v>
      </c>
      <c r="T4" s="5">
        <f t="shared" si="7"/>
        <v>8131.6510534427844</v>
      </c>
    </row>
    <row r="5" spans="1:114" x14ac:dyDescent="0.25">
      <c r="A5" s="2" t="s">
        <v>10</v>
      </c>
      <c r="B5" s="2">
        <v>60.956000000000003</v>
      </c>
      <c r="F5" s="2">
        <v>73.188000000000002</v>
      </c>
      <c r="G5" s="2">
        <f>F5*(1+G19)</f>
        <v>79.774920000000009</v>
      </c>
      <c r="H5" s="2">
        <f t="shared" ref="H5:I5" si="8">G5*(1+H19)</f>
        <v>86.954662800000023</v>
      </c>
      <c r="I5" s="2">
        <f t="shared" si="8"/>
        <v>94.780582452000033</v>
      </c>
      <c r="M5" s="2">
        <v>207</v>
      </c>
      <c r="N5" s="2">
        <v>254.99</v>
      </c>
      <c r="O5" s="2">
        <v>312.10000000000002</v>
      </c>
      <c r="P5" s="2">
        <f>SUM(F5:I5)</f>
        <v>334.69816525200008</v>
      </c>
      <c r="Q5" s="2">
        <f t="shared" ref="Q5" si="9">P5*(1+Q19)</f>
        <v>334.69816525200008</v>
      </c>
      <c r="R5" s="2">
        <f t="shared" ref="R5" si="10">Q5*(1+R19)</f>
        <v>334.69816525200008</v>
      </c>
      <c r="S5" s="2">
        <f t="shared" ref="S5" si="11">R5*(1+S19)</f>
        <v>334.69816525200008</v>
      </c>
      <c r="T5" s="2">
        <f t="shared" ref="T5" si="12">S5*(1+T19)</f>
        <v>334.69816525200008</v>
      </c>
    </row>
    <row r="6" spans="1:114" x14ac:dyDescent="0.25">
      <c r="A6" s="2" t="s">
        <v>11</v>
      </c>
      <c r="B6" s="2">
        <v>429.26</v>
      </c>
      <c r="F6" s="2">
        <v>437.279</v>
      </c>
      <c r="G6" s="2">
        <f>F6*(1+G19)</f>
        <v>476.63411000000002</v>
      </c>
      <c r="H6" s="2">
        <f t="shared" ref="H6:I6" si="13">G6*(1+H19)</f>
        <v>519.5311799000001</v>
      </c>
      <c r="I6" s="2">
        <f t="shared" si="13"/>
        <v>566.2889860910002</v>
      </c>
      <c r="M6" s="2">
        <v>1575.94</v>
      </c>
      <c r="N6" s="2">
        <v>1627.6</v>
      </c>
      <c r="O6" s="2">
        <v>2606.9</v>
      </c>
      <c r="P6" s="2">
        <f>SUM(F6:I6)</f>
        <v>1999.7332759910003</v>
      </c>
      <c r="Q6" s="2">
        <f t="shared" ref="Q6" si="14">P6*(1+Q19)</f>
        <v>1999.7332759910003</v>
      </c>
      <c r="R6" s="2">
        <f t="shared" ref="R6" si="15">Q6*(1+R19)</f>
        <v>1999.7332759910003</v>
      </c>
      <c r="S6" s="2">
        <f t="shared" ref="S6" si="16">R6*(1+S19)</f>
        <v>1999.7332759910003</v>
      </c>
      <c r="T6" s="2">
        <f t="shared" ref="T6" si="17">S6*(1+T19)</f>
        <v>1999.7332759910003</v>
      </c>
    </row>
    <row r="7" spans="1:114" x14ac:dyDescent="0.25">
      <c r="A7" s="2" t="s">
        <v>12</v>
      </c>
      <c r="B7" s="2">
        <v>300.25599999999997</v>
      </c>
      <c r="F7" s="2">
        <v>325.69099999999997</v>
      </c>
      <c r="G7" s="2">
        <f>F7*(1+G19)</f>
        <v>355.00319000000002</v>
      </c>
      <c r="H7" s="2">
        <f t="shared" ref="H7:I7" si="18">G7*(1+H19)</f>
        <v>386.95347710000004</v>
      </c>
      <c r="I7" s="2">
        <f t="shared" si="18"/>
        <v>421.7792900390001</v>
      </c>
      <c r="M7" s="2">
        <v>1002.2</v>
      </c>
      <c r="N7" s="2">
        <v>1161.3</v>
      </c>
      <c r="O7" s="2">
        <v>1242.2</v>
      </c>
      <c r="P7" s="2">
        <f>SUM(F7:I7)</f>
        <v>1489.426957139</v>
      </c>
      <c r="Q7" s="2">
        <f t="shared" ref="Q7" si="19">P7*(1+Q19)</f>
        <v>1489.426957139</v>
      </c>
      <c r="R7" s="2">
        <f t="shared" ref="R7" si="20">Q7*(1+R19)</f>
        <v>1489.426957139</v>
      </c>
      <c r="S7" s="2">
        <f t="shared" ref="S7" si="21">R7*(1+S19)</f>
        <v>1489.426957139</v>
      </c>
      <c r="T7" s="2">
        <f t="shared" ref="T7" si="22">S7*(1+T19)</f>
        <v>1489.426957139</v>
      </c>
    </row>
    <row r="8" spans="1:114" x14ac:dyDescent="0.25">
      <c r="A8" s="2" t="s">
        <v>13</v>
      </c>
      <c r="B8" s="2">
        <f>SUM(B5:B7)</f>
        <v>790.47199999999998</v>
      </c>
      <c r="C8" s="2">
        <f t="shared" ref="C8:I8" si="23">SUM(C5:C7)</f>
        <v>0</v>
      </c>
      <c r="D8" s="2">
        <f t="shared" si="23"/>
        <v>0</v>
      </c>
      <c r="E8" s="2">
        <f t="shared" si="23"/>
        <v>0</v>
      </c>
      <c r="F8" s="2">
        <f t="shared" si="23"/>
        <v>836.1579999999999</v>
      </c>
      <c r="G8" s="2">
        <f t="shared" si="23"/>
        <v>911.41222000000005</v>
      </c>
      <c r="H8" s="2">
        <f t="shared" si="23"/>
        <v>993.43931980000025</v>
      </c>
      <c r="I8" s="2">
        <f t="shared" si="23"/>
        <v>1082.8488585820005</v>
      </c>
      <c r="K8" s="2">
        <f t="shared" ref="K8:L8" si="24">SUM(K5:K7)</f>
        <v>0</v>
      </c>
      <c r="L8" s="2">
        <f t="shared" si="24"/>
        <v>0</v>
      </c>
      <c r="M8" s="2">
        <f t="shared" ref="M8" si="25">SUM(M5:M7)</f>
        <v>2785.1400000000003</v>
      </c>
      <c r="N8" s="2">
        <f t="shared" ref="N8" si="26">SUM(N5:N7)</f>
        <v>3043.89</v>
      </c>
      <c r="O8" s="2">
        <f t="shared" ref="O8" si="27">SUM(O5:O7)</f>
        <v>4161.2</v>
      </c>
      <c r="P8" s="2">
        <f t="shared" ref="P8:Q8" si="28">SUM(P5:P7)</f>
        <v>3823.8583983820004</v>
      </c>
      <c r="Q8" s="2">
        <f t="shared" si="28"/>
        <v>3823.8583983820004</v>
      </c>
      <c r="R8" s="2">
        <f t="shared" ref="R8" si="29">SUM(R5:R7)</f>
        <v>3823.8583983820004</v>
      </c>
      <c r="S8" s="2">
        <f t="shared" ref="S8" si="30">SUM(S5:S7)</f>
        <v>3823.8583983820004</v>
      </c>
      <c r="T8" s="2">
        <f t="shared" ref="T8" si="31">SUM(T5:T7)</f>
        <v>3823.8583983820004</v>
      </c>
    </row>
    <row r="9" spans="1:114" x14ac:dyDescent="0.25">
      <c r="A9" s="2" t="s">
        <v>40</v>
      </c>
      <c r="B9" s="2">
        <f>B4-B8</f>
        <v>65.388000000000034</v>
      </c>
      <c r="C9" s="2">
        <f t="shared" ref="C9:I9" si="32">C4-C8</f>
        <v>0</v>
      </c>
      <c r="D9" s="2">
        <f t="shared" si="32"/>
        <v>0</v>
      </c>
      <c r="E9" s="2">
        <f t="shared" si="32"/>
        <v>0</v>
      </c>
      <c r="F9" s="2">
        <f t="shared" si="32"/>
        <v>216.64200000000005</v>
      </c>
      <c r="G9" s="2">
        <f t="shared" si="32"/>
        <v>236.13978000000009</v>
      </c>
      <c r="H9" s="2">
        <f t="shared" si="32"/>
        <v>257.39236019999998</v>
      </c>
      <c r="I9" s="2">
        <f t="shared" si="32"/>
        <v>280.55767261799974</v>
      </c>
      <c r="K9" s="2">
        <f t="shared" ref="K9:L9" si="33">K4-K8</f>
        <v>0</v>
      </c>
      <c r="L9" s="2">
        <f t="shared" si="33"/>
        <v>0</v>
      </c>
      <c r="M9" s="2">
        <f t="shared" ref="M9" si="34">M4-M8</f>
        <v>444.5</v>
      </c>
      <c r="N9" s="2">
        <f t="shared" ref="N9" si="35">N4-N8</f>
        <v>644.80999999999995</v>
      </c>
      <c r="O9" s="2">
        <f t="shared" ref="O9" si="36">O4-O8</f>
        <v>37.030000000000655</v>
      </c>
      <c r="P9" s="2">
        <f t="shared" ref="P9:T9" si="37">P4-P8</f>
        <v>990.73181281799998</v>
      </c>
      <c r="Q9" s="2">
        <f t="shared" si="37"/>
        <v>1664.7744423859999</v>
      </c>
      <c r="R9" s="2">
        <f t="shared" si="37"/>
        <v>2433.1830400935191</v>
      </c>
      <c r="S9" s="2">
        <f t="shared" si="37"/>
        <v>3309.1688414800915</v>
      </c>
      <c r="T9" s="2">
        <f t="shared" si="37"/>
        <v>4307.7926550607845</v>
      </c>
    </row>
    <row r="10" spans="1:114" x14ac:dyDescent="0.25">
      <c r="A10" s="2" t="s">
        <v>14</v>
      </c>
      <c r="B10" s="2">
        <f>22.93-0.66</f>
        <v>22.27</v>
      </c>
      <c r="F10" s="2">
        <f>46.77-2.03</f>
        <v>44.74</v>
      </c>
      <c r="G10" s="2">
        <f>F29*$W$16/4</f>
        <v>33.0075</v>
      </c>
      <c r="H10" s="2">
        <f>G29*$W$16/4</f>
        <v>36.196895267999999</v>
      </c>
      <c r="I10" s="2">
        <f>H29*$W$16/4</f>
        <v>39.675927945295797</v>
      </c>
      <c r="M10" s="2">
        <f>40.45-2.66</f>
        <v>37.790000000000006</v>
      </c>
      <c r="N10" s="2">
        <f>158.4-2.55</f>
        <v>155.85</v>
      </c>
      <c r="O10" s="2">
        <f>128.7-2.3</f>
        <v>126.39999999999999</v>
      </c>
      <c r="P10" s="2">
        <f>SUM(F10:I10)</f>
        <v>153.62032321329579</v>
      </c>
      <c r="Q10" s="2">
        <f>P29*$W$16/4</f>
        <v>43.470696111970852</v>
      </c>
      <c r="R10" s="2">
        <f>Q29*$W$16/4</f>
        <v>63.713401003171811</v>
      </c>
      <c r="S10" s="2">
        <f>R29*$W$16/4</f>
        <v>93.3016238301676</v>
      </c>
      <c r="T10" s="2">
        <f>S29*$W$16/4</f>
        <v>133.62089884409414</v>
      </c>
    </row>
    <row r="11" spans="1:114" x14ac:dyDescent="0.25">
      <c r="A11" s="2" t="s">
        <v>41</v>
      </c>
      <c r="O11" s="2">
        <v>116</v>
      </c>
    </row>
    <row r="12" spans="1:114" x14ac:dyDescent="0.25">
      <c r="A12" s="2" t="s">
        <v>15</v>
      </c>
      <c r="B12" s="2">
        <f>SUM(B9:B11)</f>
        <v>87.65800000000003</v>
      </c>
      <c r="C12" s="2">
        <f t="shared" ref="C12:I12" si="38">SUM(C9:C11)</f>
        <v>0</v>
      </c>
      <c r="D12" s="2">
        <f t="shared" si="38"/>
        <v>0</v>
      </c>
      <c r="E12" s="2">
        <f t="shared" si="38"/>
        <v>0</v>
      </c>
      <c r="F12" s="2">
        <f t="shared" si="38"/>
        <v>261.38200000000006</v>
      </c>
      <c r="G12" s="2">
        <f t="shared" si="38"/>
        <v>269.14728000000008</v>
      </c>
      <c r="H12" s="2">
        <f t="shared" si="38"/>
        <v>293.58925546799998</v>
      </c>
      <c r="I12" s="2">
        <f t="shared" si="38"/>
        <v>320.23360056329557</v>
      </c>
      <c r="K12" s="2">
        <f>SUM(K9:K11)</f>
        <v>0</v>
      </c>
      <c r="L12" s="2">
        <f>SUM(L9:L11)</f>
        <v>0</v>
      </c>
      <c r="M12" s="2">
        <f t="shared" ref="M12:T12" si="39">SUM(M9:M11)</f>
        <v>482.29</v>
      </c>
      <c r="N12" s="2">
        <f t="shared" si="39"/>
        <v>800.66</v>
      </c>
      <c r="O12" s="2">
        <f t="shared" si="39"/>
        <v>279.43000000000063</v>
      </c>
      <c r="P12" s="2">
        <f t="shared" si="39"/>
        <v>1144.3521360312957</v>
      </c>
      <c r="Q12" s="2">
        <f t="shared" si="39"/>
        <v>1708.2451384979709</v>
      </c>
      <c r="R12" s="2">
        <f t="shared" si="39"/>
        <v>2496.896441096691</v>
      </c>
      <c r="S12" s="2">
        <f t="shared" si="39"/>
        <v>3402.470465310259</v>
      </c>
      <c r="T12" s="2">
        <f t="shared" si="39"/>
        <v>4441.4135539048784</v>
      </c>
    </row>
    <row r="13" spans="1:114" x14ac:dyDescent="0.25">
      <c r="A13" s="2" t="s">
        <v>16</v>
      </c>
      <c r="B13" s="2">
        <v>66.611000000000004</v>
      </c>
      <c r="F13" s="2">
        <v>75.989999999999995</v>
      </c>
      <c r="G13" s="2">
        <f>G12*G20</f>
        <v>56.520928800000014</v>
      </c>
      <c r="H13" s="2">
        <f t="shared" ref="H13:I13" si="40">H12*H20</f>
        <v>61.653743648279992</v>
      </c>
      <c r="I13" s="2">
        <f t="shared" si="40"/>
        <v>67.24905611829206</v>
      </c>
      <c r="M13" s="2">
        <v>188.45</v>
      </c>
      <c r="N13" s="2">
        <v>236.6</v>
      </c>
      <c r="O13" s="2">
        <v>284.02</v>
      </c>
      <c r="P13" s="2">
        <f>P12*P20</f>
        <v>240.31394856657209</v>
      </c>
      <c r="Q13" s="2">
        <f t="shared" ref="Q13:T13" si="41">Q12*Q20</f>
        <v>358.73147908457389</v>
      </c>
      <c r="R13" s="2">
        <f t="shared" si="41"/>
        <v>524.34825263030507</v>
      </c>
      <c r="S13" s="2">
        <f t="shared" si="41"/>
        <v>714.51879771515439</v>
      </c>
      <c r="T13" s="2">
        <f t="shared" si="41"/>
        <v>932.69684632002441</v>
      </c>
    </row>
    <row r="14" spans="1:114" s="5" customFormat="1" x14ac:dyDescent="0.25">
      <c r="A14" s="5" t="s">
        <v>17</v>
      </c>
      <c r="B14" s="5">
        <f>B12-B13</f>
        <v>21.047000000000025</v>
      </c>
      <c r="C14" s="5">
        <f t="shared" ref="C14:I14" si="42">C12-C13</f>
        <v>0</v>
      </c>
      <c r="D14" s="5">
        <f t="shared" si="42"/>
        <v>0</v>
      </c>
      <c r="E14" s="5">
        <f t="shared" si="42"/>
        <v>0</v>
      </c>
      <c r="F14" s="5">
        <f t="shared" si="42"/>
        <v>185.39200000000005</v>
      </c>
      <c r="G14" s="5">
        <f t="shared" si="42"/>
        <v>212.62635120000007</v>
      </c>
      <c r="H14" s="5">
        <f t="shared" si="42"/>
        <v>231.93551181971998</v>
      </c>
      <c r="I14" s="5">
        <f t="shared" si="42"/>
        <v>252.98454444500351</v>
      </c>
      <c r="K14" s="5">
        <f t="shared" ref="K14:L14" si="43">K12-K13</f>
        <v>0</v>
      </c>
      <c r="L14" s="5">
        <f t="shared" si="43"/>
        <v>0</v>
      </c>
      <c r="M14" s="5">
        <f t="shared" ref="M14" si="44">M12-M13</f>
        <v>293.84000000000003</v>
      </c>
      <c r="N14" s="5">
        <f t="shared" ref="N14" si="45">N12-N13</f>
        <v>564.05999999999995</v>
      </c>
      <c r="O14" s="5">
        <f t="shared" ref="O14" si="46">O12-O13</f>
        <v>-4.5899999999993497</v>
      </c>
      <c r="P14" s="5">
        <f t="shared" ref="P14:Q14" si="47">P12-P13</f>
        <v>904.03818746472359</v>
      </c>
      <c r="Q14" s="5">
        <f t="shared" si="47"/>
        <v>1349.5136594133969</v>
      </c>
      <c r="R14" s="5">
        <f t="shared" ref="R14" si="48">R12-R13</f>
        <v>1972.5481884663859</v>
      </c>
      <c r="S14" s="5">
        <f t="shared" ref="S14" si="49">S12-S13</f>
        <v>2687.9516675951045</v>
      </c>
      <c r="T14" s="5">
        <f t="shared" ref="T14" si="50">T12-T13</f>
        <v>3508.7167075848538</v>
      </c>
      <c r="U14" s="5">
        <f>T14*(1+$W$17)</f>
        <v>3403.4552063573083</v>
      </c>
      <c r="V14" s="5">
        <f t="shared" ref="V14:CG14" si="51">U14*(1+$W$17)</f>
        <v>3301.3515501665888</v>
      </c>
      <c r="W14" s="5">
        <f t="shared" si="51"/>
        <v>3202.3110036615913</v>
      </c>
      <c r="X14" s="5">
        <f t="shared" si="51"/>
        <v>3106.2416735517436</v>
      </c>
      <c r="Y14" s="5">
        <f t="shared" si="51"/>
        <v>3013.054423345191</v>
      </c>
      <c r="Z14" s="5">
        <f t="shared" si="51"/>
        <v>2922.6627906448352</v>
      </c>
      <c r="AA14" s="5">
        <f t="shared" si="51"/>
        <v>2834.9829069254902</v>
      </c>
      <c r="AB14" s="5">
        <f t="shared" si="51"/>
        <v>2749.9334197177254</v>
      </c>
      <c r="AC14" s="5">
        <f t="shared" si="51"/>
        <v>2667.4354171261934</v>
      </c>
      <c r="AD14" s="5">
        <f t="shared" si="51"/>
        <v>2587.4123546124074</v>
      </c>
      <c r="AE14" s="5">
        <f t="shared" si="51"/>
        <v>2509.7899839740353</v>
      </c>
      <c r="AF14" s="5">
        <f t="shared" si="51"/>
        <v>2434.496284454814</v>
      </c>
      <c r="AG14" s="5">
        <f t="shared" si="51"/>
        <v>2361.4613959211697</v>
      </c>
      <c r="AH14" s="5">
        <f t="shared" si="51"/>
        <v>2290.6175540435347</v>
      </c>
      <c r="AI14" s="5">
        <f t="shared" si="51"/>
        <v>2221.8990274222288</v>
      </c>
      <c r="AJ14" s="5">
        <f t="shared" si="51"/>
        <v>2155.2420565995617</v>
      </c>
      <c r="AK14" s="5">
        <f t="shared" si="51"/>
        <v>2090.5847949015747</v>
      </c>
      <c r="AL14" s="5">
        <f t="shared" si="51"/>
        <v>2027.8672510545273</v>
      </c>
      <c r="AM14" s="5">
        <f t="shared" si="51"/>
        <v>1967.0312335228914</v>
      </c>
      <c r="AN14" s="5">
        <f t="shared" si="51"/>
        <v>1908.0202965172045</v>
      </c>
      <c r="AO14" s="5">
        <f t="shared" si="51"/>
        <v>1850.7796876216883</v>
      </c>
      <c r="AP14" s="5">
        <f t="shared" si="51"/>
        <v>1795.2562969930375</v>
      </c>
      <c r="AQ14" s="5">
        <f t="shared" si="51"/>
        <v>1741.3986080832462</v>
      </c>
      <c r="AR14" s="5">
        <f t="shared" si="51"/>
        <v>1689.1566498407487</v>
      </c>
      <c r="AS14" s="5">
        <f t="shared" si="51"/>
        <v>1638.4819503455262</v>
      </c>
      <c r="AT14" s="5">
        <f t="shared" si="51"/>
        <v>1589.3274918351603</v>
      </c>
      <c r="AU14" s="5">
        <f t="shared" si="51"/>
        <v>1541.6476670801055</v>
      </c>
      <c r="AV14" s="5">
        <f t="shared" si="51"/>
        <v>1495.3982370677022</v>
      </c>
      <c r="AW14" s="5">
        <f t="shared" si="51"/>
        <v>1450.536289955671</v>
      </c>
      <c r="AX14" s="5">
        <f t="shared" si="51"/>
        <v>1407.0202012570007</v>
      </c>
      <c r="AY14" s="5">
        <f t="shared" si="51"/>
        <v>1364.8095952192907</v>
      </c>
      <c r="AZ14" s="5">
        <f t="shared" si="51"/>
        <v>1323.865307362712</v>
      </c>
      <c r="BA14" s="5">
        <f t="shared" si="51"/>
        <v>1284.1493481418306</v>
      </c>
      <c r="BB14" s="5">
        <f t="shared" si="51"/>
        <v>1245.6248676975756</v>
      </c>
      <c r="BC14" s="5">
        <f t="shared" si="51"/>
        <v>1208.2561216666484</v>
      </c>
      <c r="BD14" s="5">
        <f t="shared" si="51"/>
        <v>1172.0084380166488</v>
      </c>
      <c r="BE14" s="5">
        <f t="shared" si="51"/>
        <v>1136.8481848761494</v>
      </c>
      <c r="BF14" s="5">
        <f t="shared" si="51"/>
        <v>1102.7427393298649</v>
      </c>
      <c r="BG14" s="5">
        <f t="shared" si="51"/>
        <v>1069.6604571499688</v>
      </c>
      <c r="BH14" s="5">
        <f t="shared" si="51"/>
        <v>1037.5706434354697</v>
      </c>
      <c r="BI14" s="5">
        <f t="shared" si="51"/>
        <v>1006.4435241324056</v>
      </c>
      <c r="BJ14" s="5">
        <f t="shared" si="51"/>
        <v>976.2502184084334</v>
      </c>
      <c r="BK14" s="5">
        <f t="shared" si="51"/>
        <v>946.96271185618036</v>
      </c>
      <c r="BL14" s="5">
        <f t="shared" si="51"/>
        <v>918.55383050049488</v>
      </c>
      <c r="BM14" s="5">
        <f t="shared" si="51"/>
        <v>890.99721558548003</v>
      </c>
      <c r="BN14" s="5">
        <f t="shared" si="51"/>
        <v>864.26729911791563</v>
      </c>
      <c r="BO14" s="5">
        <f t="shared" si="51"/>
        <v>838.33928014437811</v>
      </c>
      <c r="BP14" s="5">
        <f t="shared" si="51"/>
        <v>813.18910174004679</v>
      </c>
      <c r="BQ14" s="5">
        <f t="shared" si="51"/>
        <v>788.79342868784533</v>
      </c>
      <c r="BR14" s="5">
        <f t="shared" si="51"/>
        <v>765.12962582720991</v>
      </c>
      <c r="BS14" s="5">
        <f t="shared" si="51"/>
        <v>742.17573705239363</v>
      </c>
      <c r="BT14" s="5">
        <f t="shared" si="51"/>
        <v>719.91046494082184</v>
      </c>
      <c r="BU14" s="5">
        <f t="shared" si="51"/>
        <v>698.31315099259712</v>
      </c>
      <c r="BV14" s="5">
        <f t="shared" si="51"/>
        <v>677.3637564628192</v>
      </c>
      <c r="BW14" s="5">
        <f t="shared" si="51"/>
        <v>657.04284376893463</v>
      </c>
      <c r="BX14" s="5">
        <f t="shared" si="51"/>
        <v>637.33155845586657</v>
      </c>
      <c r="BY14" s="5">
        <f t="shared" si="51"/>
        <v>618.21161170219057</v>
      </c>
      <c r="BZ14" s="5">
        <f t="shared" si="51"/>
        <v>599.66526335112485</v>
      </c>
      <c r="CA14" s="5">
        <f t="shared" si="51"/>
        <v>581.67530545059105</v>
      </c>
      <c r="CB14" s="5">
        <f t="shared" si="51"/>
        <v>564.22504628707327</v>
      </c>
      <c r="CC14" s="5">
        <f t="shared" si="51"/>
        <v>547.29829489846111</v>
      </c>
      <c r="CD14" s="5">
        <f t="shared" si="51"/>
        <v>530.87934605150724</v>
      </c>
      <c r="CE14" s="5">
        <f t="shared" si="51"/>
        <v>514.95296566996205</v>
      </c>
      <c r="CF14" s="5">
        <f t="shared" si="51"/>
        <v>499.5043766998632</v>
      </c>
      <c r="CG14" s="5">
        <f t="shared" si="51"/>
        <v>484.51924539886727</v>
      </c>
      <c r="CH14" s="5">
        <f t="shared" ref="CH14:DJ14" si="52">CG14*(1+$W$17)</f>
        <v>469.98366803690124</v>
      </c>
      <c r="CI14" s="5">
        <f t="shared" si="52"/>
        <v>455.88415799579417</v>
      </c>
      <c r="CJ14" s="5">
        <f t="shared" si="52"/>
        <v>442.20763325592031</v>
      </c>
      <c r="CK14" s="5">
        <f t="shared" si="52"/>
        <v>428.9414042582427</v>
      </c>
      <c r="CL14" s="5">
        <f t="shared" si="52"/>
        <v>416.0731621304954</v>
      </c>
      <c r="CM14" s="5">
        <f t="shared" si="52"/>
        <v>403.59096726658055</v>
      </c>
      <c r="CN14" s="5">
        <f t="shared" si="52"/>
        <v>391.48323824858312</v>
      </c>
      <c r="CO14" s="5">
        <f t="shared" si="52"/>
        <v>379.73874110112564</v>
      </c>
      <c r="CP14" s="5">
        <f t="shared" si="52"/>
        <v>368.34657886809185</v>
      </c>
      <c r="CQ14" s="5">
        <f t="shared" si="52"/>
        <v>357.29618150204908</v>
      </c>
      <c r="CR14" s="5">
        <f t="shared" si="52"/>
        <v>346.57729605698762</v>
      </c>
      <c r="CS14" s="5">
        <f t="shared" si="52"/>
        <v>336.179977175278</v>
      </c>
      <c r="CT14" s="5">
        <f t="shared" si="52"/>
        <v>326.09457786001963</v>
      </c>
      <c r="CU14" s="5">
        <f t="shared" si="52"/>
        <v>316.31174052421903</v>
      </c>
      <c r="CV14" s="5">
        <f t="shared" si="52"/>
        <v>306.82238830849246</v>
      </c>
      <c r="CW14" s="5">
        <f t="shared" si="52"/>
        <v>297.61771665923766</v>
      </c>
      <c r="CX14" s="5">
        <f t="shared" si="52"/>
        <v>288.68918515946052</v>
      </c>
      <c r="CY14" s="5">
        <f t="shared" si="52"/>
        <v>280.02850960467669</v>
      </c>
      <c r="CZ14" s="5">
        <f t="shared" si="52"/>
        <v>271.62765431653639</v>
      </c>
      <c r="DA14" s="5">
        <f t="shared" si="52"/>
        <v>263.47882468704029</v>
      </c>
      <c r="DB14" s="5">
        <f t="shared" si="52"/>
        <v>255.57445994642907</v>
      </c>
      <c r="DC14" s="5">
        <f t="shared" si="52"/>
        <v>247.90722614803619</v>
      </c>
      <c r="DD14" s="5">
        <f t="shared" si="52"/>
        <v>240.4700093635951</v>
      </c>
      <c r="DE14" s="5">
        <f t="shared" si="52"/>
        <v>233.25590908268723</v>
      </c>
      <c r="DF14" s="5">
        <f t="shared" si="52"/>
        <v>226.25823181020661</v>
      </c>
      <c r="DG14" s="5">
        <f t="shared" si="52"/>
        <v>219.47048485590039</v>
      </c>
      <c r="DH14" s="5">
        <f t="shared" si="52"/>
        <v>212.88637031022338</v>
      </c>
      <c r="DI14" s="5">
        <f t="shared" si="52"/>
        <v>206.49977920091666</v>
      </c>
      <c r="DJ14" s="5">
        <f t="shared" si="52"/>
        <v>200.30478582488917</v>
      </c>
    </row>
    <row r="15" spans="1:114" x14ac:dyDescent="0.25">
      <c r="A15" s="2" t="s">
        <v>2</v>
      </c>
      <c r="M15" s="2">
        <v>224</v>
      </c>
      <c r="N15" s="2">
        <v>226</v>
      </c>
      <c r="O15" s="2">
        <v>210.5</v>
      </c>
      <c r="P15" s="2">
        <v>210.5</v>
      </c>
      <c r="Q15" s="2">
        <v>210.5</v>
      </c>
      <c r="R15" s="2">
        <v>210.5</v>
      </c>
      <c r="S15" s="2">
        <v>210.5</v>
      </c>
      <c r="T15" s="2">
        <v>210.5</v>
      </c>
    </row>
    <row r="16" spans="1:114" x14ac:dyDescent="0.25">
      <c r="A16" s="2" t="s">
        <v>18</v>
      </c>
      <c r="K16" s="8" t="e">
        <f>K14/K15</f>
        <v>#DIV/0!</v>
      </c>
      <c r="L16" s="8" t="e">
        <f t="shared" ref="L16:T16" si="53">L14/L15</f>
        <v>#DIV/0!</v>
      </c>
      <c r="M16" s="8">
        <f t="shared" si="53"/>
        <v>1.3117857142857143</v>
      </c>
      <c r="N16" s="8">
        <f t="shared" si="53"/>
        <v>2.4958407079646014</v>
      </c>
      <c r="O16" s="8">
        <f t="shared" si="53"/>
        <v>-2.1805225653203562E-2</v>
      </c>
      <c r="P16" s="8">
        <f t="shared" si="53"/>
        <v>4.2947182302362163</v>
      </c>
      <c r="Q16" s="8">
        <f t="shared" si="53"/>
        <v>6.4109912561206501</v>
      </c>
      <c r="R16" s="8">
        <f t="shared" si="53"/>
        <v>9.3707752421205974</v>
      </c>
      <c r="S16" s="8">
        <f t="shared" si="53"/>
        <v>12.769366591900734</v>
      </c>
      <c r="T16" s="8">
        <f t="shared" si="53"/>
        <v>16.668487922018308</v>
      </c>
      <c r="V16" s="2" t="s">
        <v>32</v>
      </c>
      <c r="W16" s="4">
        <v>0.06</v>
      </c>
    </row>
    <row r="17" spans="1:117" x14ac:dyDescent="0.25">
      <c r="V17" s="2" t="s">
        <v>33</v>
      </c>
      <c r="W17" s="4">
        <v>-0.03</v>
      </c>
    </row>
    <row r="18" spans="1:117" s="5" customFormat="1" x14ac:dyDescent="0.25">
      <c r="A18" s="5" t="s">
        <v>38</v>
      </c>
      <c r="F18" s="7">
        <f>F4/B4-1</f>
        <v>0.2301077278994228</v>
      </c>
      <c r="G18" s="7" t="e">
        <f>G4/C4-1</f>
        <v>#DIV/0!</v>
      </c>
      <c r="H18" s="7" t="e">
        <f>H4/D4-1</f>
        <v>#DIV/0!</v>
      </c>
      <c r="I18" s="7" t="e">
        <f>I4/E4-1</f>
        <v>#DIV/0!</v>
      </c>
      <c r="K18" s="7" t="e">
        <f t="shared" ref="K18:T18" si="54">K4/J4-1</f>
        <v>#DIV/0!</v>
      </c>
      <c r="L18" s="7" t="e">
        <f t="shared" si="54"/>
        <v>#DIV/0!</v>
      </c>
      <c r="M18" s="7" t="e">
        <f t="shared" si="54"/>
        <v>#DIV/0!</v>
      </c>
      <c r="N18" s="7">
        <f t="shared" si="54"/>
        <v>0.14213968120285836</v>
      </c>
      <c r="O18" s="7">
        <f t="shared" si="54"/>
        <v>0.13813267546832231</v>
      </c>
      <c r="P18" s="7">
        <f t="shared" si="54"/>
        <v>0.14681430298006526</v>
      </c>
      <c r="Q18" s="7">
        <f t="shared" si="54"/>
        <v>0.1399999999999999</v>
      </c>
      <c r="R18" s="7">
        <f t="shared" si="54"/>
        <v>0.1399999999999999</v>
      </c>
      <c r="S18" s="7">
        <f t="shared" si="54"/>
        <v>0.1399999999999999</v>
      </c>
      <c r="T18" s="7">
        <f t="shared" si="54"/>
        <v>0.1399999999999999</v>
      </c>
      <c r="V18" s="2" t="s">
        <v>34</v>
      </c>
      <c r="W18" s="4">
        <v>8.5000000000000006E-2</v>
      </c>
    </row>
    <row r="19" spans="1:117" s="5" customFormat="1" x14ac:dyDescent="0.25">
      <c r="A19" s="5" t="s">
        <v>37</v>
      </c>
      <c r="C19" s="7">
        <f>C4/B4-1</f>
        <v>-1</v>
      </c>
      <c r="D19" s="7" t="e">
        <f>D4/C4-1</f>
        <v>#DIV/0!</v>
      </c>
      <c r="E19" s="7" t="e">
        <f>E4/D4-1</f>
        <v>#DIV/0!</v>
      </c>
      <c r="F19" s="7" t="e">
        <f>F4/E4-1</f>
        <v>#DIV/0!</v>
      </c>
      <c r="G19" s="7">
        <f t="shared" ref="G19:I19" si="55">G4/F4-1</f>
        <v>9.000000000000008E-2</v>
      </c>
      <c r="H19" s="7">
        <f t="shared" si="55"/>
        <v>9.000000000000008E-2</v>
      </c>
      <c r="I19" s="7">
        <f t="shared" si="55"/>
        <v>9.000000000000008E-2</v>
      </c>
      <c r="K19" s="7"/>
      <c r="L19" s="7"/>
      <c r="M19" s="7"/>
      <c r="N19" s="7"/>
      <c r="O19" s="7"/>
      <c r="P19" s="7"/>
      <c r="Q19" s="7"/>
      <c r="R19" s="7"/>
      <c r="S19" s="7"/>
      <c r="T19" s="7"/>
      <c r="V19" s="5" t="s">
        <v>35</v>
      </c>
      <c r="W19" s="5">
        <f>NPV(W18,P27:XFD27)+Sheet1!D5-Sheet1!D6</f>
        <v>12725.566603645144</v>
      </c>
    </row>
    <row r="20" spans="1:117" x14ac:dyDescent="0.25">
      <c r="A20" s="2" t="s">
        <v>19</v>
      </c>
      <c r="B20" s="3">
        <f>B13/B12</f>
        <v>0.75989641561523169</v>
      </c>
      <c r="C20" s="3" t="e">
        <f>C13/C12</f>
        <v>#DIV/0!</v>
      </c>
      <c r="D20" s="3" t="e">
        <f>D13/D12</f>
        <v>#DIV/0!</v>
      </c>
      <c r="E20" s="3" t="e">
        <f>E13/E12</f>
        <v>#DIV/0!</v>
      </c>
      <c r="F20" s="3">
        <f>F13/F12</f>
        <v>0.29072392131057218</v>
      </c>
      <c r="G20" s="3">
        <v>0.21</v>
      </c>
      <c r="H20" s="3">
        <v>0.21</v>
      </c>
      <c r="I20" s="3">
        <v>0.21</v>
      </c>
      <c r="K20" s="3" t="e">
        <f>K13/K12</f>
        <v>#DIV/0!</v>
      </c>
      <c r="L20" s="3" t="e">
        <f t="shared" ref="L20:O20" si="56">L13/L12</f>
        <v>#DIV/0!</v>
      </c>
      <c r="M20" s="3">
        <f t="shared" si="56"/>
        <v>0.39074001119658291</v>
      </c>
      <c r="N20" s="3">
        <f t="shared" si="56"/>
        <v>0.29550620737891242</v>
      </c>
      <c r="O20" s="3">
        <f t="shared" si="56"/>
        <v>1.0164262963890753</v>
      </c>
      <c r="P20" s="3">
        <v>0.21</v>
      </c>
      <c r="Q20" s="3">
        <v>0.21</v>
      </c>
      <c r="R20" s="3">
        <v>0.21</v>
      </c>
      <c r="S20" s="3">
        <v>0.21</v>
      </c>
      <c r="T20" s="3">
        <v>0.21</v>
      </c>
      <c r="V20" s="2" t="s">
        <v>1</v>
      </c>
      <c r="W20" s="2">
        <f>W19/Sheet1!D3</f>
        <v>65.741453622929725</v>
      </c>
    </row>
    <row r="21" spans="1:117" x14ac:dyDescent="0.25">
      <c r="V21" s="2" t="s">
        <v>36</v>
      </c>
      <c r="W21" s="3">
        <f>W20/Sheet1!D2-1</f>
        <v>5.3548936264899538E-2</v>
      </c>
    </row>
    <row r="22" spans="1:117" x14ac:dyDescent="0.25">
      <c r="A22" s="2" t="s">
        <v>39</v>
      </c>
      <c r="B22" s="3">
        <f>B9/B4</f>
        <v>7.6400345850956966E-2</v>
      </c>
      <c r="C22" s="3" t="e">
        <f t="shared" ref="C22:I22" si="57">C9/C4</f>
        <v>#DIV/0!</v>
      </c>
      <c r="D22" s="3" t="e">
        <f t="shared" si="57"/>
        <v>#DIV/0!</v>
      </c>
      <c r="E22" s="3" t="e">
        <f t="shared" si="57"/>
        <v>#DIV/0!</v>
      </c>
      <c r="F22" s="3">
        <f t="shared" si="57"/>
        <v>0.20577697568389064</v>
      </c>
      <c r="G22" s="3">
        <f t="shared" si="57"/>
        <v>0.20577697568389064</v>
      </c>
      <c r="H22" s="3">
        <f t="shared" si="57"/>
        <v>0.20577697568389053</v>
      </c>
      <c r="I22" s="3">
        <f t="shared" si="57"/>
        <v>0.20577697568389036</v>
      </c>
      <c r="K22" s="3" t="e">
        <f t="shared" ref="K22:T22" si="58">K9/K4</f>
        <v>#DIV/0!</v>
      </c>
      <c r="L22" s="3" t="e">
        <f t="shared" si="58"/>
        <v>#DIV/0!</v>
      </c>
      <c r="M22" s="3">
        <f t="shared" si="58"/>
        <v>0.13763143879813228</v>
      </c>
      <c r="N22" s="3">
        <f t="shared" si="58"/>
        <v>0.17480684251904463</v>
      </c>
      <c r="O22" s="3">
        <f t="shared" si="58"/>
        <v>8.8203838284230864E-3</v>
      </c>
      <c r="P22" s="3">
        <f t="shared" si="58"/>
        <v>0.20577697568389056</v>
      </c>
      <c r="Q22" s="3">
        <f t="shared" si="58"/>
        <v>0.30331313656481629</v>
      </c>
      <c r="R22" s="3">
        <f t="shared" si="58"/>
        <v>0.38887117242527736</v>
      </c>
      <c r="S22" s="3">
        <f t="shared" si="58"/>
        <v>0.46392208107480465</v>
      </c>
      <c r="T22" s="3">
        <f t="shared" si="58"/>
        <v>0.52975621146912688</v>
      </c>
    </row>
    <row r="23" spans="1:117" x14ac:dyDescent="0.25">
      <c r="A23" s="2" t="s">
        <v>42</v>
      </c>
      <c r="B23" s="3"/>
      <c r="C23" s="3"/>
      <c r="D23" s="3"/>
      <c r="E23" s="3"/>
      <c r="F23" s="3"/>
      <c r="G23" s="3"/>
      <c r="H23" s="3"/>
      <c r="I23" s="3"/>
      <c r="K23" s="3"/>
      <c r="L23" s="3"/>
      <c r="M23" s="3">
        <f>M27/M4</f>
        <v>0.27623512218080032</v>
      </c>
      <c r="N23" s="3">
        <f t="shared" ref="N23:O23" si="59">N27/N4</f>
        <v>0.1257895735625017</v>
      </c>
      <c r="O23" s="3">
        <f t="shared" si="59"/>
        <v>5.9344056900169827E-2</v>
      </c>
      <c r="P23" s="3">
        <v>0.15</v>
      </c>
      <c r="Q23" s="3">
        <v>0.15</v>
      </c>
      <c r="R23" s="3">
        <v>0.15</v>
      </c>
      <c r="S23" s="3">
        <v>0.15</v>
      </c>
      <c r="T23" s="3">
        <v>0.15</v>
      </c>
    </row>
    <row r="24" spans="1:117" x14ac:dyDescent="0.25">
      <c r="O24" s="3"/>
    </row>
    <row r="25" spans="1:117" x14ac:dyDescent="0.25">
      <c r="A25" s="2" t="s">
        <v>20</v>
      </c>
      <c r="M25" s="2">
        <v>969.94</v>
      </c>
      <c r="N25" s="2">
        <v>496.5</v>
      </c>
      <c r="O25" s="2">
        <v>335.4</v>
      </c>
    </row>
    <row r="26" spans="1:117" x14ac:dyDescent="0.25">
      <c r="A26" s="2" t="s">
        <v>21</v>
      </c>
      <c r="M26" s="2">
        <v>77.8</v>
      </c>
      <c r="N26" s="2">
        <v>32.5</v>
      </c>
      <c r="O26" s="2">
        <v>86.26</v>
      </c>
    </row>
    <row r="27" spans="1:117" s="5" customFormat="1" x14ac:dyDescent="0.25">
      <c r="A27" s="5" t="s">
        <v>22</v>
      </c>
      <c r="M27" s="5">
        <f>M25-M26</f>
        <v>892.1400000000001</v>
      </c>
      <c r="N27" s="5">
        <f t="shared" ref="N27:O27" si="60">N25-N26</f>
        <v>464</v>
      </c>
      <c r="O27" s="5">
        <f t="shared" si="60"/>
        <v>249.14</v>
      </c>
      <c r="P27" s="5">
        <f>P23*P4</f>
        <v>722.18853167999998</v>
      </c>
      <c r="Q27" s="5">
        <f t="shared" ref="Q27:T27" si="61">Q23*Q4</f>
        <v>823.29492611520004</v>
      </c>
      <c r="R27" s="5">
        <f t="shared" si="61"/>
        <v>938.55621577132786</v>
      </c>
      <c r="S27" s="5">
        <f t="shared" si="61"/>
        <v>1069.9540859793137</v>
      </c>
      <c r="T27" s="5">
        <f t="shared" si="61"/>
        <v>1219.7476580164175</v>
      </c>
      <c r="U27" s="5">
        <f>T27*(1+$W$17)</f>
        <v>1183.1552282759249</v>
      </c>
      <c r="V27" s="5">
        <f t="shared" ref="V27:CG27" si="62">U27*(1+$W$17)</f>
        <v>1147.660571427647</v>
      </c>
      <c r="W27" s="5">
        <f t="shared" si="62"/>
        <v>1113.2307542848175</v>
      </c>
      <c r="X27" s="5">
        <f t="shared" si="62"/>
        <v>1079.8338316562729</v>
      </c>
      <c r="Y27" s="5">
        <f t="shared" si="62"/>
        <v>1047.4388167065847</v>
      </c>
      <c r="Z27" s="5">
        <f t="shared" si="62"/>
        <v>1016.0156522053871</v>
      </c>
      <c r="AA27" s="5">
        <f t="shared" si="62"/>
        <v>985.53518263922547</v>
      </c>
      <c r="AB27" s="5">
        <f t="shared" si="62"/>
        <v>955.96912716004863</v>
      </c>
      <c r="AC27" s="5">
        <f t="shared" si="62"/>
        <v>927.29005334524709</v>
      </c>
      <c r="AD27" s="5">
        <f t="shared" si="62"/>
        <v>899.4713517448896</v>
      </c>
      <c r="AE27" s="5">
        <f t="shared" si="62"/>
        <v>872.48721119254287</v>
      </c>
      <c r="AF27" s="5">
        <f t="shared" si="62"/>
        <v>846.31259485676651</v>
      </c>
      <c r="AG27" s="5">
        <f t="shared" si="62"/>
        <v>820.92321701106346</v>
      </c>
      <c r="AH27" s="5">
        <f t="shared" si="62"/>
        <v>796.29552050073153</v>
      </c>
      <c r="AI27" s="5">
        <f t="shared" si="62"/>
        <v>772.4066548857096</v>
      </c>
      <c r="AJ27" s="5">
        <f t="shared" si="62"/>
        <v>749.23445523913824</v>
      </c>
      <c r="AK27" s="5">
        <f t="shared" si="62"/>
        <v>726.75742158196408</v>
      </c>
      <c r="AL27" s="5">
        <f t="shared" si="62"/>
        <v>704.95469893450513</v>
      </c>
      <c r="AM27" s="5">
        <f t="shared" si="62"/>
        <v>683.80605796647001</v>
      </c>
      <c r="AN27" s="5">
        <f t="shared" si="62"/>
        <v>663.29187622747588</v>
      </c>
      <c r="AO27" s="5">
        <f t="shared" si="62"/>
        <v>643.39311994065156</v>
      </c>
      <c r="AP27" s="5">
        <f t="shared" si="62"/>
        <v>624.09132634243201</v>
      </c>
      <c r="AQ27" s="5">
        <f t="shared" si="62"/>
        <v>605.36858655215906</v>
      </c>
      <c r="AR27" s="5">
        <f t="shared" si="62"/>
        <v>587.20752895559428</v>
      </c>
      <c r="AS27" s="5">
        <f t="shared" si="62"/>
        <v>569.59130308692647</v>
      </c>
      <c r="AT27" s="5">
        <f t="shared" si="62"/>
        <v>552.50356399431871</v>
      </c>
      <c r="AU27" s="5">
        <f t="shared" si="62"/>
        <v>535.92845707448919</v>
      </c>
      <c r="AV27" s="5">
        <f t="shared" si="62"/>
        <v>519.85060336225445</v>
      </c>
      <c r="AW27" s="5">
        <f t="shared" si="62"/>
        <v>504.2550852613868</v>
      </c>
      <c r="AX27" s="5">
        <f t="shared" si="62"/>
        <v>489.1274327035452</v>
      </c>
      <c r="AY27" s="5">
        <f t="shared" si="62"/>
        <v>474.45360972243884</v>
      </c>
      <c r="AZ27" s="5">
        <f t="shared" si="62"/>
        <v>460.22000143076565</v>
      </c>
      <c r="BA27" s="5">
        <f t="shared" si="62"/>
        <v>446.41340138784267</v>
      </c>
      <c r="BB27" s="5">
        <f t="shared" si="62"/>
        <v>433.02099934620736</v>
      </c>
      <c r="BC27" s="5">
        <f t="shared" si="62"/>
        <v>420.03036936582112</v>
      </c>
      <c r="BD27" s="5">
        <f t="shared" si="62"/>
        <v>407.42945828484648</v>
      </c>
      <c r="BE27" s="5">
        <f t="shared" si="62"/>
        <v>395.20657453630105</v>
      </c>
      <c r="BF27" s="5">
        <f t="shared" si="62"/>
        <v>383.35037730021202</v>
      </c>
      <c r="BG27" s="5">
        <f t="shared" si="62"/>
        <v>371.84986598120565</v>
      </c>
      <c r="BH27" s="5">
        <f t="shared" si="62"/>
        <v>360.69437000176947</v>
      </c>
      <c r="BI27" s="5">
        <f t="shared" si="62"/>
        <v>349.87353890171636</v>
      </c>
      <c r="BJ27" s="5">
        <f t="shared" si="62"/>
        <v>339.37733273466483</v>
      </c>
      <c r="BK27" s="5">
        <f t="shared" si="62"/>
        <v>329.19601275262488</v>
      </c>
      <c r="BL27" s="5">
        <f t="shared" si="62"/>
        <v>319.32013237004611</v>
      </c>
      <c r="BM27" s="5">
        <f t="shared" si="62"/>
        <v>309.74052839894472</v>
      </c>
      <c r="BN27" s="5">
        <f t="shared" si="62"/>
        <v>300.44831254697635</v>
      </c>
      <c r="BO27" s="5">
        <f t="shared" si="62"/>
        <v>291.43486317056704</v>
      </c>
      <c r="BP27" s="5">
        <f t="shared" si="62"/>
        <v>282.69181727545003</v>
      </c>
      <c r="BQ27" s="5">
        <f t="shared" si="62"/>
        <v>274.21106275718654</v>
      </c>
      <c r="BR27" s="5">
        <f t="shared" si="62"/>
        <v>265.98473087447093</v>
      </c>
      <c r="BS27" s="5">
        <f t="shared" si="62"/>
        <v>258.00518894823676</v>
      </c>
      <c r="BT27" s="5">
        <f t="shared" si="62"/>
        <v>250.26503327978966</v>
      </c>
      <c r="BU27" s="5">
        <f t="shared" si="62"/>
        <v>242.75708228139595</v>
      </c>
      <c r="BV27" s="5">
        <f t="shared" si="62"/>
        <v>235.47436981295408</v>
      </c>
      <c r="BW27" s="5">
        <f t="shared" si="62"/>
        <v>228.41013871856546</v>
      </c>
      <c r="BX27" s="5">
        <f t="shared" si="62"/>
        <v>221.5578345570085</v>
      </c>
      <c r="BY27" s="5">
        <f t="shared" si="62"/>
        <v>214.91109952029825</v>
      </c>
      <c r="BZ27" s="5">
        <f t="shared" si="62"/>
        <v>208.46376653468928</v>
      </c>
      <c r="CA27" s="5">
        <f t="shared" si="62"/>
        <v>202.20985353864859</v>
      </c>
      <c r="CB27" s="5">
        <f t="shared" si="62"/>
        <v>196.14355793248913</v>
      </c>
      <c r="CC27" s="5">
        <f t="shared" si="62"/>
        <v>190.25925119451446</v>
      </c>
      <c r="CD27" s="5">
        <f t="shared" si="62"/>
        <v>184.55147365867901</v>
      </c>
      <c r="CE27" s="5">
        <f t="shared" si="62"/>
        <v>179.01492944891865</v>
      </c>
      <c r="CF27" s="5">
        <f t="shared" si="62"/>
        <v>173.64448156545109</v>
      </c>
      <c r="CG27" s="5">
        <f t="shared" si="62"/>
        <v>168.43514711848755</v>
      </c>
      <c r="CH27" s="5">
        <f t="shared" ref="CH27:DM27" si="63">CG27*(1+$W$17)</f>
        <v>163.38209270493292</v>
      </c>
      <c r="CI27" s="5">
        <f t="shared" si="63"/>
        <v>158.48062992378493</v>
      </c>
      <c r="CJ27" s="5">
        <f t="shared" si="63"/>
        <v>153.72621102607138</v>
      </c>
      <c r="CK27" s="5">
        <f t="shared" si="63"/>
        <v>149.11442469528924</v>
      </c>
      <c r="CL27" s="5">
        <f t="shared" si="63"/>
        <v>144.64099195443058</v>
      </c>
      <c r="CM27" s="5">
        <f t="shared" si="63"/>
        <v>140.30176219579766</v>
      </c>
      <c r="CN27" s="5">
        <f t="shared" si="63"/>
        <v>136.09270932992374</v>
      </c>
      <c r="CO27" s="5">
        <f t="shared" si="63"/>
        <v>132.00992805002602</v>
      </c>
      <c r="CP27" s="5">
        <f t="shared" si="63"/>
        <v>128.04963020852523</v>
      </c>
      <c r="CQ27" s="5">
        <f t="shared" si="63"/>
        <v>124.20814130226947</v>
      </c>
      <c r="CR27" s="5">
        <f t="shared" si="63"/>
        <v>120.48189706320139</v>
      </c>
      <c r="CS27" s="5">
        <f t="shared" si="63"/>
        <v>116.86744015130535</v>
      </c>
      <c r="CT27" s="5">
        <f t="shared" si="63"/>
        <v>113.36141694676618</v>
      </c>
      <c r="CU27" s="5">
        <f t="shared" si="63"/>
        <v>109.9605744383632</v>
      </c>
      <c r="CV27" s="5">
        <f t="shared" si="63"/>
        <v>106.6617572052123</v>
      </c>
      <c r="CW27" s="5">
        <f t="shared" si="63"/>
        <v>103.46190448905593</v>
      </c>
      <c r="CX27" s="5">
        <f t="shared" si="63"/>
        <v>100.35804735438424</v>
      </c>
      <c r="CY27" s="5">
        <f t="shared" si="63"/>
        <v>97.347305933752708</v>
      </c>
      <c r="CZ27" s="5">
        <f t="shared" si="63"/>
        <v>94.426886755740128</v>
      </c>
      <c r="DA27" s="5">
        <f t="shared" si="63"/>
        <v>91.594080153067921</v>
      </c>
      <c r="DB27" s="5">
        <f t="shared" si="63"/>
        <v>88.846257748475878</v>
      </c>
      <c r="DC27" s="5">
        <f t="shared" si="63"/>
        <v>86.180870016021601</v>
      </c>
      <c r="DD27" s="5">
        <f t="shared" si="63"/>
        <v>83.595443915540955</v>
      </c>
      <c r="DE27" s="5">
        <f t="shared" si="63"/>
        <v>81.087580598074723</v>
      </c>
      <c r="DF27" s="5">
        <f t="shared" si="63"/>
        <v>78.65495318013248</v>
      </c>
      <c r="DG27" s="5">
        <f t="shared" si="63"/>
        <v>76.295304584728498</v>
      </c>
      <c r="DH27" s="5">
        <f t="shared" si="63"/>
        <v>74.006445447186636</v>
      </c>
      <c r="DI27" s="5">
        <f t="shared" si="63"/>
        <v>71.786252083771032</v>
      </c>
      <c r="DJ27" s="5">
        <f t="shared" si="63"/>
        <v>69.632664521257894</v>
      </c>
      <c r="DK27" s="5">
        <f t="shared" si="63"/>
        <v>67.543684585620156</v>
      </c>
      <c r="DL27" s="5">
        <f t="shared" si="63"/>
        <v>65.517374048051551</v>
      </c>
      <c r="DM27" s="5">
        <f t="shared" si="63"/>
        <v>63.551852826610002</v>
      </c>
    </row>
    <row r="29" spans="1:117" x14ac:dyDescent="0.25">
      <c r="A29" s="2" t="s">
        <v>23</v>
      </c>
      <c r="F29" s="2">
        <f>F31-F33</f>
        <v>2200.5</v>
      </c>
      <c r="G29" s="2">
        <f>F29+G14</f>
        <v>2413.1263512</v>
      </c>
      <c r="H29" s="2">
        <f t="shared" ref="H29:I29" si="64">G29+H14</f>
        <v>2645.06186301972</v>
      </c>
      <c r="I29" s="2">
        <f t="shared" si="64"/>
        <v>2898.0464074647234</v>
      </c>
      <c r="O29" s="2">
        <f>O31-O33</f>
        <v>1957.1799999999998</v>
      </c>
      <c r="P29" s="2">
        <f>I29</f>
        <v>2898.0464074647234</v>
      </c>
      <c r="Q29" s="2">
        <f>P29+Q14</f>
        <v>4247.5600668781208</v>
      </c>
      <c r="R29" s="2">
        <f t="shared" ref="R29:T29" si="65">Q29+R14</f>
        <v>6220.1082553445067</v>
      </c>
      <c r="S29" s="2">
        <f t="shared" si="65"/>
        <v>8908.0599229396103</v>
      </c>
      <c r="T29" s="2">
        <f t="shared" si="65"/>
        <v>12416.776630524464</v>
      </c>
    </row>
    <row r="31" spans="1:117" x14ac:dyDescent="0.25">
      <c r="A31" s="2" t="s">
        <v>4</v>
      </c>
      <c r="F31" s="2">
        <f>1941.7+466.9</f>
        <v>2408.6</v>
      </c>
      <c r="O31" s="2">
        <f>1687.8+470.26</f>
        <v>2158.06</v>
      </c>
    </row>
    <row r="33" spans="1:15" x14ac:dyDescent="0.25">
      <c r="A33" s="2" t="s">
        <v>5</v>
      </c>
      <c r="F33" s="2">
        <f>175.5+32.6</f>
        <v>208.1</v>
      </c>
      <c r="O33" s="2">
        <f>33.34+167.54</f>
        <v>200.88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2025-05-01T17:13:20Z</dcterms:created>
  <dcterms:modified xsi:type="dcterms:W3CDTF">2025-05-03T22:53:57Z</dcterms:modified>
</cp:coreProperties>
</file>