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552E629F-3317-4015-A062-E08D614D391A}" xr6:coauthVersionLast="47" xr6:coauthVersionMax="47" xr10:uidLastSave="{00000000-0000-0000-0000-000000000000}"/>
  <bookViews>
    <workbookView xWindow="1455" yWindow="435" windowWidth="22200" windowHeight="14685" activeTab="2" xr2:uid="{1B6FF029-A03D-4586-8AFE-F39852695A08}"/>
  </bookViews>
  <sheets>
    <sheet name="Main" sheetId="2" r:id="rId1"/>
    <sheet name="Model" sheetId="1" r:id="rId2"/>
    <sheet name="Efzofitimod" sheetId="3" r:id="rId3"/>
    <sheet name="NRP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3" l="1"/>
  <c r="D27" i="3"/>
  <c r="C26" i="3"/>
  <c r="D26" i="3" s="1"/>
  <c r="C27" i="3"/>
  <c r="T20" i="1"/>
  <c r="C19" i="3"/>
  <c r="D19" i="3" s="1"/>
  <c r="E19" i="3" s="1"/>
  <c r="F19" i="3" s="1"/>
  <c r="F20" i="3" s="1"/>
  <c r="F22" i="3" s="1"/>
  <c r="D22" i="3"/>
  <c r="C22" i="3"/>
  <c r="D18" i="3"/>
  <c r="E18" i="3" s="1"/>
  <c r="F18" i="3" s="1"/>
  <c r="G18" i="3" s="1"/>
  <c r="H18" i="3" s="1"/>
  <c r="I18" i="3" s="1"/>
  <c r="J18" i="3" s="1"/>
  <c r="K18" i="3" s="1"/>
  <c r="L18" i="3" s="1"/>
  <c r="M18" i="3" s="1"/>
  <c r="N18" i="3" s="1"/>
  <c r="O18" i="3" s="1"/>
  <c r="P18" i="3" s="1"/>
  <c r="Q18" i="3" s="1"/>
  <c r="H10" i="1"/>
  <c r="I7" i="1"/>
  <c r="J7" i="1"/>
  <c r="K7" i="1"/>
  <c r="L7" i="1"/>
  <c r="M7" i="1" s="1"/>
  <c r="H7" i="1"/>
  <c r="G19" i="1"/>
  <c r="F19" i="1"/>
  <c r="F15" i="1"/>
  <c r="G15" i="1"/>
  <c r="E15" i="1"/>
  <c r="E8" i="1"/>
  <c r="E5" i="1"/>
  <c r="H5" i="1"/>
  <c r="I5" i="1"/>
  <c r="J5" i="1"/>
  <c r="K5" i="1"/>
  <c r="L5" i="1"/>
  <c r="M5" i="1"/>
  <c r="N5" i="1"/>
  <c r="O5" i="1"/>
  <c r="P5" i="1"/>
  <c r="Q5" i="1"/>
  <c r="H8" i="1"/>
  <c r="I8" i="1"/>
  <c r="J8" i="1"/>
  <c r="K8" i="1"/>
  <c r="K9" i="1" s="1"/>
  <c r="L8" i="1"/>
  <c r="L9" i="1" s="1"/>
  <c r="F8" i="1"/>
  <c r="F5" i="1"/>
  <c r="G5" i="1"/>
  <c r="G8" i="1"/>
  <c r="C8" i="1"/>
  <c r="C5" i="1"/>
  <c r="C9" i="1" s="1"/>
  <c r="C11" i="1" s="1"/>
  <c r="C13" i="1" s="1"/>
  <c r="P9" i="2"/>
  <c r="C21" i="1"/>
  <c r="P6" i="2"/>
  <c r="P5" i="2"/>
  <c r="P3" i="2"/>
  <c r="G2" i="1"/>
  <c r="H2" i="1" s="1"/>
  <c r="I2" i="1" s="1"/>
  <c r="J2" i="1" s="1"/>
  <c r="K2" i="1" s="1"/>
  <c r="L2" i="1" s="1"/>
  <c r="M2" i="1" s="1"/>
  <c r="N2" i="1" s="1"/>
  <c r="O2" i="1" s="1"/>
  <c r="P2" i="1" s="1"/>
  <c r="Q2" i="1" s="1"/>
  <c r="P4" i="2"/>
  <c r="E20" i="3" l="1"/>
  <c r="E22" i="3" s="1"/>
  <c r="G19" i="3"/>
  <c r="G20" i="3" s="1"/>
  <c r="G22" i="3" s="1"/>
  <c r="J9" i="1"/>
  <c r="I9" i="1"/>
  <c r="H9" i="1"/>
  <c r="H11" i="1" s="1"/>
  <c r="M8" i="1"/>
  <c r="N7" i="1"/>
  <c r="E9" i="1"/>
  <c r="E11" i="1" s="1"/>
  <c r="E13" i="1" s="1"/>
  <c r="F9" i="1"/>
  <c r="F11" i="1" s="1"/>
  <c r="F13" i="1" s="1"/>
  <c r="G9" i="1"/>
  <c r="G11" i="1" s="1"/>
  <c r="G13" i="1" s="1"/>
  <c r="M9" i="1"/>
  <c r="P7" i="2"/>
  <c r="H19" i="3" l="1"/>
  <c r="H20" i="3" s="1"/>
  <c r="H22" i="3" s="1"/>
  <c r="H12" i="1"/>
  <c r="H13" i="1" s="1"/>
  <c r="H21" i="1" s="1"/>
  <c r="I10" i="1" s="1"/>
  <c r="I11" i="1" s="1"/>
  <c r="N8" i="1"/>
  <c r="N9" i="1" s="1"/>
  <c r="O7" i="1"/>
  <c r="I19" i="3" l="1"/>
  <c r="I20" i="3" s="1"/>
  <c r="I22" i="3" s="1"/>
  <c r="I12" i="1"/>
  <c r="I13" i="1" s="1"/>
  <c r="I21" i="1" s="1"/>
  <c r="J10" i="1" s="1"/>
  <c r="J11" i="1" s="1"/>
  <c r="J12" i="1" s="1"/>
  <c r="J13" i="1" s="1"/>
  <c r="J21" i="1" s="1"/>
  <c r="K10" i="1" s="1"/>
  <c r="K11" i="1" s="1"/>
  <c r="O8" i="1"/>
  <c r="O9" i="1" s="1"/>
  <c r="P7" i="1"/>
  <c r="J19" i="3" l="1"/>
  <c r="J20" i="3" s="1"/>
  <c r="J22" i="3" s="1"/>
  <c r="K12" i="1"/>
  <c r="K13" i="1" s="1"/>
  <c r="K21" i="1" s="1"/>
  <c r="L10" i="1" s="1"/>
  <c r="L11" i="1" s="1"/>
  <c r="P8" i="1"/>
  <c r="P9" i="1" s="1"/>
  <c r="Q7" i="1"/>
  <c r="Q8" i="1" s="1"/>
  <c r="Q9" i="1" s="1"/>
  <c r="K19" i="3" l="1"/>
  <c r="K20" i="3" s="1"/>
  <c r="K22" i="3" s="1"/>
  <c r="L12" i="1"/>
  <c r="L13" i="1" s="1"/>
  <c r="L21" i="1" s="1"/>
  <c r="M10" i="1" s="1"/>
  <c r="M11" i="1" s="1"/>
  <c r="L19" i="3" l="1"/>
  <c r="L20" i="3" s="1"/>
  <c r="L22" i="3" s="1"/>
  <c r="M12" i="1"/>
  <c r="M13" i="1" s="1"/>
  <c r="M21" i="1" s="1"/>
  <c r="N10" i="1" s="1"/>
  <c r="N11" i="1" s="1"/>
  <c r="M19" i="3" l="1"/>
  <c r="M20" i="3" s="1"/>
  <c r="M22" i="3" s="1"/>
  <c r="N12" i="1"/>
  <c r="N13" i="1" s="1"/>
  <c r="N21" i="1" s="1"/>
  <c r="O10" i="1" s="1"/>
  <c r="O11" i="1" s="1"/>
  <c r="N19" i="3" l="1"/>
  <c r="N20" i="3" s="1"/>
  <c r="N22" i="3" s="1"/>
  <c r="O12" i="1"/>
  <c r="O13" i="1" s="1"/>
  <c r="O21" i="1" s="1"/>
  <c r="O19" i="3" l="1"/>
  <c r="O20" i="3" s="1"/>
  <c r="O22" i="3" s="1"/>
  <c r="P10" i="1"/>
  <c r="P11" i="1" s="1"/>
  <c r="P19" i="3" l="1"/>
  <c r="P20" i="3" s="1"/>
  <c r="P22" i="3" s="1"/>
  <c r="P12" i="1"/>
  <c r="P13" i="1" s="1"/>
  <c r="P21" i="1" s="1"/>
  <c r="Q19" i="3" l="1"/>
  <c r="Q10" i="1"/>
  <c r="Q11" i="1" s="1"/>
  <c r="Q20" i="3" l="1"/>
  <c r="Q22" i="3" s="1"/>
  <c r="Q12" i="1"/>
  <c r="Q13" i="1" s="1"/>
  <c r="T21" i="1" l="1"/>
  <c r="C28" i="3"/>
  <c r="R13" i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BM13" i="1" s="1"/>
  <c r="BN13" i="1" s="1"/>
  <c r="BO13" i="1" s="1"/>
  <c r="BP13" i="1" s="1"/>
  <c r="BQ13" i="1" s="1"/>
  <c r="BR13" i="1" s="1"/>
  <c r="BS13" i="1" s="1"/>
  <c r="BT13" i="1" s="1"/>
  <c r="BU13" i="1" s="1"/>
  <c r="BV13" i="1" s="1"/>
  <c r="BW13" i="1" s="1"/>
  <c r="BX13" i="1" s="1"/>
  <c r="BY13" i="1" s="1"/>
  <c r="BZ13" i="1" s="1"/>
  <c r="CA13" i="1" s="1"/>
  <c r="CB13" i="1" s="1"/>
  <c r="CC13" i="1" s="1"/>
  <c r="CD13" i="1" s="1"/>
  <c r="CE13" i="1" s="1"/>
  <c r="CF13" i="1" s="1"/>
  <c r="CG13" i="1" s="1"/>
  <c r="CH13" i="1" s="1"/>
  <c r="CI13" i="1" s="1"/>
  <c r="CJ13" i="1" s="1"/>
  <c r="CK13" i="1" s="1"/>
  <c r="CL13" i="1" s="1"/>
  <c r="CM13" i="1" s="1"/>
  <c r="CN13" i="1" s="1"/>
  <c r="CO13" i="1" s="1"/>
  <c r="CP13" i="1" s="1"/>
  <c r="CQ13" i="1" s="1"/>
  <c r="CR13" i="1" s="1"/>
  <c r="CS13" i="1" s="1"/>
  <c r="CT13" i="1" s="1"/>
  <c r="CU13" i="1" s="1"/>
  <c r="CV13" i="1" s="1"/>
  <c r="CW13" i="1" s="1"/>
  <c r="CX13" i="1" s="1"/>
  <c r="CY13" i="1" s="1"/>
  <c r="CZ13" i="1" s="1"/>
  <c r="DA13" i="1" s="1"/>
  <c r="DB13" i="1" s="1"/>
  <c r="DC13" i="1" s="1"/>
  <c r="DD13" i="1" s="1"/>
  <c r="DE13" i="1" s="1"/>
  <c r="DF13" i="1" s="1"/>
  <c r="DG13" i="1" s="1"/>
  <c r="DH13" i="1" s="1"/>
  <c r="DI13" i="1" s="1"/>
  <c r="DJ13" i="1" s="1"/>
  <c r="Q21" i="1"/>
  <c r="T22" i="1" l="1"/>
</calcChain>
</file>

<file path=xl/sharedStrings.xml><?xml version="1.0" encoding="utf-8"?>
<sst xmlns="http://schemas.openxmlformats.org/spreadsheetml/2006/main" count="88" uniqueCount="72">
  <si>
    <t>Price</t>
  </si>
  <si>
    <t>Shares</t>
  </si>
  <si>
    <t>MC</t>
  </si>
  <si>
    <t>Cash</t>
  </si>
  <si>
    <t>Debt</t>
  </si>
  <si>
    <t>EV</t>
  </si>
  <si>
    <t>Main</t>
  </si>
  <si>
    <t>Revenue</t>
  </si>
  <si>
    <t>COGS</t>
  </si>
  <si>
    <t>Gross Profit</t>
  </si>
  <si>
    <t>SG&amp;A</t>
  </si>
  <si>
    <t>R&amp;D</t>
  </si>
  <si>
    <t>Operating Expenses</t>
  </si>
  <si>
    <t>Operating Income</t>
  </si>
  <si>
    <t>Interest Income</t>
  </si>
  <si>
    <t>Pretax Income</t>
  </si>
  <si>
    <t>Tax</t>
  </si>
  <si>
    <t>Net Income</t>
  </si>
  <si>
    <t>EPS</t>
  </si>
  <si>
    <t>Revenue y/y</t>
  </si>
  <si>
    <t>SG&amp;A y/y</t>
  </si>
  <si>
    <t>Gross Margin</t>
  </si>
  <si>
    <t>Net Cash</t>
  </si>
  <si>
    <t>AP</t>
  </si>
  <si>
    <t>AR</t>
  </si>
  <si>
    <t>Name</t>
  </si>
  <si>
    <t>Indication</t>
  </si>
  <si>
    <t>MOA</t>
  </si>
  <si>
    <t>Economics</t>
  </si>
  <si>
    <t>IP</t>
  </si>
  <si>
    <t>Phase</t>
  </si>
  <si>
    <t>III</t>
  </si>
  <si>
    <t>Generic</t>
  </si>
  <si>
    <t>Brand</t>
  </si>
  <si>
    <t>Clinical Trials</t>
  </si>
  <si>
    <t>NRP2</t>
  </si>
  <si>
    <t>Preclinical</t>
  </si>
  <si>
    <t>Share w/ Kyorin</t>
  </si>
  <si>
    <t>ATYR1923 (Efzofitimod)</t>
  </si>
  <si>
    <t>ILD (sarcoidosis)</t>
  </si>
  <si>
    <t>https://pmc.ncbi.nlm.nih.gov/articles/PMC10099656/</t>
  </si>
  <si>
    <t>Efzofitimod</t>
  </si>
  <si>
    <t>ATYR1923</t>
  </si>
  <si>
    <t>Q125</t>
  </si>
  <si>
    <t>ROIC</t>
  </si>
  <si>
    <t>Maturity</t>
  </si>
  <si>
    <t>Discount</t>
  </si>
  <si>
    <t>NPV</t>
  </si>
  <si>
    <t>Share</t>
  </si>
  <si>
    <t>PP&amp;E</t>
  </si>
  <si>
    <t>P/B</t>
  </si>
  <si>
    <t>SE</t>
  </si>
  <si>
    <t>US Patient Pool</t>
  </si>
  <si>
    <t>Treated</t>
  </si>
  <si>
    <t>Approval Price</t>
  </si>
  <si>
    <t>Failure Price</t>
  </si>
  <si>
    <t>Phase II "EFZO-CONNECT"</t>
  </si>
  <si>
    <t>PK</t>
  </si>
  <si>
    <t>Phase III "EFZO-FIT"</t>
  </si>
  <si>
    <t>Pulmonary Sarcoidosis</t>
  </si>
  <si>
    <t>https://investors.atyrpharma.com/news-releases/news-release-details/atyr-pharma-announces-findings-interim-analysis-ongoing-phase-2</t>
  </si>
  <si>
    <t>https://investors.atyrpharma.com/news-releases/news-release-details/atyr-pharma-announces-fourth-positive-dsmb-review-efzofitimod</t>
  </si>
  <si>
    <t>https://investors.atyrpharma.com/news-releases/news-release-details/atyr-pharma-announces-publication-demonstrating-efzofitimods</t>
  </si>
  <si>
    <t>https://investors.atyrpharma.com/news-releases/news-release-details/atyr-pharma-announces-publication-demonstrating-efficacy</t>
  </si>
  <si>
    <t>ILD (sarcoidosis); Pulmonary Sarcoidosis</t>
  </si>
  <si>
    <t>"10-20% of patients w/ sarcoidosis are Pulmonary Sarcoidosis"</t>
  </si>
  <si>
    <t>CEO:</t>
  </si>
  <si>
    <t>Sanjay S. Shukla</t>
  </si>
  <si>
    <t>Results in Q325</t>
  </si>
  <si>
    <t>Results in Q325 for Efzofitimod</t>
  </si>
  <si>
    <t>`</t>
  </si>
  <si>
    <t>Implied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</si>
</sst>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4" fontId="0" fillId="0" borderId="0" xfId="0" applyNumberFormat="1"/>
    <xf numFmtId="3" fontId="0" fillId="0" borderId="0" xfId="0" applyNumberFormat="1"/>
    <xf numFmtId="0" fontId="2" fillId="0" borderId="0" xfId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2" fillId="0" borderId="1" xfId="1" applyBorder="1"/>
    <xf numFmtId="0" fontId="0" fillId="0" borderId="0" xfId="0" applyAlignment="1">
      <alignment horizontal="left"/>
    </xf>
    <xf numFmtId="9" fontId="0" fillId="0" borderId="0" xfId="0" applyNumberFormat="1"/>
    <xf numFmtId="3" fontId="2" fillId="0" borderId="0" xfId="1" applyNumberFormat="1"/>
    <xf numFmtId="3" fontId="1" fillId="0" borderId="0" xfId="0" applyNumberFormat="1" applyFont="1"/>
    <xf numFmtId="1" fontId="0" fillId="0" borderId="0" xfId="0" applyNumberFormat="1"/>
    <xf numFmtId="4" fontId="1" fillId="0" borderId="0" xfId="0" applyNumberFormat="1" applyFont="1"/>
    <xf numFmtId="0" fontId="3" fillId="0" borderId="0" xfId="0" applyFont="1"/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0</xdr:row>
      <xdr:rowOff>36634</xdr:rowOff>
    </xdr:from>
    <xdr:to>
      <xdr:col>7</xdr:col>
      <xdr:colOff>7327</xdr:colOff>
      <xdr:row>40</xdr:row>
      <xdr:rowOff>65942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2C2AD97-F6F2-D47F-9CCA-EAA7A5AD8136}"/>
            </a:ext>
          </a:extLst>
        </xdr:cNvPr>
        <xdr:cNvCxnSpPr/>
      </xdr:nvCxnSpPr>
      <xdr:spPr>
        <a:xfrm>
          <a:off x="3912578" y="36634"/>
          <a:ext cx="7326" cy="631580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pmc.ncbi.nlm.nih.gov/articles/PMC1009965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7250-B15D-47C9-85AE-E4EC02F4F4B5}">
  <dimension ref="B2:Q13"/>
  <sheetViews>
    <sheetView zoomScale="115" zoomScaleNormal="115" workbookViewId="0">
      <selection activeCell="E3" sqref="E3"/>
    </sheetView>
  </sheetViews>
  <sheetFormatPr defaultRowHeight="12.75" x14ac:dyDescent="0.2"/>
  <cols>
    <col min="1" max="1" width="2.42578125" customWidth="1"/>
    <col min="2" max="2" width="20.7109375" customWidth="1"/>
    <col min="3" max="3" width="15.85546875" customWidth="1"/>
    <col min="4" max="4" width="8.85546875" customWidth="1"/>
    <col min="5" max="5" width="8.42578125" customWidth="1"/>
    <col min="6" max="6" width="13.5703125" customWidth="1"/>
    <col min="7" max="7" width="10.140625" customWidth="1"/>
  </cols>
  <sheetData>
    <row r="2" spans="2:17" x14ac:dyDescent="0.2">
      <c r="B2" s="10" t="s">
        <v>25</v>
      </c>
      <c r="C2" s="11" t="s">
        <v>26</v>
      </c>
      <c r="D2" s="11" t="s">
        <v>30</v>
      </c>
      <c r="E2" s="11" t="s">
        <v>27</v>
      </c>
      <c r="F2" s="11" t="s">
        <v>28</v>
      </c>
      <c r="G2" s="12" t="s">
        <v>29</v>
      </c>
      <c r="O2" t="s">
        <v>0</v>
      </c>
      <c r="P2" s="1">
        <v>5.3</v>
      </c>
    </row>
    <row r="3" spans="2:17" x14ac:dyDescent="0.2">
      <c r="B3" s="15" t="s">
        <v>38</v>
      </c>
      <c r="C3" s="16" t="s">
        <v>39</v>
      </c>
      <c r="D3" s="13" t="s">
        <v>31</v>
      </c>
      <c r="E3" s="3" t="s">
        <v>35</v>
      </c>
      <c r="F3" t="s">
        <v>37</v>
      </c>
      <c r="G3" s="6"/>
      <c r="O3" t="s">
        <v>1</v>
      </c>
      <c r="P3" s="2">
        <f>89</f>
        <v>89</v>
      </c>
      <c r="Q3" t="s">
        <v>43</v>
      </c>
    </row>
    <row r="4" spans="2:17" x14ac:dyDescent="0.2">
      <c r="B4" s="5"/>
      <c r="D4" s="13" t="s">
        <v>36</v>
      </c>
      <c r="G4" s="6"/>
      <c r="O4" t="s">
        <v>2</v>
      </c>
      <c r="P4" s="2">
        <f>P3*P2</f>
        <v>471.7</v>
      </c>
    </row>
    <row r="5" spans="2:17" x14ac:dyDescent="0.2">
      <c r="B5" s="5"/>
      <c r="D5" s="13" t="s">
        <v>36</v>
      </c>
      <c r="G5" s="6"/>
      <c r="O5" t="s">
        <v>3</v>
      </c>
      <c r="P5" s="2">
        <f>10.36+66</f>
        <v>76.36</v>
      </c>
      <c r="Q5" t="s">
        <v>43</v>
      </c>
    </row>
    <row r="6" spans="2:17" x14ac:dyDescent="0.2">
      <c r="B6" s="7"/>
      <c r="C6" s="8"/>
      <c r="D6" s="14" t="s">
        <v>36</v>
      </c>
      <c r="E6" s="8"/>
      <c r="F6" s="8"/>
      <c r="G6" s="9"/>
      <c r="O6" t="s">
        <v>4</v>
      </c>
      <c r="P6" s="2">
        <f>10.95+0.75</f>
        <v>11.7</v>
      </c>
      <c r="Q6" t="s">
        <v>43</v>
      </c>
    </row>
    <row r="7" spans="2:17" x14ac:dyDescent="0.2">
      <c r="O7" t="s">
        <v>5</v>
      </c>
      <c r="P7" s="2">
        <f>P4+P6-P5</f>
        <v>407.03999999999996</v>
      </c>
    </row>
    <row r="9" spans="2:17" x14ac:dyDescent="0.2">
      <c r="O9" t="s">
        <v>50</v>
      </c>
      <c r="P9" s="1">
        <f>75/P3</f>
        <v>0.84269662921348309</v>
      </c>
      <c r="Q9" s="1"/>
    </row>
    <row r="10" spans="2:17" x14ac:dyDescent="0.2">
      <c r="M10" t="s">
        <v>70</v>
      </c>
    </row>
    <row r="11" spans="2:17" x14ac:dyDescent="0.2">
      <c r="O11" t="s">
        <v>66</v>
      </c>
      <c r="P11" t="s">
        <v>67</v>
      </c>
    </row>
    <row r="13" spans="2:17" x14ac:dyDescent="0.2">
      <c r="O13" t="s">
        <v>69</v>
      </c>
    </row>
  </sheetData>
  <hyperlinks>
    <hyperlink ref="B3" location="Efzofitimod!A1" display="Efzofitimod" xr:uid="{254933A8-C39D-484F-AB25-131061FFD12B}"/>
    <hyperlink ref="E3" location="'NRP2'!A1" display="NRP2" xr:uid="{6CFE78E3-7D71-4F66-9270-C7F729AABAB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299FD-5113-4897-BCE2-57A3926831F4}">
  <dimension ref="A1:DJ29"/>
  <sheetViews>
    <sheetView zoomScale="130" zoomScaleNormal="130" workbookViewId="0">
      <pane xSplit="2" ySplit="2" topLeftCell="N3" activePane="bottomRight" state="frozen"/>
      <selection pane="topRight" activeCell="C1" sqref="C1"/>
      <selection pane="bottomLeft" activeCell="A3" sqref="A3"/>
      <selection pane="bottomRight" activeCell="S20" sqref="S20"/>
    </sheetView>
  </sheetViews>
  <sheetFormatPr defaultRowHeight="12.75" x14ac:dyDescent="0.2"/>
  <cols>
    <col min="1" max="1" width="5.140625" style="2" customWidth="1"/>
    <col min="2" max="2" width="17" style="2" customWidth="1"/>
    <col min="3" max="16384" width="9.140625" style="2"/>
  </cols>
  <sheetData>
    <row r="1" spans="1:114" x14ac:dyDescent="0.2">
      <c r="A1" s="18" t="s">
        <v>6</v>
      </c>
    </row>
    <row r="2" spans="1:114" x14ac:dyDescent="0.2">
      <c r="C2" s="2" t="s">
        <v>43</v>
      </c>
      <c r="E2" s="20">
        <v>2022</v>
      </c>
      <c r="F2" s="20">
        <v>2023</v>
      </c>
      <c r="G2" s="20">
        <f>F2+1</f>
        <v>2024</v>
      </c>
      <c r="H2" s="20">
        <f>G2+1</f>
        <v>2025</v>
      </c>
      <c r="I2" s="20">
        <f t="shared" ref="I2:Q2" si="0">H2+1</f>
        <v>2026</v>
      </c>
      <c r="J2" s="20">
        <f t="shared" si="0"/>
        <v>2027</v>
      </c>
      <c r="K2" s="20">
        <f t="shared" si="0"/>
        <v>2028</v>
      </c>
      <c r="L2" s="20">
        <f t="shared" si="0"/>
        <v>2029</v>
      </c>
      <c r="M2" s="20">
        <f t="shared" si="0"/>
        <v>2030</v>
      </c>
      <c r="N2" s="20">
        <f t="shared" si="0"/>
        <v>2031</v>
      </c>
      <c r="O2" s="20">
        <f t="shared" si="0"/>
        <v>2032</v>
      </c>
      <c r="P2" s="20">
        <f t="shared" si="0"/>
        <v>2033</v>
      </c>
      <c r="Q2" s="20">
        <f t="shared" si="0"/>
        <v>2034</v>
      </c>
    </row>
    <row r="3" spans="1:114" s="19" customFormat="1" x14ac:dyDescent="0.2">
      <c r="A3" s="2"/>
      <c r="B3" s="19" t="s">
        <v>7</v>
      </c>
      <c r="C3" s="19">
        <v>0</v>
      </c>
      <c r="E3" s="19">
        <v>10.39</v>
      </c>
      <c r="F3" s="19">
        <v>0.35299999999999998</v>
      </c>
      <c r="G3" s="19">
        <v>0.23499999999999999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</row>
    <row r="4" spans="1:114" x14ac:dyDescent="0.2">
      <c r="B4" s="2" t="s">
        <v>8</v>
      </c>
      <c r="C4" s="2">
        <v>0</v>
      </c>
      <c r="E4" s="2">
        <v>0</v>
      </c>
      <c r="F4" s="2">
        <v>0</v>
      </c>
      <c r="G4" s="2">
        <v>0</v>
      </c>
    </row>
    <row r="5" spans="1:114" x14ac:dyDescent="0.2">
      <c r="B5" s="2" t="s">
        <v>9</v>
      </c>
      <c r="C5" s="2">
        <f>C3-C4</f>
        <v>0</v>
      </c>
      <c r="E5" s="2">
        <f>E3-E4</f>
        <v>10.39</v>
      </c>
      <c r="F5" s="2">
        <f>F3-F4</f>
        <v>0.35299999999999998</v>
      </c>
      <c r="G5" s="2">
        <f>G3-G4</f>
        <v>0.23499999999999999</v>
      </c>
      <c r="H5" s="2">
        <f t="shared" ref="H5:Q5" si="1">H3-H4</f>
        <v>0</v>
      </c>
      <c r="I5" s="2">
        <f t="shared" si="1"/>
        <v>0</v>
      </c>
      <c r="J5" s="2">
        <f t="shared" si="1"/>
        <v>0</v>
      </c>
      <c r="K5" s="2">
        <f t="shared" si="1"/>
        <v>0</v>
      </c>
      <c r="L5" s="2">
        <f t="shared" si="1"/>
        <v>0</v>
      </c>
      <c r="M5" s="2">
        <f t="shared" si="1"/>
        <v>0</v>
      </c>
      <c r="N5" s="2">
        <f t="shared" si="1"/>
        <v>0</v>
      </c>
      <c r="O5" s="2">
        <f t="shared" si="1"/>
        <v>0</v>
      </c>
      <c r="P5" s="2">
        <f t="shared" si="1"/>
        <v>0</v>
      </c>
      <c r="Q5" s="2">
        <f t="shared" si="1"/>
        <v>0</v>
      </c>
    </row>
    <row r="6" spans="1:114" x14ac:dyDescent="0.2">
      <c r="B6" s="2" t="s">
        <v>11</v>
      </c>
      <c r="C6" s="2">
        <v>11.8</v>
      </c>
      <c r="E6" s="2">
        <v>42.8</v>
      </c>
      <c r="F6" s="2">
        <v>42.3</v>
      </c>
      <c r="G6" s="2">
        <v>54.4</v>
      </c>
    </row>
    <row r="7" spans="1:114" x14ac:dyDescent="0.2">
      <c r="B7" s="2" t="s">
        <v>10</v>
      </c>
      <c r="C7" s="2">
        <v>3.96</v>
      </c>
      <c r="E7" s="2">
        <v>13.9</v>
      </c>
      <c r="F7" s="2">
        <v>12.99</v>
      </c>
      <c r="G7" s="2">
        <v>13.8</v>
      </c>
      <c r="H7" s="2">
        <f>G7*1.01</f>
        <v>13.938000000000001</v>
      </c>
      <c r="I7" s="2">
        <f t="shared" ref="I7:Q7" si="2">H7*1.01</f>
        <v>14.077380000000002</v>
      </c>
      <c r="J7" s="2">
        <f t="shared" si="2"/>
        <v>14.218153800000001</v>
      </c>
      <c r="K7" s="2">
        <f t="shared" si="2"/>
        <v>14.360335338000002</v>
      </c>
      <c r="L7" s="2">
        <f t="shared" si="2"/>
        <v>14.503938691380002</v>
      </c>
      <c r="M7" s="2">
        <f t="shared" si="2"/>
        <v>14.648978078293801</v>
      </c>
      <c r="N7" s="2">
        <f t="shared" si="2"/>
        <v>14.795467859076739</v>
      </c>
      <c r="O7" s="2">
        <f t="shared" si="2"/>
        <v>14.943422537667507</v>
      </c>
      <c r="P7" s="2">
        <f t="shared" si="2"/>
        <v>15.092856763044182</v>
      </c>
      <c r="Q7" s="2">
        <f t="shared" si="2"/>
        <v>15.243785330674624</v>
      </c>
    </row>
    <row r="8" spans="1:114" x14ac:dyDescent="0.2">
      <c r="B8" s="2" t="s">
        <v>12</v>
      </c>
      <c r="C8" s="2">
        <f>SUM(C6:C7)</f>
        <v>15.760000000000002</v>
      </c>
      <c r="E8" s="2">
        <f>SUM(E6:E7)</f>
        <v>56.699999999999996</v>
      </c>
      <c r="F8" s="2">
        <f>SUM(F6:F7)</f>
        <v>55.29</v>
      </c>
      <c r="G8" s="2">
        <f>SUM(G6:G7)</f>
        <v>68.2</v>
      </c>
      <c r="H8" s="2">
        <f t="shared" ref="H8:Q8" si="3">SUM(H6:H7)</f>
        <v>13.938000000000001</v>
      </c>
      <c r="I8" s="2">
        <f t="shared" si="3"/>
        <v>14.077380000000002</v>
      </c>
      <c r="J8" s="2">
        <f t="shared" si="3"/>
        <v>14.218153800000001</v>
      </c>
      <c r="K8" s="2">
        <f t="shared" si="3"/>
        <v>14.360335338000002</v>
      </c>
      <c r="L8" s="2">
        <f t="shared" si="3"/>
        <v>14.503938691380002</v>
      </c>
      <c r="M8" s="2">
        <f t="shared" si="3"/>
        <v>14.648978078293801</v>
      </c>
      <c r="N8" s="2">
        <f t="shared" si="3"/>
        <v>14.795467859076739</v>
      </c>
      <c r="O8" s="2">
        <f t="shared" si="3"/>
        <v>14.943422537667507</v>
      </c>
      <c r="P8" s="2">
        <f t="shared" si="3"/>
        <v>15.092856763044182</v>
      </c>
      <c r="Q8" s="2">
        <f t="shared" si="3"/>
        <v>15.243785330674624</v>
      </c>
    </row>
    <row r="9" spans="1:114" x14ac:dyDescent="0.2">
      <c r="B9" s="2" t="s">
        <v>13</v>
      </c>
      <c r="C9" s="2">
        <f>C5-C8</f>
        <v>-15.760000000000002</v>
      </c>
      <c r="E9" s="2">
        <f>E5-E8</f>
        <v>-46.309999999999995</v>
      </c>
      <c r="F9" s="2">
        <f>F5-F8</f>
        <v>-54.936999999999998</v>
      </c>
      <c r="G9" s="2">
        <f>G5-G8</f>
        <v>-67.965000000000003</v>
      </c>
      <c r="H9" s="2">
        <f t="shared" ref="H9:Q9" si="4">H5-H8</f>
        <v>-13.938000000000001</v>
      </c>
      <c r="I9" s="2">
        <f t="shared" si="4"/>
        <v>-14.077380000000002</v>
      </c>
      <c r="J9" s="2">
        <f t="shared" si="4"/>
        <v>-14.218153800000001</v>
      </c>
      <c r="K9" s="2">
        <f t="shared" si="4"/>
        <v>-14.360335338000002</v>
      </c>
      <c r="L9" s="2">
        <f t="shared" si="4"/>
        <v>-14.503938691380002</v>
      </c>
      <c r="M9" s="2">
        <f t="shared" si="4"/>
        <v>-14.648978078293801</v>
      </c>
      <c r="N9" s="2">
        <f t="shared" si="4"/>
        <v>-14.795467859076739</v>
      </c>
      <c r="O9" s="2">
        <f t="shared" si="4"/>
        <v>-14.943422537667507</v>
      </c>
      <c r="P9" s="2">
        <f t="shared" si="4"/>
        <v>-15.092856763044182</v>
      </c>
      <c r="Q9" s="2">
        <f t="shared" si="4"/>
        <v>-15.243785330674624</v>
      </c>
    </row>
    <row r="10" spans="1:114" x14ac:dyDescent="0.2">
      <c r="B10" s="2" t="s">
        <v>14</v>
      </c>
      <c r="C10" s="2">
        <v>0.9</v>
      </c>
      <c r="E10" s="2">
        <v>1.06</v>
      </c>
      <c r="F10" s="2">
        <v>4.5</v>
      </c>
      <c r="G10" s="2">
        <v>3.9</v>
      </c>
      <c r="H10" s="2">
        <f>G21*$T$17</f>
        <v>1.1200000000000001</v>
      </c>
      <c r="I10" s="2">
        <f t="shared" ref="I10:Q10" si="5">H21*$T$17</f>
        <v>0.91491199999999995</v>
      </c>
      <c r="J10" s="2">
        <f t="shared" si="5"/>
        <v>0.70431251199999989</v>
      </c>
      <c r="K10" s="2">
        <f t="shared" si="5"/>
        <v>0.48809105139199987</v>
      </c>
      <c r="L10" s="2">
        <f t="shared" si="5"/>
        <v>0.26613514280627182</v>
      </c>
      <c r="M10" s="2">
        <f t="shared" si="5"/>
        <v>3.833028602909213E-2</v>
      </c>
      <c r="N10" s="2">
        <f t="shared" si="5"/>
        <v>-0.19544007864714322</v>
      </c>
      <c r="O10" s="2">
        <f t="shared" si="5"/>
        <v>-0.43529460565072536</v>
      </c>
      <c r="P10" s="2">
        <f t="shared" si="5"/>
        <v>-0.68135407994381714</v>
      </c>
      <c r="Q10" s="2">
        <f t="shared" si="5"/>
        <v>-0.93374145343162507</v>
      </c>
    </row>
    <row r="11" spans="1:114" x14ac:dyDescent="0.2">
      <c r="B11" s="2" t="s">
        <v>15</v>
      </c>
      <c r="C11" s="2">
        <f>C9+C10</f>
        <v>-14.860000000000001</v>
      </c>
      <c r="E11" s="2">
        <f>E9+E10</f>
        <v>-45.249999999999993</v>
      </c>
      <c r="F11" s="2">
        <f>F9+F10</f>
        <v>-50.436999999999998</v>
      </c>
      <c r="G11" s="2">
        <f>G9+G10</f>
        <v>-64.064999999999998</v>
      </c>
      <c r="H11" s="2">
        <f t="shared" ref="H11:Q11" si="6">H9+H10</f>
        <v>-12.818000000000001</v>
      </c>
      <c r="I11" s="2">
        <f t="shared" si="6"/>
        <v>-13.162468000000002</v>
      </c>
      <c r="J11" s="2">
        <f t="shared" si="6"/>
        <v>-13.513841288000002</v>
      </c>
      <c r="K11" s="2">
        <f t="shared" si="6"/>
        <v>-13.872244286608002</v>
      </c>
      <c r="L11" s="2">
        <f t="shared" si="6"/>
        <v>-14.23780354857373</v>
      </c>
      <c r="M11" s="2">
        <f t="shared" si="6"/>
        <v>-14.610647792264709</v>
      </c>
      <c r="N11" s="2">
        <f t="shared" si="6"/>
        <v>-14.990907937723883</v>
      </c>
      <c r="O11" s="2">
        <f t="shared" si="6"/>
        <v>-15.378717143318232</v>
      </c>
      <c r="P11" s="2">
        <f t="shared" si="6"/>
        <v>-15.774210842987999</v>
      </c>
      <c r="Q11" s="2">
        <f t="shared" si="6"/>
        <v>-16.177526784106249</v>
      </c>
    </row>
    <row r="12" spans="1:114" x14ac:dyDescent="0.2">
      <c r="B12" s="2" t="s">
        <v>16</v>
      </c>
      <c r="C12" s="2">
        <v>0</v>
      </c>
      <c r="E12" s="2">
        <v>0</v>
      </c>
      <c r="F12" s="2">
        <v>0</v>
      </c>
      <c r="G12" s="2">
        <v>0</v>
      </c>
      <c r="H12" s="2">
        <f>H11*0.2</f>
        <v>-2.5636000000000005</v>
      </c>
      <c r="I12" s="2">
        <f t="shared" ref="I12:Q12" si="7">I11*0.2</f>
        <v>-2.6324936000000005</v>
      </c>
      <c r="J12" s="2">
        <f t="shared" si="7"/>
        <v>-2.7027682576000007</v>
      </c>
      <c r="K12" s="2">
        <f t="shared" si="7"/>
        <v>-2.7744488573216004</v>
      </c>
      <c r="L12" s="2">
        <f t="shared" si="7"/>
        <v>-2.8475607097147462</v>
      </c>
      <c r="M12" s="2">
        <f t="shared" si="7"/>
        <v>-2.9221295584529421</v>
      </c>
      <c r="N12" s="2">
        <f t="shared" si="7"/>
        <v>-2.9981815875447766</v>
      </c>
      <c r="O12" s="2">
        <f t="shared" si="7"/>
        <v>-3.0757434286636465</v>
      </c>
      <c r="P12" s="2">
        <f t="shared" si="7"/>
        <v>-3.1548421685976002</v>
      </c>
      <c r="Q12" s="2">
        <f t="shared" si="7"/>
        <v>-3.2355053568212497</v>
      </c>
    </row>
    <row r="13" spans="1:114" x14ac:dyDescent="0.2">
      <c r="B13" s="2" t="s">
        <v>17</v>
      </c>
      <c r="C13" s="2">
        <f>C11-C12</f>
        <v>-14.860000000000001</v>
      </c>
      <c r="E13" s="2">
        <f>E11-E12</f>
        <v>-45.249999999999993</v>
      </c>
      <c r="F13" s="2">
        <f>F11-F12</f>
        <v>-50.436999999999998</v>
      </c>
      <c r="G13" s="2">
        <f>G11-G12</f>
        <v>-64.064999999999998</v>
      </c>
      <c r="H13" s="2">
        <f t="shared" ref="H13:Q13" si="8">H11-H12</f>
        <v>-10.2544</v>
      </c>
      <c r="I13" s="2">
        <f t="shared" si="8"/>
        <v>-10.529974400000002</v>
      </c>
      <c r="J13" s="2">
        <f t="shared" si="8"/>
        <v>-10.811073030400001</v>
      </c>
      <c r="K13" s="2">
        <f t="shared" si="8"/>
        <v>-11.097795429286402</v>
      </c>
      <c r="L13" s="2">
        <f t="shared" si="8"/>
        <v>-11.390242838858985</v>
      </c>
      <c r="M13" s="2">
        <f t="shared" si="8"/>
        <v>-11.688518233811767</v>
      </c>
      <c r="N13" s="2">
        <f t="shared" si="8"/>
        <v>-11.992726350179106</v>
      </c>
      <c r="O13" s="2">
        <f t="shared" si="8"/>
        <v>-12.302973714654586</v>
      </c>
      <c r="P13" s="2">
        <f t="shared" si="8"/>
        <v>-12.619368674390399</v>
      </c>
      <c r="Q13" s="2">
        <f t="shared" si="8"/>
        <v>-12.942021427284999</v>
      </c>
      <c r="R13" s="2">
        <f>Q13*(1+$T$18)</f>
        <v>-12.812601213012149</v>
      </c>
      <c r="S13" s="2">
        <f t="shared" ref="S13:CD13" si="9">R13*(1+$T$18)</f>
        <v>-12.684475200882028</v>
      </c>
      <c r="T13" s="2">
        <f t="shared" si="9"/>
        <v>-12.557630448873208</v>
      </c>
      <c r="U13" s="2">
        <f t="shared" si="9"/>
        <v>-12.432054144384477</v>
      </c>
      <c r="V13" s="2">
        <f t="shared" si="9"/>
        <v>-12.307733602940631</v>
      </c>
      <c r="W13" s="2">
        <f t="shared" si="9"/>
        <v>-12.184656266911224</v>
      </c>
      <c r="X13" s="2">
        <f t="shared" si="9"/>
        <v>-12.062809704242111</v>
      </c>
      <c r="Y13" s="2">
        <f t="shared" si="9"/>
        <v>-11.942181607199689</v>
      </c>
      <c r="Z13" s="2">
        <f t="shared" si="9"/>
        <v>-11.822759791127693</v>
      </c>
      <c r="AA13" s="2">
        <f t="shared" si="9"/>
        <v>-11.704532193216416</v>
      </c>
      <c r="AB13" s="2">
        <f t="shared" si="9"/>
        <v>-11.587486871284252</v>
      </c>
      <c r="AC13" s="2">
        <f t="shared" si="9"/>
        <v>-11.47161200257141</v>
      </c>
      <c r="AD13" s="2">
        <f t="shared" si="9"/>
        <v>-11.356895882545697</v>
      </c>
      <c r="AE13" s="2">
        <f t="shared" si="9"/>
        <v>-11.24332692372024</v>
      </c>
      <c r="AF13" s="2">
        <f t="shared" si="9"/>
        <v>-11.130893654483037</v>
      </c>
      <c r="AG13" s="2">
        <f t="shared" si="9"/>
        <v>-11.019584717938207</v>
      </c>
      <c r="AH13" s="2">
        <f t="shared" si="9"/>
        <v>-10.909388870758825</v>
      </c>
      <c r="AI13" s="2">
        <f t="shared" si="9"/>
        <v>-10.800294982051236</v>
      </c>
      <c r="AJ13" s="2">
        <f t="shared" si="9"/>
        <v>-10.692292032230723</v>
      </c>
      <c r="AK13" s="2">
        <f t="shared" si="9"/>
        <v>-10.585369111908415</v>
      </c>
      <c r="AL13" s="2">
        <f t="shared" si="9"/>
        <v>-10.479515420789332</v>
      </c>
      <c r="AM13" s="2">
        <f t="shared" si="9"/>
        <v>-10.374720266581438</v>
      </c>
      <c r="AN13" s="2">
        <f t="shared" si="9"/>
        <v>-10.270973063915623</v>
      </c>
      <c r="AO13" s="2">
        <f t="shared" si="9"/>
        <v>-10.168263333276466</v>
      </c>
      <c r="AP13" s="2">
        <f t="shared" si="9"/>
        <v>-10.066580699943701</v>
      </c>
      <c r="AQ13" s="2">
        <f t="shared" si="9"/>
        <v>-9.965914892944264</v>
      </c>
      <c r="AR13" s="2">
        <f t="shared" si="9"/>
        <v>-9.866255744014822</v>
      </c>
      <c r="AS13" s="2">
        <f t="shared" si="9"/>
        <v>-9.7675931865746737</v>
      </c>
      <c r="AT13" s="2">
        <f t="shared" si="9"/>
        <v>-9.6699172547089276</v>
      </c>
      <c r="AU13" s="2">
        <f t="shared" si="9"/>
        <v>-9.5732180821618389</v>
      </c>
      <c r="AV13" s="2">
        <f t="shared" si="9"/>
        <v>-9.47748590134022</v>
      </c>
      <c r="AW13" s="2">
        <f t="shared" si="9"/>
        <v>-9.3827110423268181</v>
      </c>
      <c r="AX13" s="2">
        <f t="shared" si="9"/>
        <v>-9.2888839319035501</v>
      </c>
      <c r="AY13" s="2">
        <f t="shared" si="9"/>
        <v>-9.1959950925845142</v>
      </c>
      <c r="AZ13" s="2">
        <f t="shared" si="9"/>
        <v>-9.1040351416586685</v>
      </c>
      <c r="BA13" s="2">
        <f t="shared" si="9"/>
        <v>-9.0129947902420824</v>
      </c>
      <c r="BB13" s="2">
        <f t="shared" si="9"/>
        <v>-8.9228648423396617</v>
      </c>
      <c r="BC13" s="2">
        <f t="shared" si="9"/>
        <v>-8.8336361939162646</v>
      </c>
      <c r="BD13" s="2">
        <f t="shared" si="9"/>
        <v>-8.7452998319771016</v>
      </c>
      <c r="BE13" s="2">
        <f t="shared" si="9"/>
        <v>-8.6578468336573309</v>
      </c>
      <c r="BF13" s="2">
        <f t="shared" si="9"/>
        <v>-8.5712683653207566</v>
      </c>
      <c r="BG13" s="2">
        <f t="shared" si="9"/>
        <v>-8.4855556816675488</v>
      </c>
      <c r="BH13" s="2">
        <f t="shared" si="9"/>
        <v>-8.4007001248508733</v>
      </c>
      <c r="BI13" s="2">
        <f t="shared" si="9"/>
        <v>-8.3166931236023647</v>
      </c>
      <c r="BJ13" s="2">
        <f t="shared" si="9"/>
        <v>-8.233526192366341</v>
      </c>
      <c r="BK13" s="2">
        <f t="shared" si="9"/>
        <v>-8.1511909304426773</v>
      </c>
      <c r="BL13" s="2">
        <f t="shared" si="9"/>
        <v>-8.069679021138251</v>
      </c>
      <c r="BM13" s="2">
        <f t="shared" si="9"/>
        <v>-7.9889822309268688</v>
      </c>
      <c r="BN13" s="2">
        <f t="shared" si="9"/>
        <v>-7.9090924086176004</v>
      </c>
      <c r="BO13" s="2">
        <f t="shared" si="9"/>
        <v>-7.8300014845314241</v>
      </c>
      <c r="BP13" s="2">
        <f t="shared" si="9"/>
        <v>-7.7517014696861102</v>
      </c>
      <c r="BQ13" s="2">
        <f t="shared" si="9"/>
        <v>-7.6741844549892493</v>
      </c>
      <c r="BR13" s="2">
        <f t="shared" si="9"/>
        <v>-7.5974426104393569</v>
      </c>
      <c r="BS13" s="2">
        <f t="shared" si="9"/>
        <v>-7.5214681843349629</v>
      </c>
      <c r="BT13" s="2">
        <f t="shared" si="9"/>
        <v>-7.4462535024916132</v>
      </c>
      <c r="BU13" s="2">
        <f t="shared" si="9"/>
        <v>-7.3717909674666968</v>
      </c>
      <c r="BV13" s="2">
        <f t="shared" si="9"/>
        <v>-7.2980730577920294</v>
      </c>
      <c r="BW13" s="2">
        <f t="shared" si="9"/>
        <v>-7.2250923272141092</v>
      </c>
      <c r="BX13" s="2">
        <f t="shared" si="9"/>
        <v>-7.1528414039419683</v>
      </c>
      <c r="BY13" s="2">
        <f t="shared" si="9"/>
        <v>-7.0813129899025489</v>
      </c>
      <c r="BZ13" s="2">
        <f t="shared" si="9"/>
        <v>-7.0104998600035229</v>
      </c>
      <c r="CA13" s="2">
        <f t="shared" si="9"/>
        <v>-6.9403948614034876</v>
      </c>
      <c r="CB13" s="2">
        <f t="shared" si="9"/>
        <v>-6.8709909127894528</v>
      </c>
      <c r="CC13" s="2">
        <f t="shared" si="9"/>
        <v>-6.802281003661558</v>
      </c>
      <c r="CD13" s="2">
        <f t="shared" si="9"/>
        <v>-6.7342581936249424</v>
      </c>
      <c r="CE13" s="2">
        <f t="shared" ref="CE13:DJ13" si="10">CD13*(1+$T$18)</f>
        <v>-6.666915611688693</v>
      </c>
      <c r="CF13" s="2">
        <f t="shared" si="10"/>
        <v>-6.6002464555718063</v>
      </c>
      <c r="CG13" s="2">
        <f t="shared" si="10"/>
        <v>-6.5342439910160879</v>
      </c>
      <c r="CH13" s="2">
        <f t="shared" si="10"/>
        <v>-6.4689015511059269</v>
      </c>
      <c r="CI13" s="2">
        <f t="shared" si="10"/>
        <v>-6.4042125355948674</v>
      </c>
      <c r="CJ13" s="2">
        <f t="shared" si="10"/>
        <v>-6.3401704102389189</v>
      </c>
      <c r="CK13" s="2">
        <f t="shared" si="10"/>
        <v>-6.2767687061365294</v>
      </c>
      <c r="CL13" s="2">
        <f t="shared" si="10"/>
        <v>-6.2140010190751642</v>
      </c>
      <c r="CM13" s="2">
        <f t="shared" si="10"/>
        <v>-6.1518610088844126</v>
      </c>
      <c r="CN13" s="2">
        <f t="shared" si="10"/>
        <v>-6.0903423987955687</v>
      </c>
      <c r="CO13" s="2">
        <f t="shared" si="10"/>
        <v>-6.0294389748076131</v>
      </c>
      <c r="CP13" s="2">
        <f t="shared" si="10"/>
        <v>-5.9691445850595368</v>
      </c>
      <c r="CQ13" s="2">
        <f t="shared" si="10"/>
        <v>-5.9094531392089413</v>
      </c>
      <c r="CR13" s="2">
        <f t="shared" si="10"/>
        <v>-5.8503586078168519</v>
      </c>
      <c r="CS13" s="2">
        <f t="shared" si="10"/>
        <v>-5.7918550217386837</v>
      </c>
      <c r="CT13" s="2">
        <f t="shared" si="10"/>
        <v>-5.7339364715212966</v>
      </c>
      <c r="CU13" s="2">
        <f t="shared" si="10"/>
        <v>-5.6765971068060832</v>
      </c>
      <c r="CV13" s="2">
        <f t="shared" si="10"/>
        <v>-5.6198311357380222</v>
      </c>
      <c r="CW13" s="2">
        <f t="shared" si="10"/>
        <v>-5.5636328243806421</v>
      </c>
      <c r="CX13" s="2">
        <f t="shared" si="10"/>
        <v>-5.507996496136836</v>
      </c>
      <c r="CY13" s="2">
        <f t="shared" si="10"/>
        <v>-5.4529165311754673</v>
      </c>
      <c r="CZ13" s="2">
        <f t="shared" si="10"/>
        <v>-5.3983873658637123</v>
      </c>
      <c r="DA13" s="2">
        <f t="shared" si="10"/>
        <v>-5.3444034922050747</v>
      </c>
      <c r="DB13" s="2">
        <f t="shared" si="10"/>
        <v>-5.2909594572830239</v>
      </c>
      <c r="DC13" s="2">
        <f t="shared" si="10"/>
        <v>-5.2380498627101932</v>
      </c>
      <c r="DD13" s="2">
        <f t="shared" si="10"/>
        <v>-5.1856693640830915</v>
      </c>
      <c r="DE13" s="2">
        <f t="shared" si="10"/>
        <v>-5.1338126704422606</v>
      </c>
      <c r="DF13" s="2">
        <f t="shared" si="10"/>
        <v>-5.0824745437378382</v>
      </c>
      <c r="DG13" s="2">
        <f t="shared" si="10"/>
        <v>-5.0316497983004602</v>
      </c>
      <c r="DH13" s="2">
        <f t="shared" si="10"/>
        <v>-4.9813333003174556</v>
      </c>
      <c r="DI13" s="2">
        <f t="shared" si="10"/>
        <v>-4.9315199673142809</v>
      </c>
      <c r="DJ13" s="2">
        <f t="shared" si="10"/>
        <v>-4.882204767641138</v>
      </c>
    </row>
    <row r="14" spans="1:114" x14ac:dyDescent="0.2">
      <c r="B14" s="2" t="s">
        <v>1</v>
      </c>
      <c r="E14" s="2">
        <v>28.42</v>
      </c>
      <c r="F14" s="2">
        <v>53.6</v>
      </c>
      <c r="G14" s="2">
        <v>74.260000000000005</v>
      </c>
    </row>
    <row r="15" spans="1:114" x14ac:dyDescent="0.2">
      <c r="B15" s="2" t="s">
        <v>18</v>
      </c>
      <c r="E15" s="1">
        <f>E13/E14</f>
        <v>-1.5921885995777618</v>
      </c>
      <c r="F15" s="1">
        <f t="shared" ref="F15:G15" si="11">F13/F14</f>
        <v>-0.94098880597014922</v>
      </c>
      <c r="G15" s="1">
        <f t="shared" si="11"/>
        <v>-0.86271209264745485</v>
      </c>
    </row>
    <row r="17" spans="2:20" x14ac:dyDescent="0.2">
      <c r="B17" s="2" t="s">
        <v>19</v>
      </c>
      <c r="S17" s="2" t="s">
        <v>44</v>
      </c>
      <c r="T17" s="17">
        <v>0.02</v>
      </c>
    </row>
    <row r="18" spans="2:20" x14ac:dyDescent="0.2">
      <c r="B18" s="2" t="s">
        <v>21</v>
      </c>
      <c r="S18" s="2" t="s">
        <v>45</v>
      </c>
      <c r="T18" s="17">
        <v>-0.01</v>
      </c>
    </row>
    <row r="19" spans="2:20" x14ac:dyDescent="0.2">
      <c r="B19" s="2" t="s">
        <v>20</v>
      </c>
      <c r="F19" s="17">
        <f>F7/E7-1</f>
        <v>-6.5467625899280568E-2</v>
      </c>
      <c r="G19" s="17">
        <f>G7/F7-1</f>
        <v>6.2355658198614439E-2</v>
      </c>
      <c r="S19" s="2" t="s">
        <v>46</v>
      </c>
      <c r="T19" s="17">
        <v>0.09</v>
      </c>
    </row>
    <row r="20" spans="2:20" x14ac:dyDescent="0.2">
      <c r="S20" s="2" t="s">
        <v>47</v>
      </c>
      <c r="T20" s="2">
        <f>NPV(T19,H13:XFD13)+Main!P5-Main!P6</f>
        <v>-62.322090470002408</v>
      </c>
    </row>
    <row r="21" spans="2:20" x14ac:dyDescent="0.2">
      <c r="B21" s="2" t="s">
        <v>22</v>
      </c>
      <c r="C21" s="2">
        <f>72-16</f>
        <v>56</v>
      </c>
      <c r="G21" s="2">
        <v>56</v>
      </c>
      <c r="H21" s="2">
        <f>G21+H13</f>
        <v>45.745599999999996</v>
      </c>
      <c r="I21" s="2">
        <f t="shared" ref="I21:Q21" si="12">H21+I13</f>
        <v>35.215625599999996</v>
      </c>
      <c r="J21" s="2">
        <f t="shared" si="12"/>
        <v>24.404552569599993</v>
      </c>
      <c r="K21" s="2">
        <f t="shared" si="12"/>
        <v>13.306757140313591</v>
      </c>
      <c r="L21" s="2">
        <f t="shared" si="12"/>
        <v>1.9165143014546064</v>
      </c>
      <c r="M21" s="2">
        <f t="shared" si="12"/>
        <v>-9.7720039323571601</v>
      </c>
      <c r="N21" s="2">
        <f t="shared" si="12"/>
        <v>-21.764730282536267</v>
      </c>
      <c r="O21" s="2">
        <f t="shared" si="12"/>
        <v>-34.067703997190854</v>
      </c>
      <c r="P21" s="2">
        <f t="shared" si="12"/>
        <v>-46.687072671581255</v>
      </c>
      <c r="Q21" s="2">
        <f t="shared" si="12"/>
        <v>-59.629094098866254</v>
      </c>
      <c r="S21" s="2" t="s">
        <v>48</v>
      </c>
      <c r="T21" s="1">
        <f>T20/Main!P3</f>
        <v>-0.70024820752811689</v>
      </c>
    </row>
    <row r="22" spans="2:20" x14ac:dyDescent="0.2">
      <c r="B22" s="2" t="s">
        <v>3</v>
      </c>
      <c r="T22" s="17">
        <f>T21/Main!P2-1</f>
        <v>-1.1321223033071919</v>
      </c>
    </row>
    <row r="23" spans="2:20" x14ac:dyDescent="0.2">
      <c r="B23" s="2" t="s">
        <v>23</v>
      </c>
    </row>
    <row r="24" spans="2:20" x14ac:dyDescent="0.2">
      <c r="B24" s="2" t="s">
        <v>49</v>
      </c>
      <c r="C24" s="2">
        <v>4.6829999999999998</v>
      </c>
    </row>
    <row r="26" spans="2:20" x14ac:dyDescent="0.2">
      <c r="B26" s="2" t="s">
        <v>24</v>
      </c>
    </row>
    <row r="27" spans="2:20" x14ac:dyDescent="0.2">
      <c r="B27" s="2" t="s">
        <v>4</v>
      </c>
    </row>
    <row r="29" spans="2:20" x14ac:dyDescent="0.2">
      <c r="B29" s="2" t="s">
        <v>51</v>
      </c>
      <c r="C29" s="2">
        <v>75</v>
      </c>
    </row>
  </sheetData>
  <hyperlinks>
    <hyperlink ref="A1" location="Main!A1" display="Main" xr:uid="{BA088288-A210-4F44-B166-7C8F856960BB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EB33E-E1FF-4ECC-8F74-DECD74E92A04}">
  <dimension ref="A1:Q32"/>
  <sheetViews>
    <sheetView tabSelected="1" topLeftCell="A13" zoomScale="160" zoomScaleNormal="160" workbookViewId="0">
      <selection activeCell="C24" sqref="C24"/>
    </sheetView>
  </sheetViews>
  <sheetFormatPr defaultRowHeight="12.75" x14ac:dyDescent="0.2"/>
  <cols>
    <col min="1" max="1" width="4.7109375" customWidth="1"/>
    <col min="2" max="2" width="14.28515625" customWidth="1"/>
  </cols>
  <sheetData>
    <row r="1" spans="1:3" x14ac:dyDescent="0.2">
      <c r="A1" s="3" t="s">
        <v>6</v>
      </c>
    </row>
    <row r="2" spans="1:3" x14ac:dyDescent="0.2">
      <c r="B2" t="s">
        <v>33</v>
      </c>
      <c r="C2" t="s">
        <v>42</v>
      </c>
    </row>
    <row r="3" spans="1:3" x14ac:dyDescent="0.2">
      <c r="B3" t="s">
        <v>32</v>
      </c>
      <c r="C3" t="s">
        <v>41</v>
      </c>
    </row>
    <row r="4" spans="1:3" x14ac:dyDescent="0.2">
      <c r="B4" t="s">
        <v>26</v>
      </c>
      <c r="C4" t="s">
        <v>64</v>
      </c>
    </row>
    <row r="5" spans="1:3" x14ac:dyDescent="0.2">
      <c r="B5" t="s">
        <v>27</v>
      </c>
      <c r="C5" t="s">
        <v>35</v>
      </c>
    </row>
    <row r="6" spans="1:3" x14ac:dyDescent="0.2">
      <c r="B6" t="s">
        <v>57</v>
      </c>
    </row>
    <row r="7" spans="1:3" x14ac:dyDescent="0.2">
      <c r="B7" t="s">
        <v>34</v>
      </c>
    </row>
    <row r="8" spans="1:3" x14ac:dyDescent="0.2">
      <c r="C8" s="22" t="s">
        <v>56</v>
      </c>
    </row>
    <row r="9" spans="1:3" x14ac:dyDescent="0.2">
      <c r="C9" t="s">
        <v>60</v>
      </c>
    </row>
    <row r="11" spans="1:3" x14ac:dyDescent="0.2">
      <c r="C11" s="22" t="s">
        <v>58</v>
      </c>
    </row>
    <row r="12" spans="1:3" x14ac:dyDescent="0.2">
      <c r="C12" t="s">
        <v>68</v>
      </c>
    </row>
    <row r="13" spans="1:3" x14ac:dyDescent="0.2">
      <c r="C13" t="s">
        <v>59</v>
      </c>
    </row>
    <row r="14" spans="1:3" x14ac:dyDescent="0.2">
      <c r="C14" t="s">
        <v>61</v>
      </c>
    </row>
    <row r="15" spans="1:3" x14ac:dyDescent="0.2">
      <c r="C15" t="s">
        <v>63</v>
      </c>
    </row>
    <row r="18" spans="2:17" x14ac:dyDescent="0.2">
      <c r="C18">
        <v>2025</v>
      </c>
      <c r="D18">
        <f>C18+1</f>
        <v>2026</v>
      </c>
      <c r="E18">
        <f t="shared" ref="E18:Q18" si="0">D18+1</f>
        <v>2027</v>
      </c>
      <c r="F18">
        <f t="shared" si="0"/>
        <v>2028</v>
      </c>
      <c r="G18">
        <f t="shared" si="0"/>
        <v>2029</v>
      </c>
      <c r="H18">
        <f t="shared" si="0"/>
        <v>2030</v>
      </c>
      <c r="I18">
        <f t="shared" si="0"/>
        <v>2031</v>
      </c>
      <c r="J18">
        <f t="shared" si="0"/>
        <v>2032</v>
      </c>
      <c r="K18">
        <f t="shared" si="0"/>
        <v>2033</v>
      </c>
      <c r="L18">
        <f t="shared" si="0"/>
        <v>2034</v>
      </c>
      <c r="M18">
        <f t="shared" si="0"/>
        <v>2035</v>
      </c>
      <c r="N18">
        <f t="shared" si="0"/>
        <v>2036</v>
      </c>
      <c r="O18">
        <f t="shared" si="0"/>
        <v>2037</v>
      </c>
      <c r="P18">
        <f t="shared" si="0"/>
        <v>2038</v>
      </c>
      <c r="Q18">
        <f t="shared" si="0"/>
        <v>2039</v>
      </c>
    </row>
    <row r="19" spans="2:17" x14ac:dyDescent="0.2">
      <c r="B19" t="s">
        <v>52</v>
      </c>
      <c r="C19" s="23">
        <f>150000/1000000</f>
        <v>0.15</v>
      </c>
      <c r="D19" s="23">
        <f>C19*1.03</f>
        <v>0.1545</v>
      </c>
      <c r="E19" s="23">
        <f t="shared" ref="E19:Q19" si="1">D19*1.03</f>
        <v>0.159135</v>
      </c>
      <c r="F19" s="23">
        <f t="shared" si="1"/>
        <v>0.16390905</v>
      </c>
      <c r="G19" s="23">
        <f t="shared" si="1"/>
        <v>0.16882632150000002</v>
      </c>
      <c r="H19" s="23">
        <f t="shared" si="1"/>
        <v>0.17389111114500003</v>
      </c>
      <c r="I19" s="23">
        <f t="shared" si="1"/>
        <v>0.17910784447935002</v>
      </c>
      <c r="J19" s="23">
        <f t="shared" si="1"/>
        <v>0.18448107981373052</v>
      </c>
      <c r="K19" s="23">
        <f t="shared" si="1"/>
        <v>0.19001551220814245</v>
      </c>
      <c r="L19" s="23">
        <f t="shared" si="1"/>
        <v>0.19571597757438672</v>
      </c>
      <c r="M19" s="23">
        <f t="shared" si="1"/>
        <v>0.20158745690161833</v>
      </c>
      <c r="N19" s="23">
        <f t="shared" si="1"/>
        <v>0.20763508060866689</v>
      </c>
      <c r="O19" s="23">
        <f t="shared" si="1"/>
        <v>0.21386413302692692</v>
      </c>
      <c r="P19" s="23">
        <f t="shared" si="1"/>
        <v>0.22028005701773473</v>
      </c>
      <c r="Q19" s="23">
        <f t="shared" si="1"/>
        <v>0.22688845872826677</v>
      </c>
    </row>
    <row r="20" spans="2:17" x14ac:dyDescent="0.2">
      <c r="B20" t="s">
        <v>53</v>
      </c>
      <c r="C20" s="2"/>
      <c r="D20" s="2"/>
      <c r="E20" s="1">
        <f>E19*0.2</f>
        <v>3.1827000000000001E-2</v>
      </c>
      <c r="F20" s="1">
        <f t="shared" ref="F20:Q20" si="2">F19*0.2</f>
        <v>3.2781810000000002E-2</v>
      </c>
      <c r="G20" s="1">
        <f t="shared" si="2"/>
        <v>3.3765264300000007E-2</v>
      </c>
      <c r="H20" s="1">
        <f t="shared" si="2"/>
        <v>3.4778222229000004E-2</v>
      </c>
      <c r="I20" s="1">
        <f t="shared" si="2"/>
        <v>3.5821568895870008E-2</v>
      </c>
      <c r="J20" s="1">
        <f t="shared" si="2"/>
        <v>3.6896215962746108E-2</v>
      </c>
      <c r="K20" s="1">
        <f t="shared" si="2"/>
        <v>3.8003102441628495E-2</v>
      </c>
      <c r="L20" s="1">
        <f t="shared" si="2"/>
        <v>3.9143195514877348E-2</v>
      </c>
      <c r="M20" s="1">
        <f t="shared" si="2"/>
        <v>4.0317491380323672E-2</v>
      </c>
      <c r="N20" s="1">
        <f t="shared" si="2"/>
        <v>4.152701612173338E-2</v>
      </c>
      <c r="O20" s="1">
        <f t="shared" si="2"/>
        <v>4.2772826605385388E-2</v>
      </c>
      <c r="P20" s="1">
        <f t="shared" si="2"/>
        <v>4.4056011403546952E-2</v>
      </c>
      <c r="Q20" s="1">
        <f t="shared" si="2"/>
        <v>4.5377691745653356E-2</v>
      </c>
    </row>
    <row r="21" spans="2:17" x14ac:dyDescent="0.2">
      <c r="B21" t="s">
        <v>0</v>
      </c>
      <c r="C21" s="2"/>
      <c r="D21" s="2"/>
      <c r="E21" s="2">
        <v>18000</v>
      </c>
      <c r="F21" s="2">
        <v>18000</v>
      </c>
      <c r="G21" s="2">
        <v>18000</v>
      </c>
      <c r="H21" s="2">
        <v>18000</v>
      </c>
      <c r="I21" s="2">
        <v>18000</v>
      </c>
      <c r="J21" s="2">
        <v>18000</v>
      </c>
      <c r="K21" s="2">
        <v>18000</v>
      </c>
      <c r="L21" s="2">
        <v>18000</v>
      </c>
      <c r="M21" s="2">
        <v>18000</v>
      </c>
      <c r="N21" s="2">
        <v>18000</v>
      </c>
      <c r="O21" s="2">
        <v>18000</v>
      </c>
      <c r="P21" s="2">
        <v>18000</v>
      </c>
      <c r="Q21" s="2">
        <v>18000</v>
      </c>
    </row>
    <row r="22" spans="2:17" x14ac:dyDescent="0.2">
      <c r="B22" t="s">
        <v>7</v>
      </c>
      <c r="C22" s="2">
        <f>C20*0.5</f>
        <v>0</v>
      </c>
      <c r="D22" s="2">
        <f t="shared" ref="D22" si="3">D20*0.5</f>
        <v>0</v>
      </c>
      <c r="E22" s="2">
        <f>0.5*(E21*E20)</f>
        <v>286.44299999999998</v>
      </c>
      <c r="F22" s="2">
        <f t="shared" ref="F22:Q22" si="4">0.5*(F21*F20)</f>
        <v>295.03629000000001</v>
      </c>
      <c r="G22" s="2">
        <f t="shared" si="4"/>
        <v>303.88737870000006</v>
      </c>
      <c r="H22" s="2">
        <f t="shared" si="4"/>
        <v>313.00400006100006</v>
      </c>
      <c r="I22" s="2">
        <f t="shared" si="4"/>
        <v>322.3941200628301</v>
      </c>
      <c r="J22" s="2">
        <f t="shared" si="4"/>
        <v>332.06594366471495</v>
      </c>
      <c r="K22" s="2">
        <f t="shared" si="4"/>
        <v>342.02792197465646</v>
      </c>
      <c r="L22" s="2">
        <f t="shared" si="4"/>
        <v>352.28875963389612</v>
      </c>
      <c r="M22" s="2">
        <f t="shared" si="4"/>
        <v>362.85742242291303</v>
      </c>
      <c r="N22" s="2">
        <f t="shared" si="4"/>
        <v>373.74314509560043</v>
      </c>
      <c r="O22" s="2">
        <f t="shared" si="4"/>
        <v>384.9554394484685</v>
      </c>
      <c r="P22" s="2">
        <f t="shared" si="4"/>
        <v>396.50410263192259</v>
      </c>
      <c r="Q22" s="2">
        <f t="shared" si="4"/>
        <v>408.39922571088022</v>
      </c>
    </row>
    <row r="23" spans="2:17" x14ac:dyDescent="0.2">
      <c r="B23" t="s">
        <v>46</v>
      </c>
      <c r="C23" s="17">
        <v>0.08</v>
      </c>
      <c r="E23" t="s">
        <v>65</v>
      </c>
    </row>
    <row r="24" spans="2:17" x14ac:dyDescent="0.2">
      <c r="B24" t="s">
        <v>47</v>
      </c>
      <c r="C24" s="2">
        <f>NPV(C23,C22:XFD22)</f>
        <v>2259.43802874522</v>
      </c>
    </row>
    <row r="26" spans="2:17" x14ac:dyDescent="0.2">
      <c r="B26" t="s">
        <v>54</v>
      </c>
      <c r="C26" s="1">
        <f>(C24+Main!P5-Main!P6)/Main!P3</f>
        <v>26.113460997137306</v>
      </c>
      <c r="D26" s="17">
        <f>C26/Main!$P$2-1</f>
        <v>3.9270681126674161</v>
      </c>
    </row>
    <row r="27" spans="2:17" x14ac:dyDescent="0.2">
      <c r="B27" s="4" t="s">
        <v>55</v>
      </c>
      <c r="C27" s="21">
        <f>(Main!P5-Main!P6)/Main!P3</f>
        <v>0.72651685393258425</v>
      </c>
      <c r="D27" s="17">
        <f>C27/Main!$P$2-1</f>
        <v>-0.86292134831460676</v>
      </c>
    </row>
    <row r="28" spans="2:17" x14ac:dyDescent="0.2">
      <c r="B28" t="s">
        <v>71</v>
      </c>
      <c r="C28" s="17">
        <f>Main!P7/Efzofitimod!C24</f>
        <v>0.18015099100817111</v>
      </c>
    </row>
    <row r="29" spans="2:17" x14ac:dyDescent="0.2">
      <c r="B29" s="4"/>
      <c r="C29" s="21"/>
    </row>
    <row r="31" spans="2:17" x14ac:dyDescent="0.2">
      <c r="B31" s="3" t="s">
        <v>40</v>
      </c>
    </row>
    <row r="32" spans="2:17" x14ac:dyDescent="0.2">
      <c r="B32" t="s">
        <v>62</v>
      </c>
    </row>
  </sheetData>
  <hyperlinks>
    <hyperlink ref="A1" location="Main!A1" display="Main" xr:uid="{75E199C5-085C-4591-9985-1C0285F2B044}"/>
    <hyperlink ref="B31" r:id="rId1" xr:uid="{09B8561B-1081-4C66-A0B0-65FBE17FC8B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9540E-F705-4B35-B65E-10041AF49ADA}">
  <dimension ref="A1"/>
  <sheetViews>
    <sheetView zoomScale="160" zoomScaleNormal="160"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Efzofitimod</vt:lpstr>
      <vt:lpstr>NRP2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2025-07-13T07:49:59Z</dcterms:created>
  <dcterms:modified xsi:type="dcterms:W3CDTF">2025-08-25T10:12:15Z</dcterms:modified>
</cp:coreProperties>
</file>