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B6825BE-440A-45F8-B763-609328B5025A}" xr6:coauthVersionLast="47" xr6:coauthVersionMax="47" xr10:uidLastSave="{00000000-0000-0000-0000-000000000000}"/>
  <bookViews>
    <workbookView xWindow="645" yWindow="1095" windowWidth="22200" windowHeight="14685" activeTab="4" xr2:uid="{12D1FC54-38F9-424A-830B-7D36C42D2BCE}"/>
  </bookViews>
  <sheets>
    <sheet name="Main" sheetId="1" r:id="rId1"/>
    <sheet name="Model" sheetId="2" r:id="rId2"/>
    <sheet name="IP" sheetId="5" r:id="rId3"/>
    <sheet name="Literature" sheetId="4" r:id="rId4"/>
    <sheet name="BNT327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3" l="1"/>
  <c r="F31" i="3" s="1"/>
  <c r="D28" i="3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C25" i="3"/>
  <c r="G31" i="3" l="1"/>
  <c r="H31" i="3" s="1"/>
  <c r="I31" i="3" s="1"/>
  <c r="J31" i="3" s="1"/>
  <c r="K31" i="3" s="1"/>
  <c r="L31" i="3" s="1"/>
  <c r="E34" i="3"/>
  <c r="V18" i="2" s="1"/>
  <c r="P7" i="2"/>
  <c r="Q7" i="2"/>
  <c r="R7" i="2"/>
  <c r="S7" i="2" s="1"/>
  <c r="O7" i="2"/>
  <c r="O18" i="2"/>
  <c r="O17" i="2"/>
  <c r="P3" i="2"/>
  <c r="P17" i="2" s="1"/>
  <c r="O5" i="2"/>
  <c r="P18" i="2"/>
  <c r="N5" i="2"/>
  <c r="N8" i="2"/>
  <c r="M2" i="2"/>
  <c r="N2" i="2" s="1"/>
  <c r="O2" i="2" s="1"/>
  <c r="P2" i="2" s="1"/>
  <c r="Q2" i="2" s="1"/>
  <c r="R2" i="2" s="1"/>
  <c r="S2" i="2" s="1"/>
  <c r="K3" i="1"/>
  <c r="Q3" i="2" l="1"/>
  <c r="R3" i="2" s="1"/>
  <c r="S3" i="2" s="1"/>
  <c r="S17" i="2" s="1"/>
  <c r="Q17" i="2"/>
  <c r="R17" i="2"/>
  <c r="O8" i="2"/>
  <c r="N9" i="2"/>
  <c r="N11" i="2" s="1"/>
  <c r="N13" i="2" s="1"/>
  <c r="O9" i="2"/>
  <c r="O11" i="2" s="1"/>
  <c r="O13" i="2" s="1"/>
  <c r="Q18" i="2"/>
  <c r="P8" i="2"/>
  <c r="K5" i="1"/>
  <c r="K4" i="1"/>
  <c r="P5" i="2" l="1"/>
  <c r="P9" i="2" s="1"/>
  <c r="P11" i="2" s="1"/>
  <c r="P13" i="2" s="1"/>
  <c r="R18" i="2"/>
  <c r="Q8" i="2"/>
  <c r="K7" i="1"/>
  <c r="R8" i="2" l="1"/>
  <c r="Q5" i="2"/>
  <c r="Q9" i="2" s="1"/>
  <c r="Q11" i="2" s="1"/>
  <c r="Q13" i="2" s="1"/>
  <c r="S8" i="2" l="1"/>
  <c r="S18" i="2"/>
  <c r="S5" i="2"/>
  <c r="S9" i="2" s="1"/>
  <c r="S11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V19" i="2" s="1"/>
  <c r="R5" i="2"/>
  <c r="R9" i="2" s="1"/>
  <c r="R11" i="2" s="1"/>
  <c r="R13" i="2" s="1"/>
  <c r="V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tc={C03732A0-ED06-4FA3-A6AB-8C71A5CB9628}</author>
    <author>tc={7E50E5F2-166B-40B0-9D6B-453AB3FF5FA2}</author>
    <author>tc={8AA530EB-7FE4-4085-B287-9A7E7086EE9F}</author>
    <author>tc={0405E818-C278-4A54-AA97-BDE2AA9857FF}</author>
  </authors>
  <commentList>
    <comment ref="N3" authorId="0" shapeId="0" xr:uid="{C03732A0-ED06-4FA3-A6AB-8C71A5CB9628}">
      <text>
        <t>[Threaded comment]
Your version of Excel allows you to read this threaded comment; however, any edits to it will get removed if the file is opened in a newer version of Excel. Learn more: https://go.microsoft.com/fwlink/?linkid=870924
Comment:
    1.7-2.2b EUR guidance</t>
      </text>
    </comment>
    <comment ref="N6" authorId="1" shapeId="0" xr:uid="{7E50E5F2-166B-40B0-9D6B-453AB3FF5FA2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</t>
      </text>
    </comment>
    <comment ref="N7" authorId="2" shapeId="0" xr:uid="{8AA530EB-7FE4-4085-B287-9A7E7086EE9F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</t>
      </text>
    </comment>
    <comment ref="N30" authorId="3" shapeId="0" xr:uid="{0405E818-C278-4A54-AA97-BDE2AA9857FF}">
      <text>
        <t>[Threaded comment]
Your version of Excel allows you to read this threaded comment; however, any edits to it will get removed if the file is opened in a newer version of Excel. Learn more: https://go.microsoft.com/fwlink/?linkid=870924
Comment:
    guidance</t>
      </text>
    </comment>
  </commentList>
</comments>
</file>

<file path=xl/sharedStrings.xml><?xml version="1.0" encoding="utf-8"?>
<sst xmlns="http://schemas.openxmlformats.org/spreadsheetml/2006/main" count="112" uniqueCount="92">
  <si>
    <t>Price</t>
  </si>
  <si>
    <t>Shares</t>
  </si>
  <si>
    <t>MC</t>
  </si>
  <si>
    <t>Cash</t>
  </si>
  <si>
    <t>Debt</t>
  </si>
  <si>
    <t>EV</t>
  </si>
  <si>
    <t>Name</t>
  </si>
  <si>
    <t>Indication</t>
  </si>
  <si>
    <t>Approved</t>
  </si>
  <si>
    <t>MOA</t>
  </si>
  <si>
    <t>Phase</t>
  </si>
  <si>
    <t>Economics</t>
  </si>
  <si>
    <t>IP</t>
  </si>
  <si>
    <t>VEGF/PD-L1</t>
  </si>
  <si>
    <t>Q225</t>
  </si>
  <si>
    <t>BNT327</t>
  </si>
  <si>
    <t>mBC</t>
  </si>
  <si>
    <t>II</t>
  </si>
  <si>
    <t>usd/eur</t>
  </si>
  <si>
    <t>Main</t>
  </si>
  <si>
    <t>Revenue</t>
  </si>
  <si>
    <t>Brand</t>
  </si>
  <si>
    <t>Generic</t>
  </si>
  <si>
    <t>Clinical Trials</t>
  </si>
  <si>
    <t>Physiochemistry</t>
  </si>
  <si>
    <t>Competition</t>
  </si>
  <si>
    <t>Read</t>
  </si>
  <si>
    <t>Relevance</t>
  </si>
  <si>
    <t>Topic</t>
  </si>
  <si>
    <t>Title</t>
  </si>
  <si>
    <t>PD-L1/VEGF-A</t>
  </si>
  <si>
    <t>Phase II "" in n= NCT:</t>
  </si>
  <si>
    <t>Patent</t>
  </si>
  <si>
    <t>Notes</t>
  </si>
  <si>
    <t>NSCLC</t>
  </si>
  <si>
    <t>Jan25-Dec29</t>
  </si>
  <si>
    <t>Phase II/III "BNT327-06" in NSCLC n=982 NCT:NCT06712316</t>
  </si>
  <si>
    <t>BNT326</t>
  </si>
  <si>
    <t>BMY; 1.5b upfront this year, 2b through 2028; 7.6b milestones upon approval and commericalization; 11b max; Share costs 50:50</t>
  </si>
  <si>
    <t>Q124</t>
  </si>
  <si>
    <t>Q224</t>
  </si>
  <si>
    <t>Q324</t>
  </si>
  <si>
    <t>Q424</t>
  </si>
  <si>
    <t>Q125</t>
  </si>
  <si>
    <t>Gross Margin</t>
  </si>
  <si>
    <t>Gross Profit</t>
  </si>
  <si>
    <t>COGS</t>
  </si>
  <si>
    <t>R&amp;D</t>
  </si>
  <si>
    <t>SG&amp;A</t>
  </si>
  <si>
    <t>CapEx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</si>
  <si>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</si>
  <si>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</si>
  <si>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</si>
  <si>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</si>
  <si>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</si>
  <si>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</si>
  <si>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</si>
  <si>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</si>
  <si>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Net Cash</t>
  </si>
  <si>
    <t>SG&amp;A y/y</t>
  </si>
  <si>
    <t>Q325</t>
  </si>
  <si>
    <t>Q425</t>
  </si>
  <si>
    <t>NPV</t>
  </si>
  <si>
    <t>Discount</t>
  </si>
  <si>
    <t>ROIC</t>
  </si>
  <si>
    <t>Share</t>
  </si>
  <si>
    <t>Maturity</t>
  </si>
  <si>
    <t>Max Drug Value</t>
  </si>
  <si>
    <t>BNT116</t>
  </si>
  <si>
    <t>BNT324/DB-1311</t>
  </si>
  <si>
    <t>DualityBio</t>
  </si>
  <si>
    <t>CRPC</t>
  </si>
  <si>
    <t>BNT325/DB-1305</t>
  </si>
  <si>
    <t>advanced solid tumors</t>
  </si>
  <si>
    <t>BNT323/DB-1303 (trastuzumab pamirtecan)</t>
  </si>
  <si>
    <t>HER2</t>
  </si>
  <si>
    <t>B7-H3</t>
  </si>
  <si>
    <t>I</t>
  </si>
  <si>
    <t>CureVac Acquisition</t>
  </si>
  <si>
    <t>CEO: Ugur Sahin</t>
  </si>
  <si>
    <t>CCO: Annemarie Hanekamp</t>
  </si>
  <si>
    <t>COO: Sierk Poetting</t>
  </si>
  <si>
    <t>CSO: Ryan Richardson</t>
  </si>
  <si>
    <t>CMO: Ozlem Tureci</t>
  </si>
  <si>
    <t>CFO: Ramon Zapata</t>
  </si>
  <si>
    <t>probablity</t>
  </si>
  <si>
    <t>Sep 8th: Ph3 ROSETTA early DOR and PFS data</t>
  </si>
  <si>
    <t>BNT327 (pumitamig)</t>
  </si>
  <si>
    <t>pumitamig</t>
  </si>
  <si>
    <t>Preclinical</t>
  </si>
  <si>
    <t>Biothesus developed</t>
  </si>
  <si>
    <t>BMY/Biothesus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</si>
</sst>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/>
    <xf numFmtId="0" fontId="3" fillId="0" borderId="0" xfId="0" applyFont="1"/>
    <xf numFmtId="3" fontId="1" fillId="0" borderId="0" xfId="0" applyNumberFormat="1" applyFont="1"/>
    <xf numFmtId="3" fontId="2" fillId="0" borderId="0" xfId="1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8" fontId="0" fillId="0" borderId="0" xfId="0" applyNumberForma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51288</xdr:rowOff>
    </xdr:from>
    <xdr:to>
      <xdr:col>13</xdr:col>
      <xdr:colOff>14654</xdr:colOff>
      <xdr:row>40</xdr:row>
      <xdr:rowOff>87923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E4F1074-0670-8C7C-A8AA-A5BD48CC5C07}"/>
            </a:ext>
          </a:extLst>
        </xdr:cNvPr>
        <xdr:cNvCxnSpPr/>
      </xdr:nvCxnSpPr>
      <xdr:spPr>
        <a:xfrm flipH="1">
          <a:off x="7019192" y="51288"/>
          <a:ext cx="14654" cy="64843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586154</xdr:colOff>
      <xdr:row>0</xdr:row>
      <xdr:rowOff>131885</xdr:rowOff>
    </xdr:from>
    <xdr:to>
      <xdr:col>7</xdr:col>
      <xdr:colOff>600808</xdr:colOff>
      <xdr:row>40</xdr:row>
      <xdr:rowOff>109904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8AB8E0D-5D96-4ACC-AA24-163E316DFCDE}"/>
            </a:ext>
          </a:extLst>
        </xdr:cNvPr>
        <xdr:cNvCxnSpPr/>
      </xdr:nvCxnSpPr>
      <xdr:spPr>
        <a:xfrm>
          <a:off x="5172808" y="131885"/>
          <a:ext cx="14654" cy="6425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49772B23-DE9A-4F40-9FA7-05C3A6127B85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5-08-19T03:26:26.53" personId="{49772B23-DE9A-4F40-9FA7-05C3A6127B85}" id="{C03732A0-ED06-4FA3-A6AB-8C71A5CB9628}">
    <text>1.7-2.2b EUR guidance</text>
  </threadedComment>
  <threadedComment ref="N6" dT="2025-08-19T03:27:24.84" personId="{49772B23-DE9A-4F40-9FA7-05C3A6127B85}" id="{7E50E5F2-166B-40B0-9D6B-453AB3FF5FA2}">
    <text>guidance</text>
  </threadedComment>
  <threadedComment ref="N7" dT="2025-08-19T03:27:27.67" personId="{49772B23-DE9A-4F40-9FA7-05C3A6127B85}" id="{8AA530EB-7FE4-4085-B287-9A7E7086EE9F}">
    <text>guidance</text>
  </threadedComment>
  <threadedComment ref="N30" dT="2025-08-19T03:27:11.62" personId="{49772B23-DE9A-4F40-9FA7-05C3A6127B85}" id="{0405E818-C278-4A54-AA97-BDE2AA9857FF}">
    <text>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8D5-1849-4BE7-BAC7-63479755A5A9}">
  <dimension ref="B2:L24"/>
  <sheetViews>
    <sheetView zoomScale="115" zoomScaleNormal="115" workbookViewId="0">
      <selection activeCell="F10" sqref="F10"/>
    </sheetView>
  </sheetViews>
  <sheetFormatPr defaultRowHeight="12.75" x14ac:dyDescent="0.2"/>
  <cols>
    <col min="1" max="1" width="3.28515625" customWidth="1"/>
    <col min="2" max="2" width="38" bestFit="1" customWidth="1"/>
    <col min="3" max="3" width="19.7109375" bestFit="1" customWidth="1"/>
    <col min="4" max="4" width="9.42578125" customWidth="1"/>
    <col min="5" max="5" width="11.85546875" bestFit="1" customWidth="1"/>
    <col min="6" max="6" width="10.28515625" bestFit="1" customWidth="1"/>
    <col min="8" max="8" width="4.85546875" customWidth="1"/>
    <col min="9" max="9" width="4" customWidth="1"/>
  </cols>
  <sheetData>
    <row r="2" spans="2:12" x14ac:dyDescent="0.2">
      <c r="B2" s="10" t="s">
        <v>6</v>
      </c>
      <c r="C2" s="11" t="s">
        <v>7</v>
      </c>
      <c r="D2" s="12" t="s">
        <v>8</v>
      </c>
      <c r="E2" s="11" t="s">
        <v>9</v>
      </c>
      <c r="F2" s="11" t="s">
        <v>11</v>
      </c>
      <c r="G2" s="13" t="s">
        <v>12</v>
      </c>
      <c r="J2" t="s">
        <v>0</v>
      </c>
      <c r="K2" s="2">
        <v>112.55</v>
      </c>
    </row>
    <row r="3" spans="2:12" x14ac:dyDescent="0.2">
      <c r="B3" s="4"/>
      <c r="D3" s="1"/>
      <c r="G3" s="5"/>
      <c r="J3" t="s">
        <v>1</v>
      </c>
      <c r="K3" s="3">
        <f>248</f>
        <v>248</v>
      </c>
      <c r="L3" t="s">
        <v>14</v>
      </c>
    </row>
    <row r="4" spans="2:12" x14ac:dyDescent="0.2">
      <c r="B4" s="4"/>
      <c r="D4" s="1"/>
      <c r="G4" s="5"/>
      <c r="J4" t="s">
        <v>2</v>
      </c>
      <c r="K4" s="3">
        <f>K3*K2</f>
        <v>27912.399999999998</v>
      </c>
    </row>
    <row r="5" spans="2:12" x14ac:dyDescent="0.2">
      <c r="B5" s="4"/>
      <c r="D5" s="1"/>
      <c r="G5" s="5"/>
      <c r="J5" t="s">
        <v>3</v>
      </c>
      <c r="K5" s="3">
        <f>(10269.5+69.7)*1.17</f>
        <v>12096.864</v>
      </c>
      <c r="L5" t="s">
        <v>14</v>
      </c>
    </row>
    <row r="6" spans="2:12" x14ac:dyDescent="0.2">
      <c r="B6" s="4"/>
      <c r="D6" s="1"/>
      <c r="G6" s="5"/>
      <c r="J6" t="s">
        <v>4</v>
      </c>
      <c r="K6" s="3">
        <v>0</v>
      </c>
      <c r="L6" t="s">
        <v>14</v>
      </c>
    </row>
    <row r="7" spans="2:12" x14ac:dyDescent="0.2">
      <c r="B7" s="4"/>
      <c r="D7" s="1"/>
      <c r="G7" s="5"/>
      <c r="J7" t="s">
        <v>5</v>
      </c>
      <c r="K7" s="3">
        <f>K4+K6-K5</f>
        <v>15815.535999999998</v>
      </c>
    </row>
    <row r="8" spans="2:12" x14ac:dyDescent="0.2">
      <c r="B8" s="14"/>
      <c r="C8" s="15"/>
      <c r="D8" s="12" t="s">
        <v>10</v>
      </c>
      <c r="E8" s="15"/>
      <c r="F8" s="15"/>
      <c r="G8" s="16"/>
    </row>
    <row r="9" spans="2:12" x14ac:dyDescent="0.2">
      <c r="B9" s="25" t="s">
        <v>87</v>
      </c>
      <c r="C9" t="s">
        <v>34</v>
      </c>
      <c r="D9" s="1" t="s">
        <v>17</v>
      </c>
      <c r="E9" t="s">
        <v>13</v>
      </c>
      <c r="F9" t="s">
        <v>91</v>
      </c>
      <c r="G9" s="5"/>
      <c r="J9" t="s">
        <v>18</v>
      </c>
      <c r="K9">
        <v>1.17</v>
      </c>
    </row>
    <row r="10" spans="2:12" x14ac:dyDescent="0.2">
      <c r="B10" s="4" t="s">
        <v>74</v>
      </c>
      <c r="C10" t="s">
        <v>16</v>
      </c>
      <c r="D10" s="1" t="s">
        <v>17</v>
      </c>
      <c r="E10" t="s">
        <v>75</v>
      </c>
      <c r="F10" t="s">
        <v>70</v>
      </c>
      <c r="G10" s="5"/>
    </row>
    <row r="11" spans="2:12" x14ac:dyDescent="0.2">
      <c r="B11" s="4" t="s">
        <v>69</v>
      </c>
      <c r="C11" t="s">
        <v>71</v>
      </c>
      <c r="D11" s="1" t="s">
        <v>17</v>
      </c>
      <c r="E11" t="s">
        <v>76</v>
      </c>
      <c r="F11" t="s">
        <v>70</v>
      </c>
      <c r="G11" s="5"/>
      <c r="J11" t="s">
        <v>79</v>
      </c>
    </row>
    <row r="12" spans="2:12" x14ac:dyDescent="0.2">
      <c r="B12" s="4" t="s">
        <v>37</v>
      </c>
      <c r="C12" t="s">
        <v>34</v>
      </c>
      <c r="D12" s="1"/>
      <c r="G12" s="5"/>
      <c r="J12" t="s">
        <v>80</v>
      </c>
    </row>
    <row r="13" spans="2:12" x14ac:dyDescent="0.2">
      <c r="B13" s="4" t="s">
        <v>68</v>
      </c>
      <c r="C13" t="s">
        <v>34</v>
      </c>
      <c r="D13" s="1" t="s">
        <v>77</v>
      </c>
      <c r="F13" s="22">
        <v>1</v>
      </c>
      <c r="G13" s="5"/>
      <c r="J13" t="s">
        <v>81</v>
      </c>
    </row>
    <row r="14" spans="2:12" x14ac:dyDescent="0.2">
      <c r="B14" s="4" t="s">
        <v>72</v>
      </c>
      <c r="C14" t="s">
        <v>73</v>
      </c>
      <c r="D14" s="1" t="s">
        <v>17</v>
      </c>
      <c r="G14" s="5"/>
      <c r="J14" t="s">
        <v>82</v>
      </c>
    </row>
    <row r="15" spans="2:12" x14ac:dyDescent="0.2">
      <c r="B15" s="6"/>
      <c r="C15" s="7"/>
      <c r="D15" s="8"/>
      <c r="E15" s="7"/>
      <c r="F15" s="7"/>
      <c r="G15" s="9"/>
      <c r="J15" t="s">
        <v>83</v>
      </c>
    </row>
    <row r="16" spans="2:12" x14ac:dyDescent="0.2">
      <c r="D16" s="1"/>
      <c r="J16" t="s">
        <v>84</v>
      </c>
    </row>
    <row r="17" spans="2:4" x14ac:dyDescent="0.2">
      <c r="B17" t="s">
        <v>78</v>
      </c>
      <c r="D17" s="1"/>
    </row>
    <row r="18" spans="2:4" x14ac:dyDescent="0.2">
      <c r="B18" t="s">
        <v>86</v>
      </c>
      <c r="D18" s="1"/>
    </row>
    <row r="19" spans="2:4" x14ac:dyDescent="0.2">
      <c r="D19" s="1"/>
    </row>
    <row r="20" spans="2:4" x14ac:dyDescent="0.2">
      <c r="D20" s="1"/>
    </row>
    <row r="21" spans="2:4" x14ac:dyDescent="0.2">
      <c r="D21" s="1"/>
    </row>
    <row r="22" spans="2:4" x14ac:dyDescent="0.2">
      <c r="D22" s="1"/>
    </row>
    <row r="23" spans="2:4" x14ac:dyDescent="0.2">
      <c r="D23" s="1"/>
    </row>
    <row r="24" spans="2:4" x14ac:dyDescent="0.2">
      <c r="D24" s="1"/>
    </row>
  </sheetData>
  <hyperlinks>
    <hyperlink ref="B9" location="'BNT327'!A1" display="BNT327 (pumitamig)" xr:uid="{292625CD-F85E-4CD3-A831-B29D008540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86A-A275-4A62-B7E2-E99B1B3B7D26}">
  <dimension ref="A1:DL30"/>
  <sheetViews>
    <sheetView zoomScale="130" zoomScaleNormal="130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V18" sqref="V18"/>
    </sheetView>
  </sheetViews>
  <sheetFormatPr defaultRowHeight="12.75" x14ac:dyDescent="0.2"/>
  <cols>
    <col min="1" max="1" width="5" style="3" bestFit="1" customWidth="1"/>
    <col min="2" max="2" width="18.140625" style="3" bestFit="1" customWidth="1"/>
    <col min="3" max="16384" width="9.140625" style="3"/>
  </cols>
  <sheetData>
    <row r="1" spans="1:116" x14ac:dyDescent="0.2">
      <c r="A1" s="20" t="s">
        <v>19</v>
      </c>
    </row>
    <row r="2" spans="1:116" x14ac:dyDescent="0.2"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14</v>
      </c>
      <c r="I2" s="3" t="s">
        <v>60</v>
      </c>
      <c r="J2" s="3" t="s">
        <v>61</v>
      </c>
      <c r="L2" s="21">
        <v>2023</v>
      </c>
      <c r="M2" s="21">
        <f>L2+1</f>
        <v>2024</v>
      </c>
      <c r="N2" s="21">
        <f t="shared" ref="N2:S2" si="0">M2+1</f>
        <v>2025</v>
      </c>
      <c r="O2" s="21">
        <f t="shared" si="0"/>
        <v>2026</v>
      </c>
      <c r="P2" s="21">
        <f t="shared" si="0"/>
        <v>2027</v>
      </c>
      <c r="Q2" s="21">
        <f t="shared" si="0"/>
        <v>2028</v>
      </c>
      <c r="R2" s="21">
        <f t="shared" si="0"/>
        <v>2029</v>
      </c>
      <c r="S2" s="21">
        <f t="shared" si="0"/>
        <v>2030</v>
      </c>
    </row>
    <row r="3" spans="1:116" s="19" customFormat="1" x14ac:dyDescent="0.2">
      <c r="A3" s="3"/>
      <c r="B3" s="19" t="s">
        <v>20</v>
      </c>
      <c r="N3" s="19">
        <v>2000</v>
      </c>
      <c r="O3" s="19">
        <v>0</v>
      </c>
      <c r="P3" s="19">
        <f t="shared" ref="P3:S3" si="1">O3*1.04</f>
        <v>0</v>
      </c>
      <c r="Q3" s="19">
        <f t="shared" si="1"/>
        <v>0</v>
      </c>
      <c r="R3" s="19">
        <f t="shared" si="1"/>
        <v>0</v>
      </c>
      <c r="S3" s="19">
        <f t="shared" si="1"/>
        <v>0</v>
      </c>
    </row>
    <row r="4" spans="1:116" x14ac:dyDescent="0.2">
      <c r="B4" s="3" t="s">
        <v>46</v>
      </c>
    </row>
    <row r="5" spans="1:116" x14ac:dyDescent="0.2">
      <c r="B5" s="3" t="s">
        <v>45</v>
      </c>
      <c r="N5" s="3">
        <f>N3-N4</f>
        <v>2000</v>
      </c>
      <c r="O5" s="3">
        <f t="shared" ref="O5:S5" si="2">O3-O4</f>
        <v>0</v>
      </c>
      <c r="P5" s="3">
        <f t="shared" si="2"/>
        <v>0</v>
      </c>
      <c r="Q5" s="3">
        <f t="shared" si="2"/>
        <v>0</v>
      </c>
      <c r="R5" s="3">
        <f t="shared" si="2"/>
        <v>0</v>
      </c>
      <c r="S5" s="3">
        <f t="shared" si="2"/>
        <v>0</v>
      </c>
    </row>
    <row r="6" spans="1:116" x14ac:dyDescent="0.2">
      <c r="B6" s="3" t="s">
        <v>47</v>
      </c>
      <c r="N6" s="3">
        <v>2700</v>
      </c>
    </row>
    <row r="7" spans="1:116" x14ac:dyDescent="0.2">
      <c r="B7" s="3" t="s">
        <v>48</v>
      </c>
      <c r="N7" s="3">
        <v>700</v>
      </c>
      <c r="O7" s="3">
        <f>N7*1.02</f>
        <v>714</v>
      </c>
      <c r="P7" s="3">
        <f t="shared" ref="P7:S7" si="3">O7*1.02</f>
        <v>728.28</v>
      </c>
      <c r="Q7" s="3">
        <f t="shared" si="3"/>
        <v>742.84559999999999</v>
      </c>
      <c r="R7" s="3">
        <f t="shared" si="3"/>
        <v>757.70251199999996</v>
      </c>
      <c r="S7" s="3">
        <f t="shared" si="3"/>
        <v>772.85656224000002</v>
      </c>
    </row>
    <row r="8" spans="1:116" x14ac:dyDescent="0.2">
      <c r="B8" s="3" t="s">
        <v>50</v>
      </c>
      <c r="N8" s="3">
        <f>SUM(N6:N7)</f>
        <v>3400</v>
      </c>
      <c r="O8" s="3">
        <f t="shared" ref="O8:S8" si="4">SUM(O6:O7)</f>
        <v>714</v>
      </c>
      <c r="P8" s="3">
        <f t="shared" si="4"/>
        <v>728.28</v>
      </c>
      <c r="Q8" s="3">
        <f t="shared" si="4"/>
        <v>742.84559999999999</v>
      </c>
      <c r="R8" s="3">
        <f t="shared" si="4"/>
        <v>757.70251199999996</v>
      </c>
      <c r="S8" s="3">
        <f t="shared" si="4"/>
        <v>772.85656224000002</v>
      </c>
    </row>
    <row r="9" spans="1:116" x14ac:dyDescent="0.2">
      <c r="B9" s="3" t="s">
        <v>51</v>
      </c>
      <c r="N9" s="3">
        <f>N5-N8</f>
        <v>-1400</v>
      </c>
      <c r="O9" s="3">
        <f t="shared" ref="O9:S9" si="5">O5-O8</f>
        <v>-714</v>
      </c>
      <c r="P9" s="3">
        <f t="shared" si="5"/>
        <v>-728.28</v>
      </c>
      <c r="Q9" s="3">
        <f t="shared" si="5"/>
        <v>-742.84559999999999</v>
      </c>
      <c r="R9" s="3">
        <f t="shared" si="5"/>
        <v>-757.70251199999996</v>
      </c>
      <c r="S9" s="3">
        <f t="shared" si="5"/>
        <v>-772.85656224000002</v>
      </c>
    </row>
    <row r="10" spans="1:116" x14ac:dyDescent="0.2">
      <c r="B10" s="3" t="s">
        <v>52</v>
      </c>
    </row>
    <row r="11" spans="1:116" x14ac:dyDescent="0.2">
      <c r="B11" s="3" t="s">
        <v>53</v>
      </c>
      <c r="N11" s="3">
        <f>N9+N10</f>
        <v>-1400</v>
      </c>
      <c r="O11" s="3">
        <f t="shared" ref="O11:S11" si="6">O9+O10</f>
        <v>-714</v>
      </c>
      <c r="P11" s="3">
        <f t="shared" si="6"/>
        <v>-728.28</v>
      </c>
      <c r="Q11" s="3">
        <f t="shared" si="6"/>
        <v>-742.84559999999999</v>
      </c>
      <c r="R11" s="3">
        <f t="shared" si="6"/>
        <v>-757.70251199999996</v>
      </c>
      <c r="S11" s="3">
        <f t="shared" si="6"/>
        <v>-772.85656224000002</v>
      </c>
    </row>
    <row r="12" spans="1:116" x14ac:dyDescent="0.2">
      <c r="B12" s="3" t="s">
        <v>54</v>
      </c>
    </row>
    <row r="13" spans="1:116" x14ac:dyDescent="0.2">
      <c r="B13" s="3" t="s">
        <v>55</v>
      </c>
      <c r="N13" s="3">
        <f>N11-N12</f>
        <v>-1400</v>
      </c>
      <c r="O13" s="3">
        <f t="shared" ref="O13:S13" si="7">O11-O12</f>
        <v>-714</v>
      </c>
      <c r="P13" s="3">
        <f t="shared" si="7"/>
        <v>-728.28</v>
      </c>
      <c r="Q13" s="3">
        <f t="shared" si="7"/>
        <v>-742.84559999999999</v>
      </c>
      <c r="R13" s="3">
        <f t="shared" si="7"/>
        <v>-757.70251199999996</v>
      </c>
      <c r="S13" s="3">
        <f t="shared" si="7"/>
        <v>-772.85656224000002</v>
      </c>
      <c r="T13" s="3">
        <f t="shared" ref="T13:AY13" si="8">S13*(1+$V$16)</f>
        <v>-765.12799661760005</v>
      </c>
      <c r="U13" s="3">
        <f t="shared" si="8"/>
        <v>-757.476716651424</v>
      </c>
      <c r="V13" s="3">
        <f t="shared" si="8"/>
        <v>-749.90194948490978</v>
      </c>
      <c r="W13" s="3">
        <f t="shared" si="8"/>
        <v>-742.40292999006067</v>
      </c>
      <c r="X13" s="3">
        <f t="shared" si="8"/>
        <v>-734.97890069016</v>
      </c>
      <c r="Y13" s="3">
        <f t="shared" si="8"/>
        <v>-727.62911168325843</v>
      </c>
      <c r="Z13" s="3">
        <f t="shared" si="8"/>
        <v>-720.35282056642586</v>
      </c>
      <c r="AA13" s="3">
        <f t="shared" si="8"/>
        <v>-713.14929236076159</v>
      </c>
      <c r="AB13" s="3">
        <f t="shared" si="8"/>
        <v>-706.01779943715394</v>
      </c>
      <c r="AC13" s="3">
        <f t="shared" si="8"/>
        <v>-698.9576214427824</v>
      </c>
      <c r="AD13" s="3">
        <f t="shared" si="8"/>
        <v>-691.96804522835453</v>
      </c>
      <c r="AE13" s="3">
        <f t="shared" si="8"/>
        <v>-685.04836477607103</v>
      </c>
      <c r="AF13" s="3">
        <f t="shared" si="8"/>
        <v>-678.19788112831031</v>
      </c>
      <c r="AG13" s="3">
        <f t="shared" si="8"/>
        <v>-671.41590231702719</v>
      </c>
      <c r="AH13" s="3">
        <f t="shared" si="8"/>
        <v>-664.70174329385691</v>
      </c>
      <c r="AI13" s="3">
        <f t="shared" si="8"/>
        <v>-658.05472586091832</v>
      </c>
      <c r="AJ13" s="3">
        <f t="shared" si="8"/>
        <v>-651.47417860230917</v>
      </c>
      <c r="AK13" s="3">
        <f t="shared" si="8"/>
        <v>-644.95943681628603</v>
      </c>
      <c r="AL13" s="3">
        <f t="shared" si="8"/>
        <v>-638.50984244812321</v>
      </c>
      <c r="AM13" s="3">
        <f t="shared" si="8"/>
        <v>-632.12474402364194</v>
      </c>
      <c r="AN13" s="3">
        <f t="shared" si="8"/>
        <v>-625.80349658340549</v>
      </c>
      <c r="AO13" s="3">
        <f t="shared" si="8"/>
        <v>-619.54546161757139</v>
      </c>
      <c r="AP13" s="3">
        <f t="shared" si="8"/>
        <v>-613.35000700139562</v>
      </c>
      <c r="AQ13" s="3">
        <f t="shared" si="8"/>
        <v>-607.21650693138167</v>
      </c>
      <c r="AR13" s="3">
        <f t="shared" si="8"/>
        <v>-601.1443418620679</v>
      </c>
      <c r="AS13" s="3">
        <f t="shared" si="8"/>
        <v>-595.13289844344717</v>
      </c>
      <c r="AT13" s="3">
        <f t="shared" si="8"/>
        <v>-589.18156945901274</v>
      </c>
      <c r="AU13" s="3">
        <f t="shared" si="8"/>
        <v>-583.28975376442258</v>
      </c>
      <c r="AV13" s="3">
        <f t="shared" si="8"/>
        <v>-577.45685622677831</v>
      </c>
      <c r="AW13" s="3">
        <f t="shared" si="8"/>
        <v>-571.68228766451057</v>
      </c>
      <c r="AX13" s="3">
        <f t="shared" si="8"/>
        <v>-565.96546478786547</v>
      </c>
      <c r="AY13" s="3">
        <f t="shared" si="8"/>
        <v>-560.30581013998676</v>
      </c>
      <c r="AZ13" s="3">
        <f t="shared" ref="AZ13:CE13" si="9">AY13*(1+$V$16)</f>
        <v>-554.70275203858694</v>
      </c>
      <c r="BA13" s="3">
        <f t="shared" si="9"/>
        <v>-549.15572451820105</v>
      </c>
      <c r="BB13" s="3">
        <f t="shared" si="9"/>
        <v>-543.66416727301907</v>
      </c>
      <c r="BC13" s="3">
        <f t="shared" si="9"/>
        <v>-538.22752560028891</v>
      </c>
      <c r="BD13" s="3">
        <f t="shared" si="9"/>
        <v>-532.845250344286</v>
      </c>
      <c r="BE13" s="3">
        <f t="shared" si="9"/>
        <v>-527.51679784084308</v>
      </c>
      <c r="BF13" s="3">
        <f t="shared" si="9"/>
        <v>-522.24162986243459</v>
      </c>
      <c r="BG13" s="3">
        <f t="shared" si="9"/>
        <v>-517.01921356381024</v>
      </c>
      <c r="BH13" s="3">
        <f t="shared" si="9"/>
        <v>-511.84902142817214</v>
      </c>
      <c r="BI13" s="3">
        <f t="shared" si="9"/>
        <v>-506.7305312138904</v>
      </c>
      <c r="BJ13" s="3">
        <f t="shared" si="9"/>
        <v>-501.6632259017515</v>
      </c>
      <c r="BK13" s="3">
        <f t="shared" si="9"/>
        <v>-496.64659364273399</v>
      </c>
      <c r="BL13" s="3">
        <f t="shared" si="9"/>
        <v>-491.68012770630662</v>
      </c>
      <c r="BM13" s="3">
        <f t="shared" si="9"/>
        <v>-486.76332642924353</v>
      </c>
      <c r="BN13" s="3">
        <f t="shared" si="9"/>
        <v>-481.89569316495107</v>
      </c>
      <c r="BO13" s="3">
        <f t="shared" si="9"/>
        <v>-477.07673623330157</v>
      </c>
      <c r="BP13" s="3">
        <f t="shared" si="9"/>
        <v>-472.30596887096857</v>
      </c>
      <c r="BQ13" s="3">
        <f t="shared" si="9"/>
        <v>-467.5829091822589</v>
      </c>
      <c r="BR13" s="3">
        <f t="shared" si="9"/>
        <v>-462.9070800904363</v>
      </c>
      <c r="BS13" s="3">
        <f t="shared" si="9"/>
        <v>-458.27800928953195</v>
      </c>
      <c r="BT13" s="3">
        <f t="shared" si="9"/>
        <v>-453.6952291966366</v>
      </c>
      <c r="BU13" s="3">
        <f t="shared" si="9"/>
        <v>-449.15827690467023</v>
      </c>
      <c r="BV13" s="3">
        <f t="shared" si="9"/>
        <v>-444.66669413562352</v>
      </c>
      <c r="BW13" s="3">
        <f t="shared" si="9"/>
        <v>-440.22002719426729</v>
      </c>
      <c r="BX13" s="3">
        <f t="shared" si="9"/>
        <v>-435.81782692232463</v>
      </c>
      <c r="BY13" s="3">
        <f t="shared" si="9"/>
        <v>-431.4596486531014</v>
      </c>
      <c r="BZ13" s="3">
        <f t="shared" si="9"/>
        <v>-427.14505216657039</v>
      </c>
      <c r="CA13" s="3">
        <f t="shared" si="9"/>
        <v>-422.87360164490468</v>
      </c>
      <c r="CB13" s="3">
        <f t="shared" si="9"/>
        <v>-418.64486562845565</v>
      </c>
      <c r="CC13" s="3">
        <f t="shared" si="9"/>
        <v>-414.45841697217111</v>
      </c>
      <c r="CD13" s="3">
        <f t="shared" si="9"/>
        <v>-410.31383280244938</v>
      </c>
      <c r="CE13" s="3">
        <f t="shared" si="9"/>
        <v>-406.21069447442488</v>
      </c>
      <c r="CF13" s="3">
        <f t="shared" ref="CF13:DL13" si="10">CE13*(1+$V$16)</f>
        <v>-402.14858752968064</v>
      </c>
      <c r="CG13" s="3">
        <f t="shared" si="10"/>
        <v>-398.12710165438381</v>
      </c>
      <c r="CH13" s="3">
        <f t="shared" si="10"/>
        <v>-394.14583063783999</v>
      </c>
      <c r="CI13" s="3">
        <f t="shared" si="10"/>
        <v>-390.20437233146157</v>
      </c>
      <c r="CJ13" s="3">
        <f t="shared" si="10"/>
        <v>-386.30232860814698</v>
      </c>
      <c r="CK13" s="3">
        <f t="shared" si="10"/>
        <v>-382.43930532206548</v>
      </c>
      <c r="CL13" s="3">
        <f t="shared" si="10"/>
        <v>-378.61491226884482</v>
      </c>
      <c r="CM13" s="3">
        <f t="shared" si="10"/>
        <v>-374.82876314615635</v>
      </c>
      <c r="CN13" s="3">
        <f t="shared" si="10"/>
        <v>-371.0804755146948</v>
      </c>
      <c r="CO13" s="3">
        <f t="shared" si="10"/>
        <v>-367.36967075954783</v>
      </c>
      <c r="CP13" s="3">
        <f t="shared" si="10"/>
        <v>-363.69597405195236</v>
      </c>
      <c r="CQ13" s="3">
        <f t="shared" si="10"/>
        <v>-360.05901431143286</v>
      </c>
      <c r="CR13" s="3">
        <f t="shared" si="10"/>
        <v>-356.45842416831852</v>
      </c>
      <c r="CS13" s="3">
        <f t="shared" si="10"/>
        <v>-352.89383992663534</v>
      </c>
      <c r="CT13" s="3">
        <f t="shared" si="10"/>
        <v>-349.364901527369</v>
      </c>
      <c r="CU13" s="3">
        <f t="shared" si="10"/>
        <v>-345.87125251209528</v>
      </c>
      <c r="CV13" s="3">
        <f t="shared" si="10"/>
        <v>-342.41253998697431</v>
      </c>
      <c r="CW13" s="3">
        <f t="shared" si="10"/>
        <v>-338.98841458710456</v>
      </c>
      <c r="CX13" s="3">
        <f t="shared" si="10"/>
        <v>-335.59853044123349</v>
      </c>
      <c r="CY13" s="3">
        <f t="shared" si="10"/>
        <v>-332.24254513682115</v>
      </c>
      <c r="CZ13" s="3">
        <f t="shared" si="10"/>
        <v>-328.92011968545296</v>
      </c>
      <c r="DA13" s="3">
        <f t="shared" si="10"/>
        <v>-325.63091848859841</v>
      </c>
      <c r="DB13" s="3">
        <f t="shared" si="10"/>
        <v>-322.37460930371242</v>
      </c>
      <c r="DC13" s="3">
        <f t="shared" si="10"/>
        <v>-319.15086321067531</v>
      </c>
      <c r="DD13" s="3">
        <f t="shared" si="10"/>
        <v>-315.95935457856854</v>
      </c>
      <c r="DE13" s="3">
        <f t="shared" si="10"/>
        <v>-312.79976103278284</v>
      </c>
      <c r="DF13" s="3">
        <f t="shared" si="10"/>
        <v>-309.671763422455</v>
      </c>
      <c r="DG13" s="3">
        <f t="shared" si="10"/>
        <v>-306.57504578823045</v>
      </c>
      <c r="DH13" s="3">
        <f t="shared" si="10"/>
        <v>-303.50929533034815</v>
      </c>
      <c r="DI13" s="3">
        <f t="shared" si="10"/>
        <v>-300.47420237704466</v>
      </c>
      <c r="DJ13" s="3">
        <f t="shared" si="10"/>
        <v>-297.4694603532742</v>
      </c>
      <c r="DK13" s="3">
        <f t="shared" si="10"/>
        <v>-294.49476574974148</v>
      </c>
      <c r="DL13" s="3">
        <f t="shared" si="10"/>
        <v>-291.54981809224404</v>
      </c>
    </row>
    <row r="14" spans="1:116" x14ac:dyDescent="0.2">
      <c r="B14" s="3" t="s">
        <v>1</v>
      </c>
    </row>
    <row r="15" spans="1:116" x14ac:dyDescent="0.2">
      <c r="B15" s="3" t="s">
        <v>56</v>
      </c>
      <c r="U15" s="3" t="s">
        <v>64</v>
      </c>
      <c r="V15" s="22">
        <v>0.02</v>
      </c>
    </row>
    <row r="16" spans="1:116" x14ac:dyDescent="0.2">
      <c r="U16" s="3" t="s">
        <v>66</v>
      </c>
      <c r="V16" s="22">
        <v>-0.01</v>
      </c>
    </row>
    <row r="17" spans="1:22" s="19" customFormat="1" x14ac:dyDescent="0.2">
      <c r="A17" s="3"/>
      <c r="B17" s="19" t="s">
        <v>57</v>
      </c>
      <c r="O17" s="23">
        <f>O3/N3-1</f>
        <v>-1</v>
      </c>
      <c r="P17" s="23" t="e">
        <f t="shared" ref="P17:S17" si="11">P3/O3-1</f>
        <v>#DIV/0!</v>
      </c>
      <c r="Q17" s="23" t="e">
        <f t="shared" si="11"/>
        <v>#DIV/0!</v>
      </c>
      <c r="R17" s="23" t="e">
        <f t="shared" si="11"/>
        <v>#DIV/0!</v>
      </c>
      <c r="S17" s="23" t="e">
        <f t="shared" si="11"/>
        <v>#DIV/0!</v>
      </c>
      <c r="U17" s="3" t="s">
        <v>63</v>
      </c>
      <c r="V17" s="22">
        <v>0.08</v>
      </c>
    </row>
    <row r="18" spans="1:22" x14ac:dyDescent="0.2">
      <c r="B18" s="3" t="s">
        <v>59</v>
      </c>
      <c r="O18" s="22">
        <f>O7/N7-1</f>
        <v>2.0000000000000018E-2</v>
      </c>
      <c r="P18" s="22">
        <f t="shared" ref="P18:S18" si="12">P7/O7-1</f>
        <v>2.0000000000000018E-2</v>
      </c>
      <c r="Q18" s="22">
        <f t="shared" si="12"/>
        <v>2.0000000000000018E-2</v>
      </c>
      <c r="R18" s="22">
        <f t="shared" si="12"/>
        <v>2.0000000000000018E-2</v>
      </c>
      <c r="S18" s="22">
        <f t="shared" si="12"/>
        <v>2.0000000000000018E-2</v>
      </c>
      <c r="U18" s="3" t="s">
        <v>62</v>
      </c>
      <c r="V18" s="3">
        <f>NPV(V17,O13:XFD13)+Main!K5-Main!K6+'BNT327'!E34</f>
        <v>27086.288535542022</v>
      </c>
    </row>
    <row r="19" spans="1:22" x14ac:dyDescent="0.2">
      <c r="B19" s="3" t="s">
        <v>44</v>
      </c>
      <c r="U19" s="3" t="s">
        <v>65</v>
      </c>
      <c r="V19" s="2">
        <f>V18/Main!K3</f>
        <v>109.2189053852501</v>
      </c>
    </row>
    <row r="20" spans="1:22" x14ac:dyDescent="0.2">
      <c r="V20" s="22">
        <f>V19/Main!K2-1</f>
        <v>-2.9596575875165732E-2</v>
      </c>
    </row>
    <row r="21" spans="1:22" x14ac:dyDescent="0.2">
      <c r="B21" s="3" t="s">
        <v>58</v>
      </c>
    </row>
    <row r="22" spans="1:22" x14ac:dyDescent="0.2">
      <c r="B22" s="3" t="s">
        <v>3</v>
      </c>
    </row>
    <row r="24" spans="1:22" x14ac:dyDescent="0.2">
      <c r="B24" s="3" t="s">
        <v>4</v>
      </c>
    </row>
    <row r="30" spans="1:22" x14ac:dyDescent="0.2">
      <c r="B30" s="3" t="s">
        <v>49</v>
      </c>
      <c r="N30" s="3">
        <v>300</v>
      </c>
    </row>
  </sheetData>
  <hyperlinks>
    <hyperlink ref="A1" location="Main!A1" display="Main" xr:uid="{3D62C347-62CB-4666-B0D8-272B78664A3B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A1ED-EB7C-48B3-8F75-7769EF950B22}">
  <dimension ref="A1:E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RowHeight="12.75" x14ac:dyDescent="0.2"/>
  <cols>
    <col min="1" max="1" width="5" bestFit="1" customWidth="1"/>
    <col min="3" max="3" width="11" customWidth="1"/>
  </cols>
  <sheetData>
    <row r="1" spans="1:5" x14ac:dyDescent="0.2">
      <c r="A1" s="17" t="s">
        <v>19</v>
      </c>
    </row>
    <row r="2" spans="1:5" x14ac:dyDescent="0.2">
      <c r="B2" t="s">
        <v>32</v>
      </c>
      <c r="C2" t="s">
        <v>27</v>
      </c>
      <c r="D2" t="s">
        <v>29</v>
      </c>
      <c r="E2" t="s">
        <v>33</v>
      </c>
    </row>
  </sheetData>
  <hyperlinks>
    <hyperlink ref="A1" location="Main!A1" display="Main" xr:uid="{DCA98041-AFAD-4AE7-BF45-3AA7D306DD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C8D1-67A9-4875-B927-FED0113BD129}">
  <dimension ref="A1:E2"/>
  <sheetViews>
    <sheetView zoomScale="130" zoomScaleNormal="130" workbookViewId="0">
      <pane ySplit="2" topLeftCell="A3" activePane="bottomLeft" state="frozen"/>
      <selection pane="bottomLeft" activeCell="D16" sqref="D16"/>
    </sheetView>
  </sheetViews>
  <sheetFormatPr defaultRowHeight="12.75" x14ac:dyDescent="0.2"/>
  <cols>
    <col min="1" max="1" width="5" bestFit="1" customWidth="1"/>
    <col min="3" max="3" width="9.42578125" bestFit="1" customWidth="1"/>
  </cols>
  <sheetData>
    <row r="1" spans="1:5" x14ac:dyDescent="0.2">
      <c r="A1" s="17" t="s">
        <v>19</v>
      </c>
    </row>
    <row r="2" spans="1:5" x14ac:dyDescent="0.2">
      <c r="B2" t="s">
        <v>26</v>
      </c>
      <c r="C2" t="s">
        <v>27</v>
      </c>
      <c r="D2" t="s">
        <v>28</v>
      </c>
      <c r="E2" t="s">
        <v>29</v>
      </c>
    </row>
  </sheetData>
  <hyperlinks>
    <hyperlink ref="A1" location="Main!A1" display="Main" xr:uid="{C6C1849D-DB1B-4E5B-8077-8309EF48F6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0A3-124A-434A-B7C1-F2607F32C7BF}">
  <dimension ref="A1:Q37"/>
  <sheetViews>
    <sheetView tabSelected="1" zoomScale="160" zoomScaleNormal="160" workbookViewId="0">
      <selection activeCell="E24" sqref="E24"/>
    </sheetView>
  </sheetViews>
  <sheetFormatPr defaultRowHeight="12.75" x14ac:dyDescent="0.2"/>
  <cols>
    <col min="1" max="1" width="5" bestFit="1" customWidth="1"/>
    <col min="2" max="2" width="15" bestFit="1" customWidth="1"/>
    <col min="3" max="3" width="13.85546875" bestFit="1" customWidth="1"/>
    <col min="5" max="5" width="11.140625" bestFit="1" customWidth="1"/>
  </cols>
  <sheetData>
    <row r="1" spans="1:3" x14ac:dyDescent="0.2">
      <c r="A1" s="17" t="s">
        <v>19</v>
      </c>
    </row>
    <row r="2" spans="1:3" x14ac:dyDescent="0.2">
      <c r="B2" t="s">
        <v>21</v>
      </c>
      <c r="C2" t="s">
        <v>15</v>
      </c>
    </row>
    <row r="3" spans="1:3" x14ac:dyDescent="0.2">
      <c r="B3" t="s">
        <v>22</v>
      </c>
      <c r="C3" t="s">
        <v>88</v>
      </c>
    </row>
    <row r="4" spans="1:3" x14ac:dyDescent="0.2">
      <c r="B4" t="s">
        <v>7</v>
      </c>
    </row>
    <row r="5" spans="1:3" x14ac:dyDescent="0.2">
      <c r="B5" t="s">
        <v>9</v>
      </c>
      <c r="C5" t="s">
        <v>30</v>
      </c>
    </row>
    <row r="6" spans="1:3" x14ac:dyDescent="0.2">
      <c r="B6" t="s">
        <v>25</v>
      </c>
    </row>
    <row r="7" spans="1:3" x14ac:dyDescent="0.2">
      <c r="B7" t="s">
        <v>24</v>
      </c>
    </row>
    <row r="8" spans="1:3" x14ac:dyDescent="0.2">
      <c r="B8" t="s">
        <v>11</v>
      </c>
      <c r="C8" t="s">
        <v>38</v>
      </c>
    </row>
    <row r="9" spans="1:3" x14ac:dyDescent="0.2">
      <c r="B9" t="s">
        <v>23</v>
      </c>
    </row>
    <row r="10" spans="1:3" x14ac:dyDescent="0.2">
      <c r="C10" s="18" t="s">
        <v>89</v>
      </c>
    </row>
    <row r="11" spans="1:3" x14ac:dyDescent="0.2">
      <c r="C11" t="s">
        <v>90</v>
      </c>
    </row>
    <row r="14" spans="1:3" x14ac:dyDescent="0.2">
      <c r="C14" s="18" t="s">
        <v>31</v>
      </c>
    </row>
    <row r="19" spans="3:17" x14ac:dyDescent="0.2">
      <c r="C19" s="18" t="s">
        <v>36</v>
      </c>
    </row>
    <row r="20" spans="3:17" x14ac:dyDescent="0.2">
      <c r="C20" t="s">
        <v>35</v>
      </c>
    </row>
    <row r="24" spans="3:17" x14ac:dyDescent="0.2">
      <c r="C24" t="s">
        <v>67</v>
      </c>
    </row>
    <row r="25" spans="3:17" x14ac:dyDescent="0.2">
      <c r="C25" s="3">
        <f>2000+7600</f>
        <v>9600</v>
      </c>
    </row>
    <row r="28" spans="3:17" x14ac:dyDescent="0.2">
      <c r="C28">
        <v>2025</v>
      </c>
      <c r="D28">
        <f>C28+1</f>
        <v>2026</v>
      </c>
      <c r="E28">
        <f t="shared" ref="E28:Q28" si="0">D28+1</f>
        <v>2027</v>
      </c>
      <c r="F28">
        <f t="shared" si="0"/>
        <v>2028</v>
      </c>
      <c r="G28">
        <f t="shared" si="0"/>
        <v>2029</v>
      </c>
      <c r="H28">
        <f t="shared" si="0"/>
        <v>2030</v>
      </c>
      <c r="I28">
        <f t="shared" si="0"/>
        <v>2031</v>
      </c>
      <c r="J28">
        <f t="shared" si="0"/>
        <v>2032</v>
      </c>
      <c r="K28">
        <f t="shared" si="0"/>
        <v>2033</v>
      </c>
      <c r="L28">
        <f t="shared" si="0"/>
        <v>2034</v>
      </c>
      <c r="M28">
        <f t="shared" si="0"/>
        <v>2035</v>
      </c>
      <c r="N28">
        <f t="shared" si="0"/>
        <v>2036</v>
      </c>
      <c r="O28">
        <f t="shared" si="0"/>
        <v>2037</v>
      </c>
      <c r="P28">
        <f t="shared" si="0"/>
        <v>2038</v>
      </c>
      <c r="Q28">
        <f t="shared" si="0"/>
        <v>2039</v>
      </c>
    </row>
    <row r="31" spans="3:17" x14ac:dyDescent="0.2">
      <c r="C31">
        <v>0</v>
      </c>
      <c r="D31">
        <v>0</v>
      </c>
      <c r="E31">
        <f>M31/4</f>
        <v>4250</v>
      </c>
      <c r="F31">
        <f>E31*1.2</f>
        <v>5100</v>
      </c>
      <c r="G31">
        <f t="shared" ref="G31:L31" si="1">F31*1.2</f>
        <v>6120</v>
      </c>
      <c r="H31">
        <f t="shared" si="1"/>
        <v>7344</v>
      </c>
      <c r="I31">
        <f t="shared" si="1"/>
        <v>8812.7999999999993</v>
      </c>
      <c r="J31">
        <f t="shared" si="1"/>
        <v>10575.359999999999</v>
      </c>
      <c r="K31">
        <f t="shared" si="1"/>
        <v>12690.431999999999</v>
      </c>
      <c r="L31">
        <f t="shared" si="1"/>
        <v>15228.518399999997</v>
      </c>
      <c r="M31" s="3">
        <v>17000</v>
      </c>
      <c r="N31" s="3">
        <v>17000</v>
      </c>
      <c r="O31" s="3">
        <v>17000</v>
      </c>
      <c r="P31" s="3">
        <v>17000</v>
      </c>
      <c r="Q31" s="3">
        <v>17000</v>
      </c>
    </row>
    <row r="33" spans="3:5" x14ac:dyDescent="0.2">
      <c r="E33" s="22">
        <v>0.08</v>
      </c>
    </row>
    <row r="34" spans="3:5" x14ac:dyDescent="0.2">
      <c r="C34" t="s">
        <v>85</v>
      </c>
      <c r="E34" s="24">
        <f>NPV(E33,C31:M31)*0.5</f>
        <v>23732.215475148438</v>
      </c>
    </row>
    <row r="35" spans="3:5" x14ac:dyDescent="0.2">
      <c r="C35" s="22">
        <v>1</v>
      </c>
      <c r="D35" s="2">
        <v>205</v>
      </c>
    </row>
    <row r="36" spans="3:5" x14ac:dyDescent="0.2">
      <c r="C36" s="22">
        <v>0.5</v>
      </c>
      <c r="D36" s="2">
        <v>110</v>
      </c>
    </row>
    <row r="37" spans="3:5" x14ac:dyDescent="0.2">
      <c r="C37" s="22">
        <v>0</v>
      </c>
      <c r="D37" s="2">
        <v>15</v>
      </c>
    </row>
  </sheetData>
  <hyperlinks>
    <hyperlink ref="A1" location="Main!A1" display="Main" xr:uid="{360386FC-1D3E-4DAD-B13E-E7D39AAD1A07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IP</vt:lpstr>
      <vt:lpstr>Literature</vt:lpstr>
      <vt:lpstr>BNT327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2025-08-19T03:02:24Z</dcterms:created>
  <dcterms:modified xsi:type="dcterms:W3CDTF">2025-08-26T03:18:28Z</dcterms:modified>
</cp:coreProperties>
</file>