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F6F1707-FE7F-4F01-8EE6-88CE77A18342}" xr6:coauthVersionLast="47" xr6:coauthVersionMax="47" xr10:uidLastSave="{00000000-0000-0000-0000-000000000000}"/>
  <bookViews>
    <workbookView xWindow="7530" yWindow="660" windowWidth="22200" windowHeight="14685" activeTab="4" xr2:uid="{CC150222-A64E-41A9-970B-115CAE7D1BCE}"/>
  </bookViews>
  <sheets>
    <sheet name="Main" sheetId="1" r:id="rId1"/>
    <sheet name="Model" sheetId="2" r:id="rId2"/>
    <sheet name="IP" sheetId="4" r:id="rId3"/>
    <sheet name="Literature" sheetId="3" r:id="rId4"/>
    <sheet name="Keytru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R5" i="2"/>
  <c r="X22" i="2"/>
  <c r="P5" i="2"/>
  <c r="Q5" i="2" s="1"/>
  <c r="O5" i="2"/>
  <c r="P18" i="2"/>
  <c r="Q18" i="2"/>
  <c r="R18" i="2"/>
  <c r="S18" i="2"/>
  <c r="T18" i="2" s="1"/>
  <c r="U18" i="2" s="1"/>
  <c r="V18" i="2" s="1"/>
  <c r="W18" i="2" s="1"/>
  <c r="X18" i="2" s="1"/>
  <c r="O18" i="2"/>
  <c r="P19" i="2"/>
  <c r="Q19" i="2" s="1"/>
  <c r="R19" i="2" s="1"/>
  <c r="S19" i="2" s="1"/>
  <c r="T19" i="2" s="1"/>
  <c r="U19" i="2" s="1"/>
  <c r="V19" i="2" s="1"/>
  <c r="W19" i="2" s="1"/>
  <c r="X19" i="2" s="1"/>
  <c r="O19" i="2"/>
  <c r="P17" i="2"/>
  <c r="Q17" i="2" s="1"/>
  <c r="R17" i="2" s="1"/>
  <c r="S17" i="2" s="1"/>
  <c r="T17" i="2" s="1"/>
  <c r="U17" i="2" s="1"/>
  <c r="V17" i="2" s="1"/>
  <c r="W17" i="2" s="1"/>
  <c r="X17" i="2" s="1"/>
  <c r="P14" i="2"/>
  <c r="Q14" i="2"/>
  <c r="R14" i="2"/>
  <c r="S14" i="2"/>
  <c r="T14" i="2"/>
  <c r="U14" i="2"/>
  <c r="V14" i="2"/>
  <c r="W14" i="2" s="1"/>
  <c r="X14" i="2" s="1"/>
  <c r="O14" i="2"/>
  <c r="P11" i="2"/>
  <c r="Q11" i="2"/>
  <c r="R11" i="2"/>
  <c r="S11" i="2" s="1"/>
  <c r="T11" i="2" s="1"/>
  <c r="U11" i="2" s="1"/>
  <c r="V11" i="2" s="1"/>
  <c r="W11" i="2" s="1"/>
  <c r="X11" i="2" s="1"/>
  <c r="O11" i="2"/>
  <c r="P10" i="2"/>
  <c r="Q10" i="2"/>
  <c r="R10" i="2"/>
  <c r="S10" i="2"/>
  <c r="T10" i="2"/>
  <c r="U10" i="2" s="1"/>
  <c r="V10" i="2" s="1"/>
  <c r="W10" i="2" s="1"/>
  <c r="X10" i="2" s="1"/>
  <c r="O10" i="2"/>
  <c r="P9" i="2"/>
  <c r="Q9" i="2" s="1"/>
  <c r="R9" i="2" s="1"/>
  <c r="S9" i="2" s="1"/>
  <c r="T9" i="2" s="1"/>
  <c r="U9" i="2" s="1"/>
  <c r="V9" i="2" s="1"/>
  <c r="W9" i="2" s="1"/>
  <c r="X9" i="2" s="1"/>
  <c r="O9" i="2"/>
  <c r="O22" i="2"/>
  <c r="O26" i="2"/>
  <c r="J42" i="2"/>
  <c r="I42" i="2"/>
  <c r="H42" i="2"/>
  <c r="G42" i="2"/>
  <c r="N42" i="2"/>
  <c r="M42" i="2"/>
  <c r="T7" i="2" l="1"/>
  <c r="O13" i="2"/>
  <c r="P13" i="2" s="1"/>
  <c r="Q13" i="2" s="1"/>
  <c r="R13" i="2" s="1"/>
  <c r="O15" i="2"/>
  <c r="P15" i="2" s="1"/>
  <c r="Q15" i="2" s="1"/>
  <c r="R15" i="2" s="1"/>
  <c r="S15" i="2" s="1"/>
  <c r="O16" i="2"/>
  <c r="P16" i="2" s="1"/>
  <c r="Q16" i="2" s="1"/>
  <c r="R16" i="2" s="1"/>
  <c r="O17" i="2"/>
  <c r="O8" i="2"/>
  <c r="P8" i="2" s="1"/>
  <c r="Q8" i="2" s="1"/>
  <c r="O7" i="2"/>
  <c r="P7" i="2" s="1"/>
  <c r="Q7" i="2" s="1"/>
  <c r="R7" i="2" s="1"/>
  <c r="O93" i="2"/>
  <c r="P93" i="2" s="1"/>
  <c r="Q93" i="2" s="1"/>
  <c r="R93" i="2" s="1"/>
  <c r="S93" i="2" s="1"/>
  <c r="T93" i="2" s="1"/>
  <c r="U93" i="2" s="1"/>
  <c r="V93" i="2" s="1"/>
  <c r="W93" i="2" s="1"/>
  <c r="X93" i="2" s="1"/>
  <c r="O83" i="2"/>
  <c r="P83" i="2" s="1"/>
  <c r="Q83" i="2" s="1"/>
  <c r="R83" i="2" s="1"/>
  <c r="S83" i="2" s="1"/>
  <c r="T83" i="2" s="1"/>
  <c r="U83" i="2" s="1"/>
  <c r="V83" i="2" s="1"/>
  <c r="W83" i="2" s="1"/>
  <c r="X83" i="2" s="1"/>
  <c r="L98" i="2"/>
  <c r="N96" i="2"/>
  <c r="N98" i="2" s="1"/>
  <c r="M96" i="2"/>
  <c r="M95" i="2"/>
  <c r="N78" i="2"/>
  <c r="M78" i="2"/>
  <c r="L78" i="2"/>
  <c r="R8" i="2" l="1"/>
  <c r="S8" i="2" s="1"/>
  <c r="T8" i="2" s="1"/>
  <c r="T15" i="2"/>
  <c r="U15" i="2"/>
  <c r="M98" i="2"/>
  <c r="N54" i="2"/>
  <c r="N56" i="2" s="1"/>
  <c r="N60" i="2" s="1"/>
  <c r="M54" i="2"/>
  <c r="M56" i="2" s="1"/>
  <c r="M60" i="2" s="1"/>
  <c r="N70" i="2"/>
  <c r="M70" i="2"/>
  <c r="U8" i="2" l="1"/>
  <c r="V15" i="2"/>
  <c r="M71" i="2"/>
  <c r="M72" i="2" s="1"/>
  <c r="N71" i="2"/>
  <c r="N72" i="2" s="1"/>
  <c r="N14" i="2"/>
  <c r="M14" i="2"/>
  <c r="N12" i="2"/>
  <c r="O12" i="2" s="1"/>
  <c r="P12" i="2" s="1"/>
  <c r="Q12" i="2" s="1"/>
  <c r="R12" i="2" s="1"/>
  <c r="S12" i="2" s="1"/>
  <c r="T12" i="2" s="1"/>
  <c r="U12" i="2" s="1"/>
  <c r="V12" i="2" s="1"/>
  <c r="W12" i="2" s="1"/>
  <c r="M12" i="2"/>
  <c r="N11" i="2"/>
  <c r="M11" i="2"/>
  <c r="N10" i="2"/>
  <c r="M10" i="2"/>
  <c r="N9" i="2"/>
  <c r="M9" i="2"/>
  <c r="M6" i="2"/>
  <c r="N6" i="2"/>
  <c r="O6" i="2" s="1"/>
  <c r="N21" i="2"/>
  <c r="M21" i="2"/>
  <c r="H22" i="2"/>
  <c r="G44" i="2"/>
  <c r="E37" i="2"/>
  <c r="F37" i="2"/>
  <c r="G37" i="2"/>
  <c r="D37" i="2"/>
  <c r="G36" i="2"/>
  <c r="M27" i="2"/>
  <c r="N27" i="2"/>
  <c r="L27" i="2"/>
  <c r="L24" i="2"/>
  <c r="L39" i="2" s="1"/>
  <c r="D24" i="2"/>
  <c r="D39" i="2" s="1"/>
  <c r="E24" i="2"/>
  <c r="E39" i="2" s="1"/>
  <c r="F24" i="2"/>
  <c r="F39" i="2" s="1"/>
  <c r="D27" i="2"/>
  <c r="E27" i="2"/>
  <c r="F27" i="2"/>
  <c r="C27" i="2"/>
  <c r="C24" i="2"/>
  <c r="C39" i="2" s="1"/>
  <c r="G27" i="2"/>
  <c r="G24" i="2"/>
  <c r="G39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L6" i="1"/>
  <c r="L5" i="1"/>
  <c r="L4" i="1"/>
  <c r="L7" i="1" s="1"/>
  <c r="P22" i="2" l="1"/>
  <c r="V8" i="2"/>
  <c r="P6" i="2"/>
  <c r="W15" i="2"/>
  <c r="I22" i="2"/>
  <c r="H29" i="2"/>
  <c r="N22" i="2"/>
  <c r="M22" i="2"/>
  <c r="H36" i="2"/>
  <c r="H37" i="2"/>
  <c r="F28" i="2"/>
  <c r="F30" i="2" s="1"/>
  <c r="D28" i="2"/>
  <c r="D40" i="2" s="1"/>
  <c r="E28" i="2"/>
  <c r="E30" i="2" s="1"/>
  <c r="G28" i="2"/>
  <c r="L28" i="2"/>
  <c r="C28" i="2"/>
  <c r="Q22" i="2" l="1"/>
  <c r="W8" i="2"/>
  <c r="Q6" i="2"/>
  <c r="J22" i="2"/>
  <c r="M24" i="2"/>
  <c r="M28" i="2" s="1"/>
  <c r="M30" i="2" s="1"/>
  <c r="M32" i="2" s="1"/>
  <c r="M74" i="2"/>
  <c r="N74" i="2"/>
  <c r="N36" i="2"/>
  <c r="M36" i="2"/>
  <c r="N24" i="2"/>
  <c r="F40" i="2"/>
  <c r="E40" i="2"/>
  <c r="H23" i="2"/>
  <c r="H26" i="2"/>
  <c r="H25" i="2"/>
  <c r="D30" i="2"/>
  <c r="I37" i="2"/>
  <c r="I36" i="2"/>
  <c r="G30" i="2"/>
  <c r="G40" i="2"/>
  <c r="E32" i="2"/>
  <c r="E34" i="2" s="1"/>
  <c r="C30" i="2"/>
  <c r="C40" i="2"/>
  <c r="F32" i="2"/>
  <c r="F34" i="2" s="1"/>
  <c r="L30" i="2"/>
  <c r="L40" i="2"/>
  <c r="R22" i="2" l="1"/>
  <c r="M39" i="2"/>
  <c r="R6" i="2"/>
  <c r="U5" i="2"/>
  <c r="M40" i="2"/>
  <c r="M33" i="2"/>
  <c r="M76" i="2"/>
  <c r="M92" i="2" s="1"/>
  <c r="M99" i="2" s="1"/>
  <c r="D32" i="2"/>
  <c r="D34" i="2" s="1"/>
  <c r="N39" i="2"/>
  <c r="N28" i="2"/>
  <c r="I25" i="2"/>
  <c r="H27" i="2"/>
  <c r="I26" i="2"/>
  <c r="I23" i="2"/>
  <c r="H24" i="2"/>
  <c r="O36" i="2"/>
  <c r="J36" i="2"/>
  <c r="J37" i="2"/>
  <c r="L32" i="2"/>
  <c r="C32" i="2"/>
  <c r="C34" i="2" s="1"/>
  <c r="G32" i="2"/>
  <c r="G34" i="2" s="1"/>
  <c r="S22" i="2" l="1"/>
  <c r="V5" i="2"/>
  <c r="S6" i="2"/>
  <c r="O86" i="2"/>
  <c r="O82" i="2"/>
  <c r="O85" i="2"/>
  <c r="O87" i="2"/>
  <c r="O84" i="2"/>
  <c r="O95" i="2"/>
  <c r="O81" i="2"/>
  <c r="O94" i="2"/>
  <c r="O88" i="2"/>
  <c r="O97" i="2"/>
  <c r="O80" i="2"/>
  <c r="O96" i="2"/>
  <c r="O79" i="2"/>
  <c r="O91" i="2"/>
  <c r="O90" i="2"/>
  <c r="O78" i="2"/>
  <c r="P78" i="2" s="1"/>
  <c r="Q78" i="2" s="1"/>
  <c r="R78" i="2" s="1"/>
  <c r="L33" i="2"/>
  <c r="L76" i="2"/>
  <c r="L92" i="2" s="1"/>
  <c r="L99" i="2" s="1"/>
  <c r="N40" i="2"/>
  <c r="N30" i="2"/>
  <c r="H39" i="2"/>
  <c r="H28" i="2"/>
  <c r="J23" i="2"/>
  <c r="I24" i="2"/>
  <c r="J26" i="2"/>
  <c r="J25" i="2"/>
  <c r="I27" i="2"/>
  <c r="P36" i="2"/>
  <c r="T22" i="2" l="1"/>
  <c r="P79" i="2"/>
  <c r="J27" i="2"/>
  <c r="T6" i="2"/>
  <c r="W5" i="2"/>
  <c r="P90" i="2"/>
  <c r="P91" i="2"/>
  <c r="P96" i="2"/>
  <c r="P94" i="2"/>
  <c r="O98" i="2"/>
  <c r="P89" i="2"/>
  <c r="P80" i="2"/>
  <c r="P97" i="2"/>
  <c r="P88" i="2"/>
  <c r="P81" i="2"/>
  <c r="P82" i="2"/>
  <c r="P95" i="2"/>
  <c r="P84" i="2"/>
  <c r="P85" i="2"/>
  <c r="P86" i="2"/>
  <c r="P87" i="2"/>
  <c r="N32" i="2"/>
  <c r="O25" i="2"/>
  <c r="P25" i="2" s="1"/>
  <c r="Q25" i="2" s="1"/>
  <c r="R25" i="2" s="1"/>
  <c r="S25" i="2" s="1"/>
  <c r="T25" i="2" s="1"/>
  <c r="U25" i="2" s="1"/>
  <c r="V25" i="2" s="1"/>
  <c r="W25" i="2" s="1"/>
  <c r="X25" i="2" s="1"/>
  <c r="I39" i="2"/>
  <c r="I28" i="2"/>
  <c r="I40" i="2" s="1"/>
  <c r="J24" i="2"/>
  <c r="O23" i="2"/>
  <c r="H30" i="2"/>
  <c r="H31" i="2" s="1"/>
  <c r="H40" i="2"/>
  <c r="Q36" i="2"/>
  <c r="U22" i="2" l="1"/>
  <c r="Q84" i="2"/>
  <c r="X5" i="2"/>
  <c r="U6" i="2"/>
  <c r="Q82" i="2"/>
  <c r="Q86" i="2"/>
  <c r="Q85" i="2"/>
  <c r="Q96" i="2"/>
  <c r="Q88" i="2"/>
  <c r="Q81" i="2"/>
  <c r="Q91" i="2"/>
  <c r="Q95" i="2"/>
  <c r="Q97" i="2"/>
  <c r="Q80" i="2"/>
  <c r="Q89" i="2"/>
  <c r="Q79" i="2"/>
  <c r="Q90" i="2"/>
  <c r="Q87" i="2"/>
  <c r="Q94" i="2"/>
  <c r="P98" i="2"/>
  <c r="N33" i="2"/>
  <c r="N76" i="2"/>
  <c r="N92" i="2" s="1"/>
  <c r="N99" i="2" s="1"/>
  <c r="O27" i="2"/>
  <c r="H32" i="2"/>
  <c r="J39" i="2"/>
  <c r="J28" i="2"/>
  <c r="J40" i="2" s="1"/>
  <c r="P27" i="2"/>
  <c r="P23" i="2"/>
  <c r="O24" i="2"/>
  <c r="R36" i="2"/>
  <c r="V22" i="2" l="1"/>
  <c r="T36" i="2"/>
  <c r="V6" i="2"/>
  <c r="R87" i="2"/>
  <c r="R79" i="2"/>
  <c r="R97" i="2"/>
  <c r="R80" i="2"/>
  <c r="R94" i="2"/>
  <c r="Q98" i="2"/>
  <c r="R90" i="2"/>
  <c r="R89" i="2"/>
  <c r="R95" i="2"/>
  <c r="R85" i="2"/>
  <c r="R91" i="2"/>
  <c r="R81" i="2"/>
  <c r="R82" i="2"/>
  <c r="R84" i="2"/>
  <c r="R88" i="2"/>
  <c r="R86" i="2"/>
  <c r="R96" i="2"/>
  <c r="Q23" i="2"/>
  <c r="P24" i="2"/>
  <c r="Q27" i="2"/>
  <c r="O28" i="2"/>
  <c r="O40" i="2" s="1"/>
  <c r="O39" i="2"/>
  <c r="H34" i="2"/>
  <c r="S36" i="2"/>
  <c r="W22" i="2" l="1"/>
  <c r="U36" i="2"/>
  <c r="W6" i="2"/>
  <c r="S81" i="2"/>
  <c r="T81" i="2" s="1"/>
  <c r="U81" i="2" s="1"/>
  <c r="S78" i="2"/>
  <c r="T78" i="2" s="1"/>
  <c r="U78" i="2" s="1"/>
  <c r="S88" i="2"/>
  <c r="T88" i="2" s="1"/>
  <c r="U88" i="2" s="1"/>
  <c r="S84" i="2"/>
  <c r="T84" i="2" s="1"/>
  <c r="U84" i="2" s="1"/>
  <c r="S82" i="2"/>
  <c r="T82" i="2" s="1"/>
  <c r="U82" i="2" s="1"/>
  <c r="S91" i="2"/>
  <c r="T91" i="2" s="1"/>
  <c r="U91" i="2" s="1"/>
  <c r="S95" i="2"/>
  <c r="T95" i="2" s="1"/>
  <c r="U95" i="2" s="1"/>
  <c r="S89" i="2"/>
  <c r="T89" i="2" s="1"/>
  <c r="U89" i="2" s="1"/>
  <c r="S85" i="2"/>
  <c r="T85" i="2" s="1"/>
  <c r="U85" i="2" s="1"/>
  <c r="S90" i="2"/>
  <c r="T90" i="2" s="1"/>
  <c r="S94" i="2"/>
  <c r="T94" i="2" s="1"/>
  <c r="R98" i="2"/>
  <c r="S80" i="2"/>
  <c r="T80" i="2" s="1"/>
  <c r="S97" i="2"/>
  <c r="T97" i="2" s="1"/>
  <c r="S96" i="2"/>
  <c r="T96" i="2" s="1"/>
  <c r="S79" i="2"/>
  <c r="T79" i="2" s="1"/>
  <c r="U79" i="2" s="1"/>
  <c r="S86" i="2"/>
  <c r="T86" i="2" s="1"/>
  <c r="U86" i="2" s="1"/>
  <c r="S87" i="2"/>
  <c r="T87" i="2" s="1"/>
  <c r="U87" i="2" s="1"/>
  <c r="I29" i="2"/>
  <c r="R27" i="2"/>
  <c r="P28" i="2"/>
  <c r="P40" i="2" s="1"/>
  <c r="P39" i="2"/>
  <c r="R23" i="2"/>
  <c r="Q24" i="2"/>
  <c r="U96" i="2" l="1"/>
  <c r="V36" i="2"/>
  <c r="V89" i="2" s="1"/>
  <c r="X6" i="2"/>
  <c r="U94" i="2"/>
  <c r="U80" i="2"/>
  <c r="U90" i="2"/>
  <c r="T98" i="2"/>
  <c r="U97" i="2"/>
  <c r="S27" i="2"/>
  <c r="S98" i="2"/>
  <c r="S23" i="2"/>
  <c r="R24" i="2"/>
  <c r="Q39" i="2"/>
  <c r="Q28" i="2"/>
  <c r="Q40" i="2" s="1"/>
  <c r="I30" i="2"/>
  <c r="I31" i="2" s="1"/>
  <c r="V94" i="2" l="1"/>
  <c r="X36" i="2"/>
  <c r="V97" i="2"/>
  <c r="W36" i="2"/>
  <c r="W89" i="2" s="1"/>
  <c r="U98" i="2"/>
  <c r="V86" i="2"/>
  <c r="V90" i="2"/>
  <c r="W90" i="2" s="1"/>
  <c r="V82" i="2"/>
  <c r="W82" i="2" s="1"/>
  <c r="V95" i="2"/>
  <c r="W95" i="2" s="1"/>
  <c r="X95" i="2" s="1"/>
  <c r="V78" i="2"/>
  <c r="W78" i="2" s="1"/>
  <c r="X78" i="2" s="1"/>
  <c r="V87" i="2"/>
  <c r="V85" i="2"/>
  <c r="V79" i="2"/>
  <c r="V88" i="2"/>
  <c r="V80" i="2"/>
  <c r="V96" i="2"/>
  <c r="V81" i="2"/>
  <c r="V91" i="2"/>
  <c r="V84" i="2"/>
  <c r="S24" i="2"/>
  <c r="S28" i="2" s="1"/>
  <c r="S40" i="2" s="1"/>
  <c r="T23" i="2"/>
  <c r="T27" i="2"/>
  <c r="W94" i="2"/>
  <c r="I32" i="2"/>
  <c r="R39" i="2"/>
  <c r="R28" i="2"/>
  <c r="R40" i="2" s="1"/>
  <c r="X82" i="2" l="1"/>
  <c r="X90" i="2"/>
  <c r="W86" i="2"/>
  <c r="X86" i="2" s="1"/>
  <c r="X89" i="2"/>
  <c r="W84" i="2"/>
  <c r="X84" i="2" s="1"/>
  <c r="V98" i="2"/>
  <c r="W97" i="2"/>
  <c r="X97" i="2" s="1"/>
  <c r="S39" i="2"/>
  <c r="W91" i="2"/>
  <c r="X91" i="2" s="1"/>
  <c r="W81" i="2"/>
  <c r="X81" i="2" s="1"/>
  <c r="W96" i="2"/>
  <c r="X96" i="2" s="1"/>
  <c r="W80" i="2"/>
  <c r="X80" i="2" s="1"/>
  <c r="W88" i="2"/>
  <c r="X88" i="2" s="1"/>
  <c r="W79" i="2"/>
  <c r="X79" i="2" s="1"/>
  <c r="W85" i="2"/>
  <c r="X85" i="2" s="1"/>
  <c r="W87" i="2"/>
  <c r="X87" i="2" s="1"/>
  <c r="X94" i="2"/>
  <c r="U27" i="2"/>
  <c r="T24" i="2"/>
  <c r="U23" i="2"/>
  <c r="I34" i="2"/>
  <c r="W98" i="2" l="1"/>
  <c r="X98" i="2"/>
  <c r="U24" i="2"/>
  <c r="V23" i="2"/>
  <c r="T39" i="2"/>
  <c r="T28" i="2"/>
  <c r="T40" i="2" s="1"/>
  <c r="V27" i="2"/>
  <c r="J29" i="2"/>
  <c r="W27" i="2" l="1"/>
  <c r="X27" i="2"/>
  <c r="W23" i="2"/>
  <c r="V24" i="2"/>
  <c r="U39" i="2"/>
  <c r="U28" i="2"/>
  <c r="U40" i="2" s="1"/>
  <c r="J30" i="2"/>
  <c r="J31" i="2" s="1"/>
  <c r="O29" i="2"/>
  <c r="O30" i="2" s="1"/>
  <c r="V39" i="2" l="1"/>
  <c r="V28" i="2"/>
  <c r="V40" i="2" s="1"/>
  <c r="X23" i="2"/>
  <c r="X24" i="2" s="1"/>
  <c r="W24" i="2"/>
  <c r="O31" i="2"/>
  <c r="O32" i="2" s="1"/>
  <c r="O42" i="2" s="1"/>
  <c r="O76" i="2" l="1"/>
  <c r="O92" i="2" s="1"/>
  <c r="O99" i="2" s="1"/>
  <c r="W39" i="2"/>
  <c r="W28" i="2"/>
  <c r="W40" i="2" s="1"/>
  <c r="X28" i="2"/>
  <c r="X40" i="2" s="1"/>
  <c r="X39" i="2"/>
  <c r="J32" i="2"/>
  <c r="J34" i="2" s="1"/>
  <c r="O34" i="2"/>
  <c r="P29" i="2" l="1"/>
  <c r="P30" i="2" s="1"/>
  <c r="P31" i="2" s="1"/>
  <c r="P32" i="2" l="1"/>
  <c r="P42" i="2" s="1"/>
  <c r="P76" i="2" l="1"/>
  <c r="P92" i="2" s="1"/>
  <c r="P99" i="2" s="1"/>
  <c r="P34" i="2"/>
  <c r="Q29" i="2" l="1"/>
  <c r="Q30" i="2" s="1"/>
  <c r="Q31" i="2" l="1"/>
  <c r="Q32" i="2" s="1"/>
  <c r="Q42" i="2" s="1"/>
  <c r="Q76" i="2" l="1"/>
  <c r="Q92" i="2" s="1"/>
  <c r="Q99" i="2" s="1"/>
  <c r="Q34" i="2"/>
  <c r="R29" i="2"/>
  <c r="R30" i="2" s="1"/>
  <c r="R31" i="2" s="1"/>
  <c r="R32" i="2" s="1"/>
  <c r="R42" i="2" s="1"/>
  <c r="R76" i="2" l="1"/>
  <c r="R92" i="2" s="1"/>
  <c r="R99" i="2" s="1"/>
  <c r="S29" i="2"/>
  <c r="S30" i="2" s="1"/>
  <c r="R34" i="2"/>
  <c r="S31" i="2" l="1"/>
  <c r="S32" i="2" s="1"/>
  <c r="S42" i="2" s="1"/>
  <c r="S34" i="2" l="1"/>
  <c r="S76" i="2"/>
  <c r="S92" i="2" s="1"/>
  <c r="S99" i="2" s="1"/>
  <c r="T29" i="2"/>
  <c r="T30" i="2" s="1"/>
  <c r="T31" i="2" l="1"/>
  <c r="T32" i="2" s="1"/>
  <c r="T42" i="2" s="1"/>
  <c r="T76" i="2" l="1"/>
  <c r="T92" i="2" s="1"/>
  <c r="T99" i="2" s="1"/>
  <c r="T34" i="2"/>
  <c r="U29" i="2"/>
  <c r="U30" i="2" s="1"/>
  <c r="U31" i="2" l="1"/>
  <c r="U32" i="2" s="1"/>
  <c r="U42" i="2" s="1"/>
  <c r="V29" i="2" l="1"/>
  <c r="V30" i="2" s="1"/>
  <c r="U76" i="2"/>
  <c r="U92" i="2" s="1"/>
  <c r="U99" i="2" s="1"/>
  <c r="U34" i="2"/>
  <c r="V31" i="2" l="1"/>
  <c r="V32" i="2" s="1"/>
  <c r="V42" i="2" s="1"/>
  <c r="V76" i="2" l="1"/>
  <c r="V92" i="2" s="1"/>
  <c r="V99" i="2" s="1"/>
  <c r="V34" i="2"/>
  <c r="W29" i="2"/>
  <c r="W30" i="2" s="1"/>
  <c r="W31" i="2" l="1"/>
  <c r="W32" i="2" s="1"/>
  <c r="W42" i="2" s="1"/>
  <c r="W34" i="2" l="1"/>
  <c r="W76" i="2"/>
  <c r="W92" i="2" s="1"/>
  <c r="W99" i="2" s="1"/>
  <c r="X29" i="2" l="1"/>
  <c r="X30" i="2" s="1"/>
  <c r="X31" i="2" l="1"/>
  <c r="X32" i="2" s="1"/>
  <c r="X42" i="2" s="1"/>
  <c r="X76" i="2" l="1"/>
  <c r="X92" i="2" s="1"/>
  <c r="X99" i="2" s="1"/>
  <c r="X34" i="2"/>
  <c r="Y32" i="2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AA37" i="2" s="1"/>
  <c r="AA38" i="2" s="1"/>
  <c r="Y99" i="2" l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CI99" i="2" s="1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CU99" i="2" s="1"/>
  <c r="CV99" i="2" s="1"/>
  <c r="CW99" i="2" s="1"/>
  <c r="CX99" i="2" s="1"/>
  <c r="CY99" i="2" s="1"/>
  <c r="CZ99" i="2" s="1"/>
  <c r="DA99" i="2" s="1"/>
  <c r="DB99" i="2" s="1"/>
  <c r="DC99" i="2" s="1"/>
  <c r="DD99" i="2" s="1"/>
  <c r="DE99" i="2" s="1"/>
  <c r="DF99" i="2" s="1"/>
  <c r="DG99" i="2" s="1"/>
  <c r="DH99" i="2" s="1"/>
  <c r="DI99" i="2" s="1"/>
  <c r="DJ99" i="2" s="1"/>
  <c r="DK99" i="2" s="1"/>
  <c r="DL99" i="2" s="1"/>
  <c r="AA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tc={1090F980-73FF-4CFA-9C78-7BBA6D559759}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5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7" authorId="1" shapeId="0" xr:uid="{1090F980-73FF-4CFA-9C78-7BBA6D55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O27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3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4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39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<sst xmlns="http://schemas.openxmlformats.org/spreadsheetml/2006/main" count="190" uniqueCount="143">
  <si>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</si>
  <si>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</si>
  <si>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</si>
  <si>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</si>
  <si>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</si>
  <si>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</si>
  <si>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</si>
  <si>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</si>
  <si>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</si>
  <si>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</si>
  <si>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</si>
  <si>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Operating Income</t>
  </si>
  <si>
    <t>Interest</t>
  </si>
  <si>
    <t>Pretax Income</t>
  </si>
  <si>
    <t>Tax</t>
  </si>
  <si>
    <t>Net Income</t>
  </si>
  <si>
    <t>EPS</t>
  </si>
  <si>
    <t>Gross Margin</t>
  </si>
  <si>
    <t>Operating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</si>
  <si>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</si>
  <si>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</si>
  <si>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</si>
  <si>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</si>
  <si>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</si>
  <si>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</si>
  <si>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</si>
  <si>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</si>
  <si>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</si>
  <si>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</si>
  <si>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</si>
  <si>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</si>
  <si>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</si>
  <si>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</si>
  <si>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</si>
  <si>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</si>
  <si>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</si>
  <si>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Keytruda</t>
  </si>
  <si>
    <t>Gardasil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</si>
  <si>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</si>
  <si>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</si>
  <si>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</si>
  <si>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</si>
  <si>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</si>
  <si>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</si>
  <si>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</si>
  <si>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</si>
  <si>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</si>
  <si>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</si>
  <si>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</si>
  <si>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</si>
  <si>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</si>
  <si>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</si>
  <si>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</si>
  <si>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</si>
  <si>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</si>
  <si>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</si>
  <si>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</si>
  <si>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</si>
  <si>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</si>
  <si>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</si>
  <si>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</si>
  <si>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</si>
  <si>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</si>
  <si>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</si>
  <si>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</si>
  <si>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</si>
  <si>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</si>
  <si>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</si>
  <si>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</si>
  <si>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</si>
  <si>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</si>
  <si>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</si>
  <si>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</si>
  <si>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</si>
  <si>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</si>
  <si>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</si>
  <si>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</si>
  <si>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</si>
  <si>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</si>
  <si>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</si>
  <si>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</si>
  <si>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</si>
  <si>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</si>
  <si>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</si>
  <si>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</si>
  <si>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</si>
  <si>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</si>
  <si>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</si>
  <si>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</si>
  <si>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</si>
  <si>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</si>
  <si>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</si>
  <si>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</si>
  <si>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</si>
  <si>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</si>
  <si>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HIV</t>
  </si>
  <si>
    <t>SBC</t>
  </si>
  <si>
    <t>Main</t>
  </si>
  <si>
    <t>Name</t>
  </si>
  <si>
    <t>Indication</t>
  </si>
  <si>
    <t>MOA</t>
  </si>
  <si>
    <t>Economics</t>
  </si>
  <si>
    <t>IP</t>
  </si>
  <si>
    <t>Approved</t>
  </si>
  <si>
    <t>Phase</t>
  </si>
  <si>
    <t>Operating Expenses</t>
  </si>
  <si>
    <t>Share</t>
  </si>
  <si>
    <t>What is pipeline worth?</t>
  </si>
  <si>
    <t>Admin</t>
  </si>
  <si>
    <t>CEO: Robert Davis</t>
  </si>
  <si>
    <t>Brand</t>
  </si>
  <si>
    <t>Generic</t>
  </si>
  <si>
    <t>Regulatory</t>
  </si>
  <si>
    <t>Competitors</t>
  </si>
  <si>
    <t>Clinical Trials</t>
  </si>
  <si>
    <t>Patent expiry 2028</t>
  </si>
  <si>
    <t>pembrolizumab</t>
  </si>
  <si>
    <t>Cancer</t>
  </si>
  <si>
    <t xml:space="preserve">PD-1 </t>
  </si>
  <si>
    <t>Read</t>
  </si>
  <si>
    <t>Relavence</t>
  </si>
  <si>
    <t>Title</t>
  </si>
  <si>
    <t>Topic</t>
  </si>
  <si>
    <t>search terms="keytruda NSCLC"</t>
  </si>
  <si>
    <t>10.1016/S1470-2045(22)00518-6</t>
  </si>
  <si>
    <t>10.1056/NEJMoa1801005</t>
  </si>
  <si>
    <t>10.1200/JCO.18.00149</t>
  </si>
  <si>
    <t>10.1200/JCO.23.02747</t>
  </si>
  <si>
    <t>10.1038/s41419-022-05057-4</t>
  </si>
  <si>
    <t>OS</t>
  </si>
  <si>
    <t>PFS</t>
  </si>
  <si>
    <t>control</t>
  </si>
  <si>
    <t>keytruda</t>
  </si>
  <si>
    <t>pembrolizumab+chemo vs. placebo+chemo</t>
  </si>
  <si>
    <t>Phase III "KEYNOTE-189" in NSCLC n= NCT:</t>
  </si>
  <si>
    <t>ORR</t>
  </si>
  <si>
    <t>pembrolizumab vs. chemo</t>
  </si>
  <si>
    <t>Phase III "KEYNOTE-024" in treatment-naiive NSCLC n= NCT:</t>
  </si>
  <si>
    <t>HR</t>
  </si>
  <si>
    <t>(months)</t>
  </si>
  <si>
    <t>OS (24mo)</t>
  </si>
  <si>
    <t>Phase III "KEYNOTE-789" in EGFR-Mut NSCLC n= NCT:</t>
  </si>
  <si>
    <t>Phase IIB/IIIA "KEYNOTE-091/PEARLS" in NSCLC n= NCT: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</si>
</sst>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4" fontId="6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9" fontId="7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3" fontId="9" fillId="0" borderId="0" xfId="1" applyNumberFormat="1" applyFont="1"/>
    <xf numFmtId="3" fontId="4" fillId="0" borderId="0" xfId="0" applyNumberFormat="1" applyFont="1"/>
    <xf numFmtId="9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/>
    <xf numFmtId="0" fontId="9" fillId="0" borderId="0" xfId="1" applyFont="1"/>
    <xf numFmtId="0" fontId="2" fillId="0" borderId="0" xfId="0" applyFont="1"/>
    <xf numFmtId="0" fontId="8" fillId="0" borderId="1" xfId="1" applyBorder="1"/>
    <xf numFmtId="9" fontId="2" fillId="0" borderId="0" xfId="0" applyNumberFormat="1" applyFont="1"/>
    <xf numFmtId="0" fontId="1" fillId="0" borderId="0" xfId="0" applyFont="1"/>
    <xf numFmtId="0" fontId="10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110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63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5-30T23:08:53.39" personId="{3AE884F7-F7CD-4229-B1B0-CD6E7AA78978}" id="{BEB33B97-0A35-4D36-A324-3F347D60BBF8}">
    <text>expire</text>
  </threadedComment>
  <threadedComment ref="R7" dT="2025-05-30T23:08:53.39" personId="{3AE884F7-F7CD-4229-B1B0-CD6E7AA78978}" id="{1090F980-73FF-4CFA-9C78-7BBA6D559759}">
    <text>expire</text>
  </threadedComment>
  <threadedComment ref="O27" dT="2025-05-05T05:56:51.71" personId="{3AE884F7-F7CD-4229-B1B0-CD6E7AA78978}" id="{2DC5972C-B77A-4237-85F2-0DBD4E83C3B7}">
    <text>25.4b - 26.5b non-GAAP OPEX</text>
  </threadedComment>
  <threadedComment ref="O33" dT="2025-05-05T05:57:34.49" personId="{3AE884F7-F7CD-4229-B1B0-CD6E7AA78978}" id="{C500BEB0-5DD6-411C-BB22-78295064A10F}">
    <text>2.53b guidance</text>
  </threadedComment>
  <threadedComment ref="O34" dT="2025-05-05T05:57:48.11" personId="{3AE884F7-F7CD-4229-B1B0-CD6E7AA78978}" id="{549A204D-10BB-432F-9377-F289F3FEB7FA}">
    <text>Non-gaap guidance 8.88 to 9.03</text>
  </threadedComment>
  <threadedComment ref="O39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B2:M34"/>
  <sheetViews>
    <sheetView zoomScale="115" zoomScaleNormal="115" workbookViewId="0">
      <selection activeCell="C11" sqref="C11"/>
    </sheetView>
  </sheetViews>
  <sheetFormatPr defaultRowHeight="12.75" x14ac:dyDescent="0.2"/>
  <cols>
    <col min="1" max="1" width="3.7109375" style="1" customWidth="1"/>
    <col min="2" max="2" width="17.42578125" style="1" customWidth="1"/>
    <col min="3" max="3" width="14.42578125" style="1" customWidth="1"/>
    <col min="4" max="4" width="10.42578125" style="1" customWidth="1"/>
    <col min="5" max="5" width="10.7109375" style="1" customWidth="1"/>
    <col min="6" max="7" width="10" style="1" customWidth="1"/>
    <col min="8" max="8" width="9.140625" style="1"/>
    <col min="9" max="9" width="4.42578125" style="1" customWidth="1"/>
    <col min="10" max="10" width="4.140625" style="1" customWidth="1"/>
    <col min="11" max="16384" width="9.140625" style="1"/>
  </cols>
  <sheetData>
    <row r="2" spans="2:13" x14ac:dyDescent="0.2">
      <c r="B2" s="11" t="s">
        <v>98</v>
      </c>
      <c r="C2" s="12" t="s">
        <v>99</v>
      </c>
      <c r="D2" s="12" t="s">
        <v>103</v>
      </c>
      <c r="E2" s="12" t="s">
        <v>100</v>
      </c>
      <c r="F2" s="12" t="s">
        <v>101</v>
      </c>
      <c r="G2" s="24" t="s">
        <v>108</v>
      </c>
      <c r="H2" s="13" t="s">
        <v>102</v>
      </c>
      <c r="K2" s="1" t="s">
        <v>0</v>
      </c>
      <c r="L2" s="2">
        <v>85</v>
      </c>
    </row>
    <row r="3" spans="2:13" ht="15" x14ac:dyDescent="0.25">
      <c r="B3" s="28" t="s">
        <v>36</v>
      </c>
      <c r="H3" s="7"/>
      <c r="K3" s="1" t="s">
        <v>1</v>
      </c>
      <c r="L3" s="3">
        <v>2511.0309999999999</v>
      </c>
      <c r="M3" s="1" t="s">
        <v>26</v>
      </c>
    </row>
    <row r="4" spans="2:13" x14ac:dyDescent="0.2">
      <c r="B4" s="23" t="s">
        <v>37</v>
      </c>
      <c r="H4" s="7"/>
      <c r="K4" s="1" t="s">
        <v>2</v>
      </c>
      <c r="L4" s="3">
        <f>L3*L2</f>
        <v>213437.63500000001</v>
      </c>
    </row>
    <row r="5" spans="2:13" x14ac:dyDescent="0.2">
      <c r="B5" s="23" t="s">
        <v>40</v>
      </c>
      <c r="H5" s="7"/>
      <c r="K5" s="1" t="s">
        <v>3</v>
      </c>
      <c r="L5" s="3">
        <f>8629+599</f>
        <v>9228</v>
      </c>
      <c r="M5" s="1" t="s">
        <v>26</v>
      </c>
    </row>
    <row r="6" spans="2:13" x14ac:dyDescent="0.2">
      <c r="B6" s="23" t="s">
        <v>53</v>
      </c>
      <c r="H6" s="7"/>
      <c r="K6" s="1" t="s">
        <v>4</v>
      </c>
      <c r="L6" s="3">
        <f>33484+1409+6655</f>
        <v>41548</v>
      </c>
      <c r="M6" s="1" t="s">
        <v>26</v>
      </c>
    </row>
    <row r="7" spans="2:13" x14ac:dyDescent="0.2">
      <c r="B7" s="23" t="s">
        <v>82</v>
      </c>
      <c r="H7" s="7"/>
      <c r="K7" s="1" t="s">
        <v>5</v>
      </c>
      <c r="L7" s="3">
        <f>L4+L6-L5</f>
        <v>245757.63500000001</v>
      </c>
    </row>
    <row r="8" spans="2:13" x14ac:dyDescent="0.2">
      <c r="B8" s="23" t="s">
        <v>47</v>
      </c>
      <c r="H8" s="7"/>
    </row>
    <row r="9" spans="2:13" x14ac:dyDescent="0.2">
      <c r="B9" s="23" t="s">
        <v>38</v>
      </c>
      <c r="H9" s="7"/>
      <c r="K9" s="25" t="s">
        <v>109</v>
      </c>
    </row>
    <row r="10" spans="2:13" x14ac:dyDescent="0.2">
      <c r="B10" s="23" t="s">
        <v>49</v>
      </c>
      <c r="H10" s="7"/>
    </row>
    <row r="11" spans="2:13" x14ac:dyDescent="0.2">
      <c r="B11" s="23"/>
      <c r="H11" s="7"/>
      <c r="K11" s="22" t="s">
        <v>107</v>
      </c>
    </row>
    <row r="12" spans="2:13" x14ac:dyDescent="0.2">
      <c r="B12" s="23"/>
      <c r="H12" s="7"/>
    </row>
    <row r="13" spans="2:13" x14ac:dyDescent="0.2">
      <c r="B13" s="23"/>
      <c r="H13" s="7"/>
    </row>
    <row r="14" spans="2:13" x14ac:dyDescent="0.2">
      <c r="B14" s="23"/>
      <c r="H14" s="7"/>
    </row>
    <row r="15" spans="2:13" x14ac:dyDescent="0.2">
      <c r="B15" s="23"/>
      <c r="H15" s="7"/>
    </row>
    <row r="16" spans="2:13" x14ac:dyDescent="0.2">
      <c r="B16" s="23"/>
      <c r="H16" s="7"/>
    </row>
    <row r="17" spans="2:8" x14ac:dyDescent="0.2">
      <c r="B17" s="23"/>
      <c r="H17" s="7"/>
    </row>
    <row r="18" spans="2:8" x14ac:dyDescent="0.2">
      <c r="B18" s="23"/>
      <c r="H18" s="7"/>
    </row>
    <row r="19" spans="2:8" x14ac:dyDescent="0.2">
      <c r="B19" s="23"/>
      <c r="H19" s="7"/>
    </row>
    <row r="20" spans="2:8" x14ac:dyDescent="0.2">
      <c r="B20" s="23"/>
      <c r="H20" s="7"/>
    </row>
    <row r="21" spans="2:8" x14ac:dyDescent="0.2">
      <c r="B21" s="23"/>
      <c r="H21" s="7"/>
    </row>
    <row r="22" spans="2:8" x14ac:dyDescent="0.2">
      <c r="B22" s="23"/>
      <c r="H22" s="7"/>
    </row>
    <row r="23" spans="2:8" x14ac:dyDescent="0.2">
      <c r="B23" s="23"/>
      <c r="H23" s="7"/>
    </row>
    <row r="24" spans="2:8" x14ac:dyDescent="0.2">
      <c r="B24" s="23"/>
      <c r="H24" s="7"/>
    </row>
    <row r="25" spans="2:8" x14ac:dyDescent="0.2">
      <c r="B25" s="14"/>
      <c r="C25" s="15"/>
      <c r="D25" s="12" t="s">
        <v>104</v>
      </c>
      <c r="E25" s="15"/>
      <c r="F25" s="15"/>
      <c r="G25" s="15"/>
      <c r="H25" s="16"/>
    </row>
    <row r="26" spans="2:8" x14ac:dyDescent="0.2">
      <c r="B26" s="6"/>
      <c r="H26" s="7"/>
    </row>
    <row r="27" spans="2:8" x14ac:dyDescent="0.2">
      <c r="B27" s="6"/>
      <c r="H27" s="7"/>
    </row>
    <row r="28" spans="2:8" x14ac:dyDescent="0.2">
      <c r="B28" s="6"/>
      <c r="H28" s="7"/>
    </row>
    <row r="29" spans="2:8" x14ac:dyDescent="0.2">
      <c r="B29" s="6"/>
      <c r="H29" s="7"/>
    </row>
    <row r="30" spans="2:8" x14ac:dyDescent="0.2">
      <c r="B30" s="6"/>
      <c r="H30" s="7"/>
    </row>
    <row r="31" spans="2:8" x14ac:dyDescent="0.2">
      <c r="B31" s="6"/>
      <c r="H31" s="7"/>
    </row>
    <row r="32" spans="2:8" x14ac:dyDescent="0.2">
      <c r="B32" s="6"/>
      <c r="H32" s="7"/>
    </row>
    <row r="33" spans="2:8" x14ac:dyDescent="0.2">
      <c r="B33" s="6"/>
      <c r="H33" s="7"/>
    </row>
    <row r="34" spans="2:8" x14ac:dyDescent="0.2">
      <c r="B34" s="8"/>
      <c r="C34" s="9"/>
      <c r="D34" s="9"/>
      <c r="E34" s="9"/>
      <c r="F34" s="9"/>
      <c r="G34" s="9"/>
      <c r="H34" s="10"/>
    </row>
  </sheetData>
  <hyperlinks>
    <hyperlink ref="B3" location="Keytruda!A1" display="Keytruda" xr:uid="{81E822C5-D2B1-4A47-B68D-476DF5B7B1A2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99"/>
  <sheetViews>
    <sheetView zoomScale="130" zoomScaleNormal="130" workbookViewId="0">
      <pane xSplit="2" ySplit="1" topLeftCell="P2" activePane="bottomRight" state="frozen"/>
      <selection pane="topRight" activeCell="B1" sqref="B1"/>
      <selection pane="bottomLeft" activeCell="A2" sqref="A2"/>
      <selection pane="bottomRight" activeCell="AA10" sqref="AA10"/>
    </sheetView>
  </sheetViews>
  <sheetFormatPr defaultRowHeight="12.75" x14ac:dyDescent="0.2"/>
  <cols>
    <col min="1" max="1" width="5.28515625" style="18" customWidth="1"/>
    <col min="2" max="2" width="21.7109375" style="18" customWidth="1"/>
    <col min="3" max="13" width="9.140625" style="18"/>
    <col min="14" max="14" width="9.5703125" style="18" bestFit="1" customWidth="1"/>
    <col min="15" max="16384" width="9.140625" style="18"/>
  </cols>
  <sheetData>
    <row r="1" spans="1:24" x14ac:dyDescent="0.2">
      <c r="A1" s="17" t="s">
        <v>97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30</v>
      </c>
      <c r="J1" s="18" t="s">
        <v>31</v>
      </c>
      <c r="L1" s="20">
        <v>2022</v>
      </c>
      <c r="M1" s="20">
        <f>L1+1</f>
        <v>2023</v>
      </c>
      <c r="N1" s="20">
        <f t="shared" ref="N1:S1" si="0">M1+1</f>
        <v>2024</v>
      </c>
      <c r="O1" s="20">
        <f t="shared" si="0"/>
        <v>2025</v>
      </c>
      <c r="P1" s="20">
        <f t="shared" si="0"/>
        <v>2026</v>
      </c>
      <c r="Q1" s="20">
        <f t="shared" si="0"/>
        <v>2027</v>
      </c>
      <c r="R1" s="20">
        <f t="shared" si="0"/>
        <v>2028</v>
      </c>
      <c r="S1" s="20">
        <f t="shared" si="0"/>
        <v>2029</v>
      </c>
      <c r="T1" s="20">
        <f t="shared" ref="T1" si="1">S1+1</f>
        <v>2030</v>
      </c>
      <c r="U1" s="20">
        <f t="shared" ref="U1" si="2">T1+1</f>
        <v>2031</v>
      </c>
      <c r="V1" s="20">
        <f t="shared" ref="V1" si="3">U1+1</f>
        <v>2032</v>
      </c>
      <c r="W1" s="20">
        <f t="shared" ref="W1" si="4">V1+1</f>
        <v>2033</v>
      </c>
      <c r="X1" s="20">
        <f t="shared" ref="X1" si="5">W1+1</f>
        <v>2034</v>
      </c>
    </row>
    <row r="2" spans="1:24" x14ac:dyDescent="0.2">
      <c r="B2" s="18" t="s">
        <v>95</v>
      </c>
      <c r="L2" s="20"/>
    </row>
    <row r="3" spans="1:24" x14ac:dyDescent="0.2">
      <c r="B3" s="18" t="s">
        <v>82</v>
      </c>
      <c r="L3" s="20"/>
      <c r="O3" s="18">
        <v>1000</v>
      </c>
      <c r="P3" s="18">
        <v>2000</v>
      </c>
      <c r="Q3" s="18">
        <v>2000</v>
      </c>
      <c r="R3" s="18">
        <v>2000</v>
      </c>
      <c r="S3" s="18">
        <v>2000</v>
      </c>
      <c r="T3" s="18">
        <v>4000</v>
      </c>
      <c r="U3" s="18">
        <v>4000</v>
      </c>
      <c r="V3" s="18">
        <v>4000</v>
      </c>
      <c r="W3" s="18">
        <v>4000</v>
      </c>
      <c r="X3" s="18">
        <v>4000</v>
      </c>
    </row>
    <row r="4" spans="1:24" x14ac:dyDescent="0.2">
      <c r="B4" s="18" t="s">
        <v>53</v>
      </c>
      <c r="G4" s="18">
        <v>441</v>
      </c>
      <c r="L4" s="20"/>
      <c r="N4" s="19"/>
      <c r="O4" s="18">
        <v>500</v>
      </c>
      <c r="P4" s="18">
        <v>1000</v>
      </c>
      <c r="Q4" s="18">
        <v>2000</v>
      </c>
      <c r="R4" s="18">
        <v>2000</v>
      </c>
      <c r="S4" s="18">
        <v>2000</v>
      </c>
      <c r="T4" s="18">
        <v>2000</v>
      </c>
      <c r="U4" s="18">
        <v>2000</v>
      </c>
      <c r="V4" s="18">
        <v>2000</v>
      </c>
      <c r="W4" s="18">
        <v>2000</v>
      </c>
      <c r="X4" s="18">
        <v>2000</v>
      </c>
    </row>
    <row r="5" spans="1:24" s="4" customFormat="1" x14ac:dyDescent="0.2">
      <c r="B5" s="18" t="s">
        <v>36</v>
      </c>
      <c r="C5" s="18"/>
      <c r="D5" s="18"/>
      <c r="E5" s="18"/>
      <c r="F5" s="18"/>
      <c r="G5" s="18">
        <v>7205</v>
      </c>
      <c r="H5" s="18"/>
      <c r="I5" s="18"/>
      <c r="J5" s="18"/>
      <c r="K5" s="18"/>
      <c r="L5" s="18"/>
      <c r="M5" s="18">
        <v>25011</v>
      </c>
      <c r="N5" s="18">
        <v>29482</v>
      </c>
      <c r="O5" s="18">
        <f>N5*1.07</f>
        <v>31545.74</v>
      </c>
      <c r="P5" s="18">
        <f t="shared" ref="P5:Q5" si="6">O5*1.07</f>
        <v>33753.941800000001</v>
      </c>
      <c r="Q5" s="18">
        <f t="shared" si="6"/>
        <v>36116.717726000003</v>
      </c>
      <c r="R5" s="18">
        <f>Q5*0.5</f>
        <v>18058.358863000001</v>
      </c>
      <c r="S5" s="18">
        <f>R5*0.5</f>
        <v>9029.1794315000006</v>
      </c>
      <c r="T5" s="18">
        <v>0</v>
      </c>
      <c r="U5" s="18">
        <f t="shared" ref="U5:X5" si="7">T5*1.04</f>
        <v>0</v>
      </c>
      <c r="V5" s="18">
        <f t="shared" si="7"/>
        <v>0</v>
      </c>
      <c r="W5" s="18">
        <f t="shared" si="7"/>
        <v>0</v>
      </c>
      <c r="X5" s="18">
        <f t="shared" si="7"/>
        <v>0</v>
      </c>
    </row>
    <row r="6" spans="1:24" x14ac:dyDescent="0.2">
      <c r="B6" s="18" t="s">
        <v>44</v>
      </c>
      <c r="M6" s="18">
        <f>1199+960+218+212</f>
        <v>2589</v>
      </c>
      <c r="N6" s="18">
        <f>1311+1010+509+371</f>
        <v>3201</v>
      </c>
      <c r="O6" s="18">
        <f>N6*1.01</f>
        <v>3233.01</v>
      </c>
      <c r="P6" s="18">
        <f t="shared" ref="P6:X6" si="8">O6*1.01</f>
        <v>3265.3401000000003</v>
      </c>
      <c r="Q6" s="18">
        <f t="shared" si="8"/>
        <v>3297.9935010000004</v>
      </c>
      <c r="R6" s="18">
        <f t="shared" si="8"/>
        <v>3330.9734360100006</v>
      </c>
      <c r="S6" s="18">
        <f t="shared" si="8"/>
        <v>3364.2831703701004</v>
      </c>
      <c r="T6" s="18">
        <f t="shared" si="8"/>
        <v>3397.9260020738016</v>
      </c>
      <c r="U6" s="18">
        <f t="shared" si="8"/>
        <v>3431.9052620945395</v>
      </c>
      <c r="V6" s="18">
        <f t="shared" si="8"/>
        <v>3466.224314715485</v>
      </c>
      <c r="W6" s="18">
        <f t="shared" si="8"/>
        <v>3500.8865578626401</v>
      </c>
      <c r="X6" s="18">
        <f t="shared" si="8"/>
        <v>3535.8954234412663</v>
      </c>
    </row>
    <row r="7" spans="1:24" s="4" customFormat="1" x14ac:dyDescent="0.2">
      <c r="B7" s="18" t="s">
        <v>37</v>
      </c>
      <c r="C7" s="18"/>
      <c r="D7" s="18"/>
      <c r="E7" s="18"/>
      <c r="F7" s="18"/>
      <c r="G7" s="18">
        <v>1327</v>
      </c>
      <c r="H7" s="18"/>
      <c r="I7" s="18"/>
      <c r="J7" s="18"/>
      <c r="K7" s="18"/>
      <c r="L7" s="18"/>
      <c r="M7" s="18">
        <v>8886</v>
      </c>
      <c r="N7" s="18">
        <v>8583</v>
      </c>
      <c r="O7" s="18">
        <f>N7*1.08</f>
        <v>9269.6400000000012</v>
      </c>
      <c r="P7" s="18">
        <f t="shared" ref="P7:Q7" si="9">O7*1.08</f>
        <v>10011.211200000002</v>
      </c>
      <c r="Q7" s="18">
        <f t="shared" si="9"/>
        <v>10812.108096000002</v>
      </c>
      <c r="R7" s="18">
        <f>Q7*0.2</f>
        <v>2162.4216192000004</v>
      </c>
      <c r="S7" s="18">
        <v>0</v>
      </c>
      <c r="T7" s="18">
        <f>S7*0.2</f>
        <v>0</v>
      </c>
      <c r="U7" s="18">
        <v>0</v>
      </c>
      <c r="V7" s="18">
        <v>0</v>
      </c>
      <c r="W7" s="18">
        <v>0</v>
      </c>
      <c r="X7" s="18">
        <v>0</v>
      </c>
    </row>
    <row r="8" spans="1:24" s="4" customFormat="1" x14ac:dyDescent="0.2">
      <c r="B8" s="4" t="s">
        <v>40</v>
      </c>
      <c r="G8" s="4">
        <v>539</v>
      </c>
      <c r="M8" s="4">
        <v>2368</v>
      </c>
      <c r="N8" s="4">
        <v>2485</v>
      </c>
      <c r="O8" s="4">
        <f>N8*1.1</f>
        <v>2733.5</v>
      </c>
      <c r="P8" s="4">
        <f t="shared" ref="P8:S8" si="10">O8*1.1</f>
        <v>3006.8500000000004</v>
      </c>
      <c r="Q8" s="4">
        <f t="shared" si="10"/>
        <v>3307.5350000000008</v>
      </c>
      <c r="R8" s="4">
        <f t="shared" si="10"/>
        <v>3638.288500000001</v>
      </c>
      <c r="S8" s="4">
        <f t="shared" si="10"/>
        <v>4002.1173500000014</v>
      </c>
      <c r="T8" s="4">
        <f t="shared" ref="T8:W8" si="11">S8*1.05</f>
        <v>4202.2232175000017</v>
      </c>
      <c r="U8" s="4">
        <f t="shared" si="11"/>
        <v>4412.3343783750024</v>
      </c>
      <c r="V8" s="4">
        <f t="shared" si="11"/>
        <v>4632.9510972937524</v>
      </c>
      <c r="W8" s="4">
        <f t="shared" si="11"/>
        <v>4864.59865215844</v>
      </c>
      <c r="X8" s="4">
        <v>5000</v>
      </c>
    </row>
    <row r="9" spans="1:24" x14ac:dyDescent="0.2">
      <c r="B9" s="18" t="s">
        <v>45</v>
      </c>
      <c r="M9" s="18">
        <f>665+769+412</f>
        <v>1846</v>
      </c>
      <c r="N9" s="18">
        <f>808+711+263</f>
        <v>1782</v>
      </c>
      <c r="O9" s="18">
        <f>N9*1.01</f>
        <v>1799.82</v>
      </c>
      <c r="P9" s="18">
        <f t="shared" ref="P9:X9" si="12">O9*1.01</f>
        <v>1817.8181999999999</v>
      </c>
      <c r="Q9" s="18">
        <f t="shared" si="12"/>
        <v>1835.996382</v>
      </c>
      <c r="R9" s="18">
        <f t="shared" si="12"/>
        <v>1854.3563458200001</v>
      </c>
      <c r="S9" s="18">
        <f t="shared" si="12"/>
        <v>1872.8999092782001</v>
      </c>
      <c r="T9" s="18">
        <f t="shared" si="12"/>
        <v>1891.6289083709821</v>
      </c>
      <c r="U9" s="18">
        <f t="shared" si="12"/>
        <v>1910.545197454692</v>
      </c>
      <c r="V9" s="18">
        <f t="shared" si="12"/>
        <v>1929.6506494292389</v>
      </c>
      <c r="W9" s="18">
        <f t="shared" si="12"/>
        <v>1948.9471559235312</v>
      </c>
      <c r="X9" s="18">
        <f t="shared" si="12"/>
        <v>1968.4366274827667</v>
      </c>
    </row>
    <row r="10" spans="1:24" x14ac:dyDescent="0.2">
      <c r="B10" s="18" t="s">
        <v>41</v>
      </c>
      <c r="M10" s="18">
        <f>1842+605+302+218+213</f>
        <v>3180</v>
      </c>
      <c r="N10" s="18">
        <f>1764+785+340+252+177</f>
        <v>3318</v>
      </c>
      <c r="O10" s="18">
        <f>N10*1.02</f>
        <v>3384.36</v>
      </c>
      <c r="P10" s="18">
        <f t="shared" ref="P10:X10" si="13">O10*1.02</f>
        <v>3452.0472</v>
      </c>
      <c r="Q10" s="18">
        <f t="shared" si="13"/>
        <v>3521.0881439999998</v>
      </c>
      <c r="R10" s="18">
        <f t="shared" si="13"/>
        <v>3591.50990688</v>
      </c>
      <c r="S10" s="18">
        <f t="shared" si="13"/>
        <v>3663.3401050176003</v>
      </c>
      <c r="T10" s="18">
        <f t="shared" si="13"/>
        <v>3736.6069071179522</v>
      </c>
      <c r="U10" s="18">
        <f t="shared" si="13"/>
        <v>3811.3390452603112</v>
      </c>
      <c r="V10" s="18">
        <f t="shared" si="13"/>
        <v>3887.5658261655176</v>
      </c>
      <c r="W10" s="18">
        <f t="shared" si="13"/>
        <v>3965.317142688828</v>
      </c>
      <c r="X10" s="18">
        <f t="shared" si="13"/>
        <v>4044.6234855426046</v>
      </c>
    </row>
    <row r="11" spans="1:24" x14ac:dyDescent="0.2">
      <c r="B11" s="18" t="s">
        <v>42</v>
      </c>
      <c r="M11" s="18">
        <f>367+255</f>
        <v>622</v>
      </c>
      <c r="N11" s="18">
        <f>419+415+287</f>
        <v>1121</v>
      </c>
      <c r="O11" s="18">
        <f>N11*1.05</f>
        <v>1177.05</v>
      </c>
      <c r="P11" s="18">
        <f t="shared" ref="P11:X11" si="14">O11*1.05</f>
        <v>1235.9024999999999</v>
      </c>
      <c r="Q11" s="18">
        <f t="shared" si="14"/>
        <v>1297.697625</v>
      </c>
      <c r="R11" s="18">
        <f t="shared" si="14"/>
        <v>1362.5825062500001</v>
      </c>
      <c r="S11" s="18">
        <f t="shared" si="14"/>
        <v>1430.7116315625001</v>
      </c>
      <c r="T11" s="18">
        <f t="shared" si="14"/>
        <v>1502.2472131406253</v>
      </c>
      <c r="U11" s="18">
        <f t="shared" si="14"/>
        <v>1577.3595737976566</v>
      </c>
      <c r="V11" s="18">
        <f t="shared" si="14"/>
        <v>1656.2275524875395</v>
      </c>
      <c r="W11" s="18">
        <f t="shared" si="14"/>
        <v>1739.0389301119164</v>
      </c>
      <c r="X11" s="18">
        <f t="shared" si="14"/>
        <v>1825.9908766175124</v>
      </c>
    </row>
    <row r="12" spans="1:24" x14ac:dyDescent="0.2">
      <c r="B12" s="18" t="s">
        <v>46</v>
      </c>
      <c r="M12" s="18">
        <f>1428+483+201+142</f>
        <v>2254</v>
      </c>
      <c r="N12" s="18">
        <f>964+394+249+163</f>
        <v>1770</v>
      </c>
      <c r="O12" s="18">
        <f>N12*1.01</f>
        <v>1787.7</v>
      </c>
      <c r="P12" s="18">
        <f t="shared" ref="P12:W12" si="15">O12*1.01</f>
        <v>1805.577</v>
      </c>
      <c r="Q12" s="18">
        <f t="shared" si="15"/>
        <v>1823.6327699999999</v>
      </c>
      <c r="R12" s="18">
        <f t="shared" si="15"/>
        <v>1841.8690976999999</v>
      </c>
      <c r="S12" s="18">
        <f t="shared" si="15"/>
        <v>1860.287788677</v>
      </c>
      <c r="T12" s="18">
        <f t="shared" si="15"/>
        <v>1878.8906665637701</v>
      </c>
      <c r="U12" s="18">
        <f t="shared" si="15"/>
        <v>1897.6795732294079</v>
      </c>
      <c r="V12" s="18">
        <f t="shared" si="15"/>
        <v>1916.6563689617019</v>
      </c>
      <c r="W12" s="18">
        <f t="shared" si="15"/>
        <v>1935.822932651319</v>
      </c>
      <c r="X12" s="18">
        <v>2000</v>
      </c>
    </row>
    <row r="13" spans="1:24" x14ac:dyDescent="0.2">
      <c r="B13" s="18" t="s">
        <v>47</v>
      </c>
      <c r="M13" s="18">
        <v>231</v>
      </c>
      <c r="N13" s="18">
        <v>222</v>
      </c>
      <c r="O13" s="18">
        <f>N13*1.05</f>
        <v>233.10000000000002</v>
      </c>
      <c r="P13" s="18">
        <f t="shared" ref="P13:R13" si="16">O13*1.05</f>
        <v>244.75500000000002</v>
      </c>
      <c r="Q13" s="18">
        <f t="shared" si="16"/>
        <v>256.99275000000006</v>
      </c>
      <c r="R13" s="18">
        <f t="shared" si="16"/>
        <v>269.84238750000009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</row>
    <row r="14" spans="1:24" x14ac:dyDescent="0.2">
      <c r="B14" s="18" t="s">
        <v>48</v>
      </c>
      <c r="M14" s="18">
        <f>710+187</f>
        <v>897</v>
      </c>
      <c r="N14" s="18">
        <f>543+114</f>
        <v>657</v>
      </c>
      <c r="O14" s="18">
        <f>N14*1.07</f>
        <v>702.99</v>
      </c>
      <c r="P14" s="18">
        <f t="shared" ref="P14:X14" si="17">O14*1.07</f>
        <v>752.19930000000011</v>
      </c>
      <c r="Q14" s="18">
        <f t="shared" si="17"/>
        <v>804.85325100000011</v>
      </c>
      <c r="R14" s="18">
        <f t="shared" si="17"/>
        <v>861.19297857000015</v>
      </c>
      <c r="S14" s="18">
        <f t="shared" si="17"/>
        <v>921.47648706990026</v>
      </c>
      <c r="T14" s="18">
        <f t="shared" si="17"/>
        <v>985.97984116479336</v>
      </c>
      <c r="U14" s="18">
        <f t="shared" si="17"/>
        <v>1054.9984300463288</v>
      </c>
      <c r="V14" s="18">
        <f t="shared" si="17"/>
        <v>1128.8483201495719</v>
      </c>
      <c r="W14" s="18">
        <f t="shared" si="17"/>
        <v>1207.8677025600421</v>
      </c>
      <c r="X14" s="18">
        <f t="shared" si="17"/>
        <v>1292.4184417392451</v>
      </c>
    </row>
    <row r="15" spans="1:24" s="4" customFormat="1" x14ac:dyDescent="0.2">
      <c r="B15" s="4" t="s">
        <v>38</v>
      </c>
      <c r="G15" s="4">
        <v>796</v>
      </c>
      <c r="M15" s="4">
        <v>2189</v>
      </c>
      <c r="N15" s="4">
        <v>1334</v>
      </c>
      <c r="O15" s="4">
        <f>N15*1.09</f>
        <v>1454.0600000000002</v>
      </c>
      <c r="P15" s="4">
        <f t="shared" ref="P15:W15" si="18">O15*1.09</f>
        <v>1584.9254000000003</v>
      </c>
      <c r="Q15" s="4">
        <f t="shared" si="18"/>
        <v>1727.5686860000005</v>
      </c>
      <c r="R15" s="4">
        <f t="shared" si="18"/>
        <v>1883.0498677400008</v>
      </c>
      <c r="S15" s="4">
        <f t="shared" si="18"/>
        <v>2052.524355836601</v>
      </c>
      <c r="T15" s="4">
        <f t="shared" si="18"/>
        <v>2237.2515478618952</v>
      </c>
      <c r="U15" s="4">
        <f t="shared" si="18"/>
        <v>2438.6041871694661</v>
      </c>
      <c r="V15" s="4">
        <f t="shared" si="18"/>
        <v>2658.0785640147183</v>
      </c>
      <c r="W15" s="4">
        <f t="shared" si="18"/>
        <v>2897.305634776043</v>
      </c>
      <c r="X15" s="4">
        <v>3000</v>
      </c>
    </row>
    <row r="16" spans="1:24" x14ac:dyDescent="0.2">
      <c r="B16" s="18" t="s">
        <v>49</v>
      </c>
      <c r="M16" s="18">
        <v>1177</v>
      </c>
      <c r="N16" s="18">
        <v>935</v>
      </c>
      <c r="O16" s="18">
        <f>N16*0.9</f>
        <v>841.5</v>
      </c>
      <c r="P16" s="18">
        <f t="shared" ref="P16:R16" si="19">O16*0.9</f>
        <v>757.35</v>
      </c>
      <c r="Q16" s="18">
        <f t="shared" si="19"/>
        <v>681.61500000000001</v>
      </c>
      <c r="R16" s="18">
        <f t="shared" si="19"/>
        <v>613.45350000000008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</row>
    <row r="17" spans="1:117" x14ac:dyDescent="0.2">
      <c r="B17" s="18" t="s">
        <v>50</v>
      </c>
      <c r="M17" s="18">
        <v>2333</v>
      </c>
      <c r="N17" s="18">
        <v>2510</v>
      </c>
      <c r="O17" s="18">
        <f>N17*1.01</f>
        <v>2535.1</v>
      </c>
      <c r="P17" s="18">
        <f t="shared" ref="P17:X17" si="20">O17*1.01</f>
        <v>2560.451</v>
      </c>
      <c r="Q17" s="18">
        <f t="shared" si="20"/>
        <v>2586.0555100000001</v>
      </c>
      <c r="R17" s="18">
        <f t="shared" si="20"/>
        <v>2611.9160651000002</v>
      </c>
      <c r="S17" s="18">
        <f t="shared" si="20"/>
        <v>2638.0352257510003</v>
      </c>
      <c r="T17" s="18">
        <f t="shared" si="20"/>
        <v>2664.4155780085102</v>
      </c>
      <c r="U17" s="18">
        <f t="shared" si="20"/>
        <v>2691.0597337885952</v>
      </c>
      <c r="V17" s="18">
        <f t="shared" si="20"/>
        <v>2717.9703311264811</v>
      </c>
      <c r="W17" s="18">
        <f t="shared" si="20"/>
        <v>2745.1500344377459</v>
      </c>
      <c r="X17" s="18">
        <f t="shared" si="20"/>
        <v>2772.6015347821235</v>
      </c>
    </row>
    <row r="18" spans="1:117" s="4" customFormat="1" x14ac:dyDescent="0.2">
      <c r="B18" s="4" t="s">
        <v>51</v>
      </c>
      <c r="G18" s="4">
        <v>924</v>
      </c>
      <c r="M18" s="4">
        <v>3337</v>
      </c>
      <c r="N18" s="4">
        <v>3462</v>
      </c>
      <c r="O18" s="4">
        <f>N18*1.03</f>
        <v>3565.86</v>
      </c>
      <c r="P18" s="4">
        <f t="shared" ref="P18:X18" si="21">O18*1.03</f>
        <v>3672.8358000000003</v>
      </c>
      <c r="Q18" s="4">
        <f t="shared" si="21"/>
        <v>3783.0208740000003</v>
      </c>
      <c r="R18" s="4">
        <f t="shared" si="21"/>
        <v>3896.5115002200005</v>
      </c>
      <c r="S18" s="4">
        <f t="shared" si="21"/>
        <v>4013.4068452266006</v>
      </c>
      <c r="T18" s="4">
        <f t="shared" si="21"/>
        <v>4133.8090505833989</v>
      </c>
      <c r="U18" s="4">
        <f t="shared" si="21"/>
        <v>4257.8233221009014</v>
      </c>
      <c r="V18" s="4">
        <f t="shared" si="21"/>
        <v>4385.5580217639281</v>
      </c>
      <c r="W18" s="4">
        <f t="shared" si="21"/>
        <v>4517.1247624168464</v>
      </c>
      <c r="X18" s="4">
        <f t="shared" si="21"/>
        <v>4652.638505289352</v>
      </c>
    </row>
    <row r="19" spans="1:117" s="4" customFormat="1" x14ac:dyDescent="0.2">
      <c r="B19" s="4" t="s">
        <v>52</v>
      </c>
      <c r="G19" s="4">
        <v>664</v>
      </c>
      <c r="M19" s="4">
        <v>2288</v>
      </c>
      <c r="N19" s="4">
        <v>2415</v>
      </c>
      <c r="O19" s="4">
        <f>N19*1.03</f>
        <v>2487.4500000000003</v>
      </c>
      <c r="P19" s="4">
        <f t="shared" ref="P19:X19" si="22">O19*1.03</f>
        <v>2562.0735000000004</v>
      </c>
      <c r="Q19" s="4">
        <f t="shared" si="22"/>
        <v>2638.9357050000003</v>
      </c>
      <c r="R19" s="4">
        <f t="shared" si="22"/>
        <v>2718.1037761500006</v>
      </c>
      <c r="S19" s="4">
        <f t="shared" si="22"/>
        <v>2799.6468894345007</v>
      </c>
      <c r="T19" s="4">
        <f t="shared" si="22"/>
        <v>2883.6362961175359</v>
      </c>
      <c r="U19" s="4">
        <f t="shared" si="22"/>
        <v>2970.1453850010621</v>
      </c>
      <c r="V19" s="4">
        <f t="shared" si="22"/>
        <v>3059.2497465510942</v>
      </c>
      <c r="W19" s="4">
        <f t="shared" si="22"/>
        <v>3151.0272389476272</v>
      </c>
      <c r="X19" s="4">
        <f t="shared" si="22"/>
        <v>3245.5580561160559</v>
      </c>
    </row>
    <row r="20" spans="1:117" x14ac:dyDescent="0.2">
      <c r="B20" s="18" t="s">
        <v>43</v>
      </c>
      <c r="M20" s="18">
        <v>907</v>
      </c>
      <c r="N20" s="18">
        <v>891</v>
      </c>
      <c r="O20" s="18">
        <v>900</v>
      </c>
      <c r="P20" s="18">
        <v>900</v>
      </c>
      <c r="Q20" s="18">
        <v>900</v>
      </c>
      <c r="R20" s="18">
        <v>900</v>
      </c>
      <c r="S20" s="18">
        <v>900</v>
      </c>
      <c r="T20" s="18">
        <v>900</v>
      </c>
      <c r="U20" s="18">
        <v>900</v>
      </c>
      <c r="V20" s="18">
        <v>900</v>
      </c>
      <c r="W20" s="18">
        <v>900</v>
      </c>
      <c r="X20" s="18">
        <v>900</v>
      </c>
    </row>
    <row r="21" spans="1:117" s="4" customFormat="1" x14ac:dyDescent="0.2">
      <c r="B21" s="18" t="s">
        <v>39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>
        <f>1199+960+212+367</f>
        <v>2738</v>
      </c>
      <c r="N21" s="18">
        <f>1311+1010+371+415</f>
        <v>3107</v>
      </c>
      <c r="O21" s="18">
        <v>3000</v>
      </c>
      <c r="P21" s="18">
        <v>3000</v>
      </c>
      <c r="Q21" s="18">
        <v>3000</v>
      </c>
      <c r="R21" s="18">
        <v>3000</v>
      </c>
      <c r="S21" s="18">
        <v>3000</v>
      </c>
      <c r="T21" s="18">
        <v>3000</v>
      </c>
      <c r="U21" s="18">
        <v>3000</v>
      </c>
      <c r="V21" s="18">
        <v>3000</v>
      </c>
      <c r="W21" s="18">
        <v>3000</v>
      </c>
      <c r="X21" s="18">
        <v>3000</v>
      </c>
    </row>
    <row r="22" spans="1:117" s="4" customFormat="1" x14ac:dyDescent="0.2">
      <c r="B22" s="4" t="s">
        <v>7</v>
      </c>
      <c r="C22" s="4">
        <v>15775</v>
      </c>
      <c r="G22" s="4">
        <v>15529</v>
      </c>
      <c r="H22" s="4">
        <f>G22*1.03</f>
        <v>15994.87</v>
      </c>
      <c r="I22" s="4">
        <f t="shared" ref="I22:J22" si="23">H22*1.03</f>
        <v>16474.716100000001</v>
      </c>
      <c r="J22" s="4">
        <f t="shared" si="23"/>
        <v>16968.957583000003</v>
      </c>
      <c r="L22" s="4">
        <v>59283</v>
      </c>
      <c r="M22" s="4">
        <f t="shared" ref="M22:N22" si="24">SUM(M5:M20)</f>
        <v>60115</v>
      </c>
      <c r="N22" s="4">
        <f t="shared" si="24"/>
        <v>64168</v>
      </c>
      <c r="O22" s="4">
        <f t="shared" ref="O22:X22" si="25">SUM(O2:O21)</f>
        <v>72150.87999999999</v>
      </c>
      <c r="P22" s="4">
        <f t="shared" si="25"/>
        <v>77383.277999999991</v>
      </c>
      <c r="Q22" s="4">
        <f t="shared" si="25"/>
        <v>82391.811020000008</v>
      </c>
      <c r="R22" s="4">
        <f t="shared" si="25"/>
        <v>56594.430350140006</v>
      </c>
      <c r="S22" s="4">
        <f t="shared" si="25"/>
        <v>45547.909189724007</v>
      </c>
      <c r="T22" s="4">
        <f t="shared" si="25"/>
        <v>39414.615228503259</v>
      </c>
      <c r="U22" s="4">
        <f t="shared" si="25"/>
        <v>40353.794088317969</v>
      </c>
      <c r="V22" s="4">
        <f t="shared" si="25"/>
        <v>41338.980792659037</v>
      </c>
      <c r="W22" s="4">
        <f t="shared" si="25"/>
        <v>42373.08674453498</v>
      </c>
      <c r="X22" s="4">
        <f t="shared" si="25"/>
        <v>43238.162951010927</v>
      </c>
    </row>
    <row r="23" spans="1:117" x14ac:dyDescent="0.2">
      <c r="B23" s="18" t="s">
        <v>6</v>
      </c>
      <c r="C23" s="18">
        <v>3540</v>
      </c>
      <c r="G23" s="18">
        <v>3419</v>
      </c>
      <c r="H23" s="18">
        <f>G23*(1+H37)</f>
        <v>3521.57</v>
      </c>
      <c r="I23" s="18">
        <f t="shared" ref="I23:J23" si="26">H23*(1+I37)</f>
        <v>3627.2171000000003</v>
      </c>
      <c r="J23" s="18">
        <f t="shared" si="26"/>
        <v>3736.0336130000005</v>
      </c>
      <c r="L23" s="18">
        <v>17411</v>
      </c>
      <c r="M23" s="18">
        <v>16126</v>
      </c>
      <c r="N23" s="18">
        <v>15193</v>
      </c>
      <c r="O23" s="18">
        <f>SUM(G23:J23)</f>
        <v>14303.820713000001</v>
      </c>
      <c r="P23" s="18">
        <f>O23*(1+P36)</f>
        <v>15341.136999247095</v>
      </c>
      <c r="Q23" s="18">
        <f t="shared" ref="Q23:S23" si="27">P23*(1+Q36)</f>
        <v>16334.072336324351</v>
      </c>
      <c r="R23" s="18">
        <f t="shared" si="27"/>
        <v>11219.774243678921</v>
      </c>
      <c r="S23" s="18">
        <f t="shared" si="27"/>
        <v>9029.8153938221876</v>
      </c>
      <c r="T23" s="18">
        <f t="shared" ref="T23" si="28">S23*(1+T36)</f>
        <v>7813.897622598508</v>
      </c>
      <c r="U23" s="18">
        <f t="shared" ref="U23" si="29">T23*(1+U36)</f>
        <v>8000.0886438061416</v>
      </c>
      <c r="V23" s="18">
        <f t="shared" ref="V23" si="30">U23*(1+V36)</f>
        <v>8195.4006620064174</v>
      </c>
      <c r="W23" s="18">
        <f t="shared" ref="W23" si="31">V23*(1+W36)</f>
        <v>8400.4108591638142</v>
      </c>
      <c r="X23" s="18">
        <f t="shared" ref="X23" si="32">W23*(1+X36)</f>
        <v>8571.9111230623839</v>
      </c>
    </row>
    <row r="24" spans="1:117" x14ac:dyDescent="0.2">
      <c r="B24" s="18" t="s">
        <v>8</v>
      </c>
      <c r="C24" s="18">
        <f>C22-C23</f>
        <v>12235</v>
      </c>
      <c r="D24" s="18">
        <f t="shared" ref="D24:F24" si="33">D22-D23</f>
        <v>0</v>
      </c>
      <c r="E24" s="18">
        <f t="shared" si="33"/>
        <v>0</v>
      </c>
      <c r="F24" s="18">
        <f t="shared" si="33"/>
        <v>0</v>
      </c>
      <c r="G24" s="18">
        <f>G22-G23</f>
        <v>12110</v>
      </c>
      <c r="H24" s="18">
        <f>H22-H23</f>
        <v>12473.300000000001</v>
      </c>
      <c r="I24" s="18">
        <f t="shared" ref="I24:J24" si="34">I22-I23</f>
        <v>12847.499000000002</v>
      </c>
      <c r="J24" s="18">
        <f t="shared" si="34"/>
        <v>13232.923970000003</v>
      </c>
      <c r="L24" s="18">
        <f>L22-L23</f>
        <v>41872</v>
      </c>
      <c r="M24" s="18">
        <f t="shared" ref="M24:S24" si="35">M22-M23</f>
        <v>43989</v>
      </c>
      <c r="N24" s="18">
        <f t="shared" si="35"/>
        <v>48975</v>
      </c>
      <c r="O24" s="18">
        <f t="shared" si="35"/>
        <v>57847.059286999989</v>
      </c>
      <c r="P24" s="18">
        <f t="shared" si="35"/>
        <v>62042.141000752898</v>
      </c>
      <c r="Q24" s="18">
        <f t="shared" si="35"/>
        <v>66057.738683675663</v>
      </c>
      <c r="R24" s="18">
        <f t="shared" si="35"/>
        <v>45374.656106461087</v>
      </c>
      <c r="S24" s="18">
        <f t="shared" si="35"/>
        <v>36518.093795901819</v>
      </c>
      <c r="T24" s="18">
        <f t="shared" ref="T24:X24" si="36">T22-T23</f>
        <v>31600.717605904749</v>
      </c>
      <c r="U24" s="18">
        <f t="shared" si="36"/>
        <v>32353.705444511826</v>
      </c>
      <c r="V24" s="18">
        <f t="shared" si="36"/>
        <v>33143.580130652619</v>
      </c>
      <c r="W24" s="18">
        <f t="shared" si="36"/>
        <v>33972.675885371165</v>
      </c>
      <c r="X24" s="18">
        <f t="shared" si="36"/>
        <v>34666.251827948545</v>
      </c>
    </row>
    <row r="25" spans="1:117" x14ac:dyDescent="0.2">
      <c r="B25" s="18" t="s">
        <v>9</v>
      </c>
      <c r="C25" s="18">
        <v>2483</v>
      </c>
      <c r="G25" s="18">
        <v>2552</v>
      </c>
      <c r="H25" s="18">
        <f>G25*(1+H37)</f>
        <v>2628.56</v>
      </c>
      <c r="I25" s="18">
        <f t="shared" ref="I25:J25" si="37">H25*(1+I37)</f>
        <v>2707.4168</v>
      </c>
      <c r="J25" s="18">
        <f t="shared" si="37"/>
        <v>2788.6393039999998</v>
      </c>
      <c r="L25" s="18">
        <v>10042</v>
      </c>
      <c r="M25" s="18">
        <v>10504</v>
      </c>
      <c r="N25" s="18">
        <v>10816</v>
      </c>
      <c r="O25" s="18">
        <f>SUM(G25:J25)</f>
        <v>10676.616103999999</v>
      </c>
      <c r="P25" s="18">
        <f>O25*1.04</f>
        <v>11103.680748159999</v>
      </c>
      <c r="Q25" s="18">
        <f t="shared" ref="Q25:X25" si="38">P25*1.04</f>
        <v>11547.8279780864</v>
      </c>
      <c r="R25" s="18">
        <f t="shared" si="38"/>
        <v>12009.741097209855</v>
      </c>
      <c r="S25" s="18">
        <f t="shared" si="38"/>
        <v>12490.13074109825</v>
      </c>
      <c r="T25" s="18">
        <f t="shared" si="38"/>
        <v>12989.73597074218</v>
      </c>
      <c r="U25" s="18">
        <f t="shared" si="38"/>
        <v>13509.325409571868</v>
      </c>
      <c r="V25" s="18">
        <f t="shared" si="38"/>
        <v>14049.698425954743</v>
      </c>
      <c r="W25" s="18">
        <f t="shared" si="38"/>
        <v>14611.686362992932</v>
      </c>
      <c r="X25" s="18">
        <f t="shared" si="38"/>
        <v>15196.15381751265</v>
      </c>
    </row>
    <row r="26" spans="1:117" x14ac:dyDescent="0.2">
      <c r="B26" s="18" t="s">
        <v>10</v>
      </c>
      <c r="C26" s="18">
        <v>3992</v>
      </c>
      <c r="G26" s="18">
        <v>3621</v>
      </c>
      <c r="H26" s="18">
        <f>G26*(1+H37)</f>
        <v>3729.63</v>
      </c>
      <c r="I26" s="18">
        <f t="shared" ref="I26:J26" si="39">H26*(1+I37)</f>
        <v>3841.5189</v>
      </c>
      <c r="J26" s="18">
        <f t="shared" si="39"/>
        <v>3956.764467</v>
      </c>
      <c r="L26" s="18">
        <v>13548</v>
      </c>
      <c r="M26" s="18">
        <v>30531</v>
      </c>
      <c r="N26" s="18">
        <v>17938</v>
      </c>
      <c r="O26" s="18">
        <f>SUM(G26:J26)</f>
        <v>15148.913367000001</v>
      </c>
    </row>
    <row r="27" spans="1:117" x14ac:dyDescent="0.2">
      <c r="B27" s="18" t="s">
        <v>105</v>
      </c>
      <c r="C27" s="18">
        <f>SUM(C25:C26)</f>
        <v>6475</v>
      </c>
      <c r="D27" s="18">
        <f t="shared" ref="D27:F27" si="40">SUM(D25:D26)</f>
        <v>0</v>
      </c>
      <c r="E27" s="18">
        <f t="shared" si="40"/>
        <v>0</v>
      </c>
      <c r="F27" s="18">
        <f t="shared" si="40"/>
        <v>0</v>
      </c>
      <c r="G27" s="18">
        <f>SUM(G25:G26)</f>
        <v>6173</v>
      </c>
      <c r="H27" s="18">
        <f>SUM(H25:H26)</f>
        <v>6358.1900000000005</v>
      </c>
      <c r="I27" s="18">
        <f t="shared" ref="I27:J27" si="41">SUM(I25:I26)</f>
        <v>6548.9357</v>
      </c>
      <c r="J27" s="18">
        <f t="shared" si="41"/>
        <v>6745.4037709999993</v>
      </c>
      <c r="L27" s="18">
        <f>SUM(L25:L26)</f>
        <v>23590</v>
      </c>
      <c r="M27" s="18">
        <f t="shared" ref="M27:S27" si="42">SUM(M25:M26)</f>
        <v>41035</v>
      </c>
      <c r="N27" s="18">
        <f t="shared" si="42"/>
        <v>28754</v>
      </c>
      <c r="O27" s="18">
        <f t="shared" si="42"/>
        <v>25825.529471000002</v>
      </c>
      <c r="P27" s="18">
        <f t="shared" si="42"/>
        <v>11103.680748159999</v>
      </c>
      <c r="Q27" s="18">
        <f t="shared" si="42"/>
        <v>11547.8279780864</v>
      </c>
      <c r="R27" s="18">
        <f t="shared" si="42"/>
        <v>12009.741097209855</v>
      </c>
      <c r="S27" s="18">
        <f t="shared" si="42"/>
        <v>12490.13074109825</v>
      </c>
      <c r="T27" s="18">
        <f t="shared" ref="T27:X27" si="43">SUM(T25:T26)</f>
        <v>12989.73597074218</v>
      </c>
      <c r="U27" s="18">
        <f t="shared" si="43"/>
        <v>13509.325409571868</v>
      </c>
      <c r="V27" s="18">
        <f t="shared" si="43"/>
        <v>14049.698425954743</v>
      </c>
      <c r="W27" s="18">
        <f t="shared" si="43"/>
        <v>14611.686362992932</v>
      </c>
      <c r="X27" s="18">
        <f t="shared" si="43"/>
        <v>15196.15381751265</v>
      </c>
    </row>
    <row r="28" spans="1:117" s="4" customFormat="1" x14ac:dyDescent="0.2">
      <c r="B28" s="18" t="s">
        <v>11</v>
      </c>
      <c r="C28" s="18">
        <f>C24-C27</f>
        <v>5760</v>
      </c>
      <c r="D28" s="18">
        <f t="shared" ref="D28:F28" si="44">D24-D27</f>
        <v>0</v>
      </c>
      <c r="E28" s="18">
        <f t="shared" si="44"/>
        <v>0</v>
      </c>
      <c r="F28" s="18">
        <f t="shared" si="44"/>
        <v>0</v>
      </c>
      <c r="G28" s="18">
        <f>G24-G27</f>
        <v>5937</v>
      </c>
      <c r="H28" s="18">
        <f>H24-H27</f>
        <v>6115.1100000000006</v>
      </c>
      <c r="I28" s="18">
        <f t="shared" ref="I28:J28" si="45">I24-I27</f>
        <v>6298.5633000000016</v>
      </c>
      <c r="J28" s="18">
        <f t="shared" si="45"/>
        <v>6487.5201990000041</v>
      </c>
      <c r="K28" s="18"/>
      <c r="L28" s="18">
        <f>L24-L27</f>
        <v>18282</v>
      </c>
      <c r="M28" s="18">
        <f t="shared" ref="M28:S28" si="46">M24-M27</f>
        <v>2954</v>
      </c>
      <c r="N28" s="18">
        <f t="shared" si="46"/>
        <v>20221</v>
      </c>
      <c r="O28" s="18">
        <f t="shared" si="46"/>
        <v>32021.529815999987</v>
      </c>
      <c r="P28" s="18">
        <f t="shared" si="46"/>
        <v>50938.4602525929</v>
      </c>
      <c r="Q28" s="18">
        <f t="shared" si="46"/>
        <v>54509.910705589267</v>
      </c>
      <c r="R28" s="18">
        <f t="shared" si="46"/>
        <v>33364.915009251228</v>
      </c>
      <c r="S28" s="18">
        <f t="shared" si="46"/>
        <v>24027.963054803571</v>
      </c>
      <c r="T28" s="18">
        <f t="shared" ref="T28:X28" si="47">T24-T27</f>
        <v>18610.98163516257</v>
      </c>
      <c r="U28" s="18">
        <f t="shared" si="47"/>
        <v>18844.380034939961</v>
      </c>
      <c r="V28" s="18">
        <f t="shared" si="47"/>
        <v>19093.881704697877</v>
      </c>
      <c r="W28" s="18">
        <f t="shared" si="47"/>
        <v>19360.989522378233</v>
      </c>
      <c r="X28" s="18">
        <f t="shared" si="47"/>
        <v>19470.098010435897</v>
      </c>
    </row>
    <row r="29" spans="1:117" x14ac:dyDescent="0.2">
      <c r="B29" s="18" t="s">
        <v>12</v>
      </c>
      <c r="C29" s="18">
        <v>-33</v>
      </c>
      <c r="G29" s="18">
        <v>-35</v>
      </c>
      <c r="H29" s="18">
        <f>G42*$AA$34/4</f>
        <v>46.14</v>
      </c>
      <c r="I29" s="18">
        <f>H42*$AA$34/4</f>
        <v>0</v>
      </c>
      <c r="J29" s="18">
        <f>I42*$AA$34/4</f>
        <v>0</v>
      </c>
      <c r="O29" s="18">
        <f>SUM(G29:J29)</f>
        <v>11.14</v>
      </c>
      <c r="P29" s="18">
        <f t="shared" ref="P29:X29" si="48">O42*$AA$34</f>
        <v>-25.955937676000321</v>
      </c>
      <c r="Q29" s="18">
        <f t="shared" si="48"/>
        <v>788.64413136267001</v>
      </c>
      <c r="R29" s="18">
        <f t="shared" si="48"/>
        <v>1673.4210087539011</v>
      </c>
      <c r="S29" s="18">
        <f t="shared" si="48"/>
        <v>2234.0343850419836</v>
      </c>
      <c r="T29" s="18">
        <f t="shared" si="48"/>
        <v>2654.2263440795123</v>
      </c>
      <c r="U29" s="18">
        <f t="shared" si="48"/>
        <v>2994.4696717473853</v>
      </c>
      <c r="V29" s="18">
        <f t="shared" si="48"/>
        <v>3343.8912670543832</v>
      </c>
      <c r="W29" s="18">
        <f t="shared" si="48"/>
        <v>3702.8956346024197</v>
      </c>
      <c r="X29" s="18">
        <f t="shared" si="48"/>
        <v>4071.9177971141098</v>
      </c>
    </row>
    <row r="30" spans="1:117" x14ac:dyDescent="0.2">
      <c r="B30" s="18" t="s">
        <v>13</v>
      </c>
      <c r="C30" s="18">
        <f>C28+C29</f>
        <v>5727</v>
      </c>
      <c r="D30" s="18">
        <f t="shared" ref="D30:F30" si="49">D28+D29</f>
        <v>0</v>
      </c>
      <c r="E30" s="18">
        <f t="shared" si="49"/>
        <v>0</v>
      </c>
      <c r="F30" s="18">
        <f t="shared" si="49"/>
        <v>0</v>
      </c>
      <c r="G30" s="18">
        <f>G28+G29</f>
        <v>5902</v>
      </c>
      <c r="H30" s="18">
        <f>H28+H29</f>
        <v>6161.2500000000009</v>
      </c>
      <c r="I30" s="18">
        <f t="shared" ref="I30:J30" si="50">I28+I29</f>
        <v>6298.5633000000016</v>
      </c>
      <c r="J30" s="18">
        <f t="shared" si="50"/>
        <v>6487.5201990000041</v>
      </c>
      <c r="L30" s="18">
        <f>L28+L29</f>
        <v>18282</v>
      </c>
      <c r="M30" s="18">
        <f t="shared" ref="M30:S30" si="51">M28+M29</f>
        <v>2954</v>
      </c>
      <c r="N30" s="18">
        <f t="shared" si="51"/>
        <v>20221</v>
      </c>
      <c r="O30" s="18">
        <f t="shared" si="51"/>
        <v>32032.669815999987</v>
      </c>
      <c r="P30" s="18">
        <f t="shared" si="51"/>
        <v>50912.5043149169</v>
      </c>
      <c r="Q30" s="18">
        <f t="shared" si="51"/>
        <v>55298.554836951938</v>
      </c>
      <c r="R30" s="18">
        <f t="shared" si="51"/>
        <v>35038.336018005131</v>
      </c>
      <c r="S30" s="18">
        <f t="shared" si="51"/>
        <v>26261.997439845556</v>
      </c>
      <c r="T30" s="18">
        <f t="shared" ref="T30:X30" si="52">T28+T29</f>
        <v>21265.207979242085</v>
      </c>
      <c r="U30" s="18">
        <f t="shared" si="52"/>
        <v>21838.849706687346</v>
      </c>
      <c r="V30" s="18">
        <f t="shared" si="52"/>
        <v>22437.77297175226</v>
      </c>
      <c r="W30" s="18">
        <f t="shared" si="52"/>
        <v>23063.885156980654</v>
      </c>
      <c r="X30" s="18">
        <f t="shared" si="52"/>
        <v>23542.015807550008</v>
      </c>
    </row>
    <row r="31" spans="1:117" x14ac:dyDescent="0.2">
      <c r="B31" s="18" t="s">
        <v>14</v>
      </c>
      <c r="C31" s="18">
        <v>903</v>
      </c>
      <c r="G31" s="18">
        <v>818</v>
      </c>
      <c r="H31" s="18">
        <f>H30*0.2</f>
        <v>1232.2500000000002</v>
      </c>
      <c r="I31" s="18">
        <f t="shared" ref="I31:J31" si="53">I30*0.2</f>
        <v>1259.7126600000004</v>
      </c>
      <c r="J31" s="18">
        <f t="shared" si="53"/>
        <v>1297.504039800001</v>
      </c>
      <c r="L31" s="18">
        <v>1918</v>
      </c>
      <c r="M31" s="18">
        <v>1512</v>
      </c>
      <c r="N31" s="18">
        <v>2803</v>
      </c>
      <c r="O31" s="18">
        <f>SUM(G31:J31)</f>
        <v>4607.4666998000012</v>
      </c>
      <c r="P31" s="18">
        <f>P30*0.2</f>
        <v>10182.500862983381</v>
      </c>
      <c r="Q31" s="18">
        <f t="shared" ref="Q31:X31" si="54">Q30*0.2</f>
        <v>11059.710967390389</v>
      </c>
      <c r="R31" s="18">
        <f t="shared" si="54"/>
        <v>7007.6672036010268</v>
      </c>
      <c r="S31" s="18">
        <f t="shared" si="54"/>
        <v>5252.3994879691118</v>
      </c>
      <c r="T31" s="18">
        <f t="shared" si="54"/>
        <v>4253.0415958484173</v>
      </c>
      <c r="U31" s="18">
        <f t="shared" si="54"/>
        <v>4367.7699413374694</v>
      </c>
      <c r="V31" s="18">
        <f t="shared" si="54"/>
        <v>4487.5545943504521</v>
      </c>
      <c r="W31" s="18">
        <f t="shared" si="54"/>
        <v>4612.777031396131</v>
      </c>
      <c r="X31" s="18">
        <f t="shared" si="54"/>
        <v>4708.4031615100021</v>
      </c>
    </row>
    <row r="32" spans="1:117" x14ac:dyDescent="0.2">
      <c r="A32" s="4"/>
      <c r="B32" s="18" t="s">
        <v>15</v>
      </c>
      <c r="C32" s="18">
        <f>C30-C31</f>
        <v>4824</v>
      </c>
      <c r="D32" s="18">
        <f t="shared" ref="D32:F32" si="55">D30-D31</f>
        <v>0</v>
      </c>
      <c r="E32" s="18">
        <f t="shared" si="55"/>
        <v>0</v>
      </c>
      <c r="F32" s="18">
        <f t="shared" si="55"/>
        <v>0</v>
      </c>
      <c r="G32" s="18">
        <f>G30-G31</f>
        <v>5084</v>
      </c>
      <c r="H32" s="18">
        <f>H30-H31</f>
        <v>4929.0000000000009</v>
      </c>
      <c r="I32" s="18">
        <f t="shared" ref="I32:J32" si="56">I30-I31</f>
        <v>5038.8506400000015</v>
      </c>
      <c r="J32" s="18">
        <f t="shared" si="56"/>
        <v>5190.0161592000031</v>
      </c>
      <c r="L32" s="18">
        <f>L30-L31</f>
        <v>16364</v>
      </c>
      <c r="M32" s="18">
        <f t="shared" ref="M32:S32" si="57">M30-M31</f>
        <v>1442</v>
      </c>
      <c r="N32" s="18">
        <f t="shared" si="57"/>
        <v>17418</v>
      </c>
      <c r="O32" s="18">
        <f t="shared" si="57"/>
        <v>27425.203116199984</v>
      </c>
      <c r="P32" s="18">
        <f t="shared" si="57"/>
        <v>40730.003451933517</v>
      </c>
      <c r="Q32" s="18">
        <f t="shared" si="57"/>
        <v>44238.843869561548</v>
      </c>
      <c r="R32" s="18">
        <f t="shared" si="57"/>
        <v>28030.668814404104</v>
      </c>
      <c r="S32" s="18">
        <f t="shared" si="57"/>
        <v>21009.597951876443</v>
      </c>
      <c r="T32" s="18">
        <f t="shared" ref="T32:X32" si="58">T30-T31</f>
        <v>17012.166383393669</v>
      </c>
      <c r="U32" s="18">
        <f t="shared" si="58"/>
        <v>17471.079765349878</v>
      </c>
      <c r="V32" s="18">
        <f t="shared" si="58"/>
        <v>17950.218377401809</v>
      </c>
      <c r="W32" s="18">
        <f t="shared" si="58"/>
        <v>18451.108125584524</v>
      </c>
      <c r="X32" s="18">
        <f t="shared" si="58"/>
        <v>18833.612646040005</v>
      </c>
      <c r="Y32" s="18">
        <f t="shared" ref="Y32:BD32" si="59">X32*(1+$AA$35)</f>
        <v>18645.276519579606</v>
      </c>
      <c r="Z32" s="18">
        <f t="shared" si="59"/>
        <v>18458.823754383808</v>
      </c>
      <c r="AA32" s="18">
        <f t="shared" si="59"/>
        <v>18274.23551683997</v>
      </c>
      <c r="AB32" s="18">
        <f t="shared" si="59"/>
        <v>18091.493161671569</v>
      </c>
      <c r="AC32" s="18">
        <f t="shared" si="59"/>
        <v>17910.578230054853</v>
      </c>
      <c r="AD32" s="18">
        <f t="shared" si="59"/>
        <v>17731.472447754302</v>
      </c>
      <c r="AE32" s="18">
        <f t="shared" si="59"/>
        <v>17554.157723276759</v>
      </c>
      <c r="AF32" s="18">
        <f t="shared" si="59"/>
        <v>17378.616146043991</v>
      </c>
      <c r="AG32" s="18">
        <f t="shared" si="59"/>
        <v>17204.82998458355</v>
      </c>
      <c r="AH32" s="18">
        <f t="shared" si="59"/>
        <v>17032.781684737714</v>
      </c>
      <c r="AI32" s="18">
        <f t="shared" si="59"/>
        <v>16862.453867890337</v>
      </c>
      <c r="AJ32" s="18">
        <f t="shared" si="59"/>
        <v>16693.829329211432</v>
      </c>
      <c r="AK32" s="18">
        <f t="shared" si="59"/>
        <v>16526.891035919318</v>
      </c>
      <c r="AL32" s="18">
        <f t="shared" si="59"/>
        <v>16361.622125560125</v>
      </c>
      <c r="AM32" s="18">
        <f t="shared" si="59"/>
        <v>16198.005904304524</v>
      </c>
      <c r="AN32" s="18">
        <f t="shared" si="59"/>
        <v>16036.025845261478</v>
      </c>
      <c r="AO32" s="18">
        <f t="shared" si="59"/>
        <v>15875.665586808864</v>
      </c>
      <c r="AP32" s="18">
        <f t="shared" si="59"/>
        <v>15716.908930940775</v>
      </c>
      <c r="AQ32" s="18">
        <f t="shared" si="59"/>
        <v>15559.739841631368</v>
      </c>
      <c r="AR32" s="18">
        <f t="shared" si="59"/>
        <v>15404.142443215054</v>
      </c>
      <c r="AS32" s="18">
        <f t="shared" si="59"/>
        <v>15250.101018782903</v>
      </c>
      <c r="AT32" s="18">
        <f t="shared" si="59"/>
        <v>15097.600008595075</v>
      </c>
      <c r="AU32" s="18">
        <f t="shared" si="59"/>
        <v>14946.624008509123</v>
      </c>
      <c r="AV32" s="18">
        <f t="shared" si="59"/>
        <v>14797.157768424031</v>
      </c>
      <c r="AW32" s="18">
        <f t="shared" si="59"/>
        <v>14649.186190739791</v>
      </c>
      <c r="AX32" s="18">
        <f t="shared" si="59"/>
        <v>14502.694328832393</v>
      </c>
      <c r="AY32" s="18">
        <f t="shared" si="59"/>
        <v>14357.667385544069</v>
      </c>
      <c r="AZ32" s="18">
        <f t="shared" si="59"/>
        <v>14214.090711688628</v>
      </c>
      <c r="BA32" s="18">
        <f t="shared" si="59"/>
        <v>14071.949804571743</v>
      </c>
      <c r="BB32" s="18">
        <f t="shared" si="59"/>
        <v>13931.230306526026</v>
      </c>
      <c r="BC32" s="18">
        <f t="shared" si="59"/>
        <v>13791.918003460765</v>
      </c>
      <c r="BD32" s="18">
        <f t="shared" si="59"/>
        <v>13653.998823426158</v>
      </c>
      <c r="BE32" s="18">
        <f t="shared" ref="BE32:CJ32" si="60">BD32*(1+$AA$35)</f>
        <v>13517.458835191897</v>
      </c>
      <c r="BF32" s="18">
        <f t="shared" si="60"/>
        <v>13382.284246839978</v>
      </c>
      <c r="BG32" s="18">
        <f t="shared" si="60"/>
        <v>13248.461404371577</v>
      </c>
      <c r="BH32" s="18">
        <f t="shared" si="60"/>
        <v>13115.976790327861</v>
      </c>
      <c r="BI32" s="18">
        <f t="shared" si="60"/>
        <v>12984.817022424582</v>
      </c>
      <c r="BJ32" s="18">
        <f t="shared" si="60"/>
        <v>12854.968852200336</v>
      </c>
      <c r="BK32" s="18">
        <f t="shared" si="60"/>
        <v>12726.419163678333</v>
      </c>
      <c r="BL32" s="18">
        <f t="shared" si="60"/>
        <v>12599.15497204155</v>
      </c>
      <c r="BM32" s="18">
        <f t="shared" si="60"/>
        <v>12473.163422321133</v>
      </c>
      <c r="BN32" s="18">
        <f t="shared" si="60"/>
        <v>12348.431788097922</v>
      </c>
      <c r="BO32" s="18">
        <f t="shared" si="60"/>
        <v>12224.947470216943</v>
      </c>
      <c r="BP32" s="18">
        <f t="shared" si="60"/>
        <v>12102.697995514773</v>
      </c>
      <c r="BQ32" s="18">
        <f t="shared" si="60"/>
        <v>11981.671015559625</v>
      </c>
      <c r="BR32" s="18">
        <f t="shared" si="60"/>
        <v>11861.854305404029</v>
      </c>
      <c r="BS32" s="18">
        <f t="shared" si="60"/>
        <v>11743.235762349988</v>
      </c>
      <c r="BT32" s="18">
        <f t="shared" si="60"/>
        <v>11625.803404726488</v>
      </c>
      <c r="BU32" s="18">
        <f t="shared" si="60"/>
        <v>11509.545370679223</v>
      </c>
      <c r="BV32" s="18">
        <f t="shared" si="60"/>
        <v>11394.449916972431</v>
      </c>
      <c r="BW32" s="18">
        <f t="shared" si="60"/>
        <v>11280.505417802708</v>
      </c>
      <c r="BX32" s="18">
        <f t="shared" si="60"/>
        <v>11167.700363624681</v>
      </c>
      <c r="BY32" s="18">
        <f t="shared" si="60"/>
        <v>11056.023359988434</v>
      </c>
      <c r="BZ32" s="18">
        <f t="shared" si="60"/>
        <v>10945.463126388549</v>
      </c>
      <c r="CA32" s="18">
        <f t="shared" si="60"/>
        <v>10836.008495124664</v>
      </c>
      <c r="CB32" s="18">
        <f t="shared" si="60"/>
        <v>10727.648410173419</v>
      </c>
      <c r="CC32" s="18">
        <f t="shared" si="60"/>
        <v>10620.371926071684</v>
      </c>
      <c r="CD32" s="18">
        <f t="shared" si="60"/>
        <v>10514.168206810968</v>
      </c>
      <c r="CE32" s="18">
        <f t="shared" si="60"/>
        <v>10409.026524742858</v>
      </c>
      <c r="CF32" s="18">
        <f t="shared" si="60"/>
        <v>10304.936259495429</v>
      </c>
      <c r="CG32" s="18">
        <f t="shared" si="60"/>
        <v>10201.886896900474</v>
      </c>
      <c r="CH32" s="18">
        <f t="shared" si="60"/>
        <v>10099.86802793147</v>
      </c>
      <c r="CI32" s="18">
        <f t="shared" si="60"/>
        <v>9998.8693476521548</v>
      </c>
      <c r="CJ32" s="18">
        <f t="shared" si="60"/>
        <v>9898.880654175633</v>
      </c>
      <c r="CK32" s="18">
        <f t="shared" ref="CK32:DM32" si="61">CJ32*(1+$AA$35)</f>
        <v>9799.8918476338768</v>
      </c>
      <c r="CL32" s="18">
        <f t="shared" si="61"/>
        <v>9701.8929291575387</v>
      </c>
      <c r="CM32" s="18">
        <f t="shared" si="61"/>
        <v>9604.8739998659639</v>
      </c>
      <c r="CN32" s="18">
        <f t="shared" si="61"/>
        <v>9508.8252598673043</v>
      </c>
      <c r="CO32" s="18">
        <f t="shared" si="61"/>
        <v>9413.7370072686317</v>
      </c>
      <c r="CP32" s="18">
        <f t="shared" si="61"/>
        <v>9319.5996371959445</v>
      </c>
      <c r="CQ32" s="18">
        <f t="shared" si="61"/>
        <v>9226.4036408239845</v>
      </c>
      <c r="CR32" s="18">
        <f t="shared" si="61"/>
        <v>9134.1396044157445</v>
      </c>
      <c r="CS32" s="18">
        <f t="shared" si="61"/>
        <v>9042.798208371587</v>
      </c>
      <c r="CT32" s="18">
        <f t="shared" si="61"/>
        <v>8952.3702262878705</v>
      </c>
      <c r="CU32" s="18">
        <f t="shared" si="61"/>
        <v>8862.8465240249916</v>
      </c>
      <c r="CV32" s="18">
        <f t="shared" si="61"/>
        <v>8774.2180587847415</v>
      </c>
      <c r="CW32" s="18">
        <f t="shared" si="61"/>
        <v>8686.475878196894</v>
      </c>
      <c r="CX32" s="18">
        <f t="shared" si="61"/>
        <v>8599.6111194149253</v>
      </c>
      <c r="CY32" s="18">
        <f t="shared" si="61"/>
        <v>8513.6150082207751</v>
      </c>
      <c r="CZ32" s="18">
        <f t="shared" si="61"/>
        <v>8428.4788581385674</v>
      </c>
      <c r="DA32" s="18">
        <f t="shared" si="61"/>
        <v>8344.1940695571811</v>
      </c>
      <c r="DB32" s="18">
        <f t="shared" si="61"/>
        <v>8260.7521288616099</v>
      </c>
      <c r="DC32" s="18">
        <f t="shared" si="61"/>
        <v>8178.1446075729937</v>
      </c>
      <c r="DD32" s="18">
        <f t="shared" si="61"/>
        <v>8096.3631614972637</v>
      </c>
      <c r="DE32" s="18">
        <f t="shared" si="61"/>
        <v>8015.3995298822911</v>
      </c>
      <c r="DF32" s="18">
        <f t="shared" si="61"/>
        <v>7935.2455345834678</v>
      </c>
      <c r="DG32" s="18">
        <f t="shared" si="61"/>
        <v>7855.8930792376332</v>
      </c>
      <c r="DH32" s="18">
        <f t="shared" si="61"/>
        <v>7777.3341484452567</v>
      </c>
      <c r="DI32" s="18">
        <f t="shared" si="61"/>
        <v>7699.5608069608043</v>
      </c>
      <c r="DJ32" s="18">
        <f t="shared" si="61"/>
        <v>7622.5651988911959</v>
      </c>
      <c r="DK32" s="18">
        <f t="shared" si="61"/>
        <v>7546.3395469022835</v>
      </c>
      <c r="DL32" s="18">
        <f t="shared" si="61"/>
        <v>7470.8761514332609</v>
      </c>
      <c r="DM32" s="18">
        <f t="shared" si="61"/>
        <v>7396.1673899189282</v>
      </c>
    </row>
    <row r="33" spans="1:27" x14ac:dyDescent="0.2">
      <c r="B33" s="18" t="s">
        <v>1</v>
      </c>
      <c r="C33" s="18">
        <v>2511</v>
      </c>
      <c r="G33" s="18">
        <v>2511.0309999999999</v>
      </c>
      <c r="H33" s="18">
        <v>2511.0309999999999</v>
      </c>
      <c r="I33" s="18">
        <v>2511.0309999999999</v>
      </c>
      <c r="J33" s="18">
        <v>2511.0309999999999</v>
      </c>
      <c r="L33" s="18">
        <f>L32/L34</f>
        <v>2865.8493870402804</v>
      </c>
      <c r="M33" s="18">
        <f>M32/M34</f>
        <v>10299.999999999998</v>
      </c>
      <c r="N33" s="18">
        <f>N32/N34</f>
        <v>2584.2729970326409</v>
      </c>
      <c r="O33" s="18">
        <v>2530</v>
      </c>
      <c r="P33" s="18">
        <v>2530</v>
      </c>
      <c r="Q33" s="18">
        <v>2530</v>
      </c>
      <c r="R33" s="18">
        <v>2530</v>
      </c>
      <c r="S33" s="18">
        <v>2530</v>
      </c>
      <c r="T33" s="18">
        <v>2530</v>
      </c>
      <c r="U33" s="18">
        <v>2530</v>
      </c>
      <c r="V33" s="18">
        <v>2530</v>
      </c>
      <c r="W33" s="18">
        <v>2530</v>
      </c>
      <c r="X33" s="18">
        <v>2530</v>
      </c>
    </row>
    <row r="34" spans="1:27" x14ac:dyDescent="0.2">
      <c r="B34" s="18" t="s">
        <v>16</v>
      </c>
      <c r="C34" s="21">
        <f>C32/C33</f>
        <v>1.9211469534050178</v>
      </c>
      <c r="D34" s="21" t="e">
        <f t="shared" ref="D34:F34" si="62">D32/D33</f>
        <v>#DIV/0!</v>
      </c>
      <c r="E34" s="21" t="e">
        <f t="shared" si="62"/>
        <v>#DIV/0!</v>
      </c>
      <c r="F34" s="21" t="e">
        <f t="shared" si="62"/>
        <v>#DIV/0!</v>
      </c>
      <c r="G34" s="21">
        <f>G32/G33</f>
        <v>2.0246663621436771</v>
      </c>
      <c r="H34" s="21">
        <f>H32/H33</f>
        <v>1.9629387291514924</v>
      </c>
      <c r="I34" s="21">
        <f t="shared" ref="I34:J34" si="63">I32/I33</f>
        <v>2.0066859548926326</v>
      </c>
      <c r="J34" s="21">
        <f t="shared" si="63"/>
        <v>2.066886533539412</v>
      </c>
      <c r="L34" s="21">
        <v>5.71</v>
      </c>
      <c r="M34" s="21">
        <v>0.14000000000000001</v>
      </c>
      <c r="N34" s="21">
        <v>6.74</v>
      </c>
      <c r="O34" s="21">
        <f t="shared" ref="O34:S34" si="64">O32/O33</f>
        <v>10.840001231699599</v>
      </c>
      <c r="P34" s="21">
        <f t="shared" si="64"/>
        <v>16.098815593649611</v>
      </c>
      <c r="Q34" s="21">
        <f t="shared" si="64"/>
        <v>17.48570903935239</v>
      </c>
      <c r="R34" s="21">
        <f t="shared" si="64"/>
        <v>11.079315736918618</v>
      </c>
      <c r="S34" s="21">
        <f t="shared" si="64"/>
        <v>8.3041889137851559</v>
      </c>
      <c r="T34" s="21">
        <f t="shared" ref="T34:X34" si="65">T32/T33</f>
        <v>6.7241764361239795</v>
      </c>
      <c r="U34" s="21">
        <f t="shared" si="65"/>
        <v>6.9055651246442205</v>
      </c>
      <c r="V34" s="21">
        <f t="shared" si="65"/>
        <v>7.0949479752576314</v>
      </c>
      <c r="W34" s="21">
        <f t="shared" si="65"/>
        <v>7.2929281128792587</v>
      </c>
      <c r="X34" s="21">
        <f t="shared" si="65"/>
        <v>7.4441156703715432</v>
      </c>
      <c r="Z34" s="18" t="s">
        <v>32</v>
      </c>
      <c r="AA34" s="19">
        <v>0.02</v>
      </c>
    </row>
    <row r="35" spans="1:27" x14ac:dyDescent="0.2">
      <c r="Z35" s="18" t="s">
        <v>33</v>
      </c>
      <c r="AA35" s="19">
        <v>-0.01</v>
      </c>
    </row>
    <row r="36" spans="1:27" s="4" customFormat="1" x14ac:dyDescent="0.2">
      <c r="B36" s="4" t="s">
        <v>29</v>
      </c>
      <c r="G36" s="5">
        <f>G22/C22-1</f>
        <v>-1.5594294770206019E-2</v>
      </c>
      <c r="H36" s="5" t="e">
        <f>H22/D22-1</f>
        <v>#DIV/0!</v>
      </c>
      <c r="I36" s="5" t="e">
        <f t="shared" ref="I36:J36" si="66">I22/E22-1</f>
        <v>#DIV/0!</v>
      </c>
      <c r="J36" s="5" t="e">
        <f t="shared" si="66"/>
        <v>#DIV/0!</v>
      </c>
      <c r="L36" s="5"/>
      <c r="M36" s="5">
        <f>M22/L22-1</f>
        <v>1.4034377477523119E-2</v>
      </c>
      <c r="N36" s="5">
        <f t="shared" ref="N36:S36" si="67">N22/M22-1</f>
        <v>6.7420776844381525E-2</v>
      </c>
      <c r="O36" s="5">
        <f t="shared" si="67"/>
        <v>0.12440593442214176</v>
      </c>
      <c r="P36" s="5">
        <f t="shared" si="67"/>
        <v>7.2520224285552715E-2</v>
      </c>
      <c r="Q36" s="5">
        <f t="shared" si="67"/>
        <v>6.4723712272824807E-2</v>
      </c>
      <c r="R36" s="5">
        <f t="shared" si="67"/>
        <v>-0.31310612487444744</v>
      </c>
      <c r="S36" s="5">
        <f t="shared" si="67"/>
        <v>-0.19518742554829283</v>
      </c>
      <c r="T36" s="5">
        <f t="shared" ref="T36" si="68">T22/S22-1</f>
        <v>-0.134655883669068</v>
      </c>
      <c r="U36" s="5">
        <f t="shared" ref="U36" si="69">U22/T22-1</f>
        <v>2.3828187954389346E-2</v>
      </c>
      <c r="V36" s="5">
        <f t="shared" ref="V36" si="70">V22/U22-1</f>
        <v>2.4413731759271418E-2</v>
      </c>
      <c r="W36" s="5">
        <f t="shared" ref="W36" si="71">W22/V22-1</f>
        <v>2.5015274495097772E-2</v>
      </c>
      <c r="X36" s="5">
        <f t="shared" ref="X36" si="72">X22/W22-1</f>
        <v>2.0415699514445107E-2</v>
      </c>
      <c r="Z36" s="18" t="s">
        <v>34</v>
      </c>
      <c r="AA36" s="19">
        <v>7.0000000000000007E-2</v>
      </c>
    </row>
    <row r="37" spans="1:27" x14ac:dyDescent="0.2">
      <c r="A37" s="4"/>
      <c r="B37" s="18" t="s">
        <v>28</v>
      </c>
      <c r="D37" s="19">
        <f>D22/C22-1</f>
        <v>-1</v>
      </c>
      <c r="E37" s="19" t="e">
        <f t="shared" ref="E37:H37" si="73">E22/D22-1</f>
        <v>#DIV/0!</v>
      </c>
      <c r="F37" s="19" t="e">
        <f t="shared" si="73"/>
        <v>#DIV/0!</v>
      </c>
      <c r="G37" s="19" t="e">
        <f t="shared" si="73"/>
        <v>#DIV/0!</v>
      </c>
      <c r="H37" s="19">
        <f t="shared" si="73"/>
        <v>3.0000000000000027E-2</v>
      </c>
      <c r="I37" s="19">
        <f t="shared" ref="I37:J37" si="74">I22/H22-1</f>
        <v>3.0000000000000027E-2</v>
      </c>
      <c r="J37" s="19">
        <f t="shared" si="74"/>
        <v>3.0000000000000027E-2</v>
      </c>
      <c r="Z37" s="4" t="s">
        <v>35</v>
      </c>
      <c r="AA37" s="4">
        <f>NPV(AA36,O32:DM32)+Main!L5-Main!L6</f>
        <v>272028.55347452633</v>
      </c>
    </row>
    <row r="38" spans="1:27" x14ac:dyDescent="0.2">
      <c r="C38" s="19"/>
      <c r="D38" s="19"/>
      <c r="E38" s="19"/>
      <c r="F38" s="19"/>
      <c r="G38" s="19"/>
      <c r="H38" s="19"/>
      <c r="I38" s="19"/>
      <c r="J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Z38" s="18" t="s">
        <v>106</v>
      </c>
      <c r="AA38" s="21">
        <f>AA37/Main!L3</f>
        <v>108.33341104690716</v>
      </c>
    </row>
    <row r="39" spans="1:27" x14ac:dyDescent="0.2">
      <c r="B39" s="18" t="s">
        <v>17</v>
      </c>
      <c r="C39" s="19">
        <f t="shared" ref="C39:J39" si="75">C24/C22</f>
        <v>0.77559429477020603</v>
      </c>
      <c r="D39" s="19" t="e">
        <f t="shared" si="75"/>
        <v>#DIV/0!</v>
      </c>
      <c r="E39" s="19" t="e">
        <f t="shared" si="75"/>
        <v>#DIV/0!</v>
      </c>
      <c r="F39" s="19" t="e">
        <f t="shared" si="75"/>
        <v>#DIV/0!</v>
      </c>
      <c r="G39" s="19">
        <f t="shared" si="75"/>
        <v>0.77983128340524177</v>
      </c>
      <c r="H39" s="19">
        <f t="shared" si="75"/>
        <v>0.77983128340524188</v>
      </c>
      <c r="I39" s="19">
        <f t="shared" si="75"/>
        <v>0.77983128340524188</v>
      </c>
      <c r="J39" s="19">
        <f t="shared" si="75"/>
        <v>0.77983128340524188</v>
      </c>
      <c r="L39" s="19">
        <f t="shared" ref="L39:X39" si="76">L24/L22</f>
        <v>0.70630703574380516</v>
      </c>
      <c r="M39" s="19">
        <f t="shared" si="76"/>
        <v>0.73174748398902101</v>
      </c>
      <c r="N39" s="19">
        <f t="shared" si="76"/>
        <v>0.76323089390350329</v>
      </c>
      <c r="O39" s="19">
        <f t="shared" si="76"/>
        <v>0.80175126466925972</v>
      </c>
      <c r="P39" s="19">
        <f t="shared" si="76"/>
        <v>0.80175126466925972</v>
      </c>
      <c r="Q39" s="19">
        <f t="shared" si="76"/>
        <v>0.80175126466925983</v>
      </c>
      <c r="R39" s="19">
        <f t="shared" si="76"/>
        <v>0.80175126466925972</v>
      </c>
      <c r="S39" s="19">
        <f t="shared" si="76"/>
        <v>0.80175126466925972</v>
      </c>
      <c r="T39" s="19">
        <f t="shared" si="76"/>
        <v>0.80175126466925972</v>
      </c>
      <c r="U39" s="19">
        <f t="shared" si="76"/>
        <v>0.80175126466925972</v>
      </c>
      <c r="V39" s="19">
        <f t="shared" si="76"/>
        <v>0.80175126466925972</v>
      </c>
      <c r="W39" s="19">
        <f t="shared" si="76"/>
        <v>0.80175126466925972</v>
      </c>
      <c r="X39" s="19">
        <f t="shared" si="76"/>
        <v>0.80175126466925983</v>
      </c>
      <c r="AA39" s="19">
        <f>AA38/Main!L2-1</f>
        <v>0.27451071819890771</v>
      </c>
    </row>
    <row r="40" spans="1:27" x14ac:dyDescent="0.2">
      <c r="A40" s="4"/>
      <c r="B40" s="18" t="s">
        <v>18</v>
      </c>
      <c r="C40" s="19">
        <f t="shared" ref="C40:J40" si="77">C28/C22</f>
        <v>0.36513470681458005</v>
      </c>
      <c r="D40" s="19" t="e">
        <f t="shared" si="77"/>
        <v>#DIV/0!</v>
      </c>
      <c r="E40" s="19" t="e">
        <f t="shared" si="77"/>
        <v>#DIV/0!</v>
      </c>
      <c r="F40" s="19" t="e">
        <f t="shared" si="77"/>
        <v>#DIV/0!</v>
      </c>
      <c r="G40" s="19">
        <f t="shared" si="77"/>
        <v>0.38231695537381671</v>
      </c>
      <c r="H40" s="19">
        <f t="shared" si="77"/>
        <v>0.38231695537381677</v>
      </c>
      <c r="I40" s="19">
        <f t="shared" si="77"/>
        <v>0.38231695537381677</v>
      </c>
      <c r="J40" s="19">
        <f t="shared" si="77"/>
        <v>0.38231695537381688</v>
      </c>
      <c r="L40" s="19">
        <f t="shared" ref="L40:X40" si="78">L28/L22</f>
        <v>0.3083852031779768</v>
      </c>
      <c r="M40" s="19">
        <f t="shared" si="78"/>
        <v>4.9139149962571738E-2</v>
      </c>
      <c r="N40" s="19">
        <f t="shared" si="78"/>
        <v>0.31512591946141377</v>
      </c>
      <c r="O40" s="19">
        <f t="shared" si="78"/>
        <v>0.44381343395950251</v>
      </c>
      <c r="P40" s="19">
        <f t="shared" si="78"/>
        <v>0.65826185668424264</v>
      </c>
      <c r="Q40" s="19">
        <f t="shared" si="78"/>
        <v>0.66159379228061133</v>
      </c>
      <c r="R40" s="19">
        <f t="shared" si="78"/>
        <v>0.58954414423518775</v>
      </c>
      <c r="S40" s="19">
        <f t="shared" si="78"/>
        <v>0.52753163607835774</v>
      </c>
      <c r="T40" s="19">
        <f t="shared" si="78"/>
        <v>0.47218478544739834</v>
      </c>
      <c r="U40" s="19">
        <f t="shared" si="78"/>
        <v>0.4669791394012992</v>
      </c>
      <c r="V40" s="19">
        <f t="shared" si="78"/>
        <v>0.46188564252383701</v>
      </c>
      <c r="W40" s="19">
        <f t="shared" si="78"/>
        <v>0.45691713797261407</v>
      </c>
      <c r="X40" s="19">
        <f t="shared" si="78"/>
        <v>0.45029891839983172</v>
      </c>
    </row>
    <row r="41" spans="1:27" x14ac:dyDescent="0.2">
      <c r="L41" s="19"/>
      <c r="M41" s="19"/>
      <c r="N41" s="19"/>
    </row>
    <row r="42" spans="1:27" x14ac:dyDescent="0.2">
      <c r="B42" s="18" t="s">
        <v>21</v>
      </c>
      <c r="G42" s="18">
        <f>G44+G45-G67-G68-G65-G62</f>
        <v>9228</v>
      </c>
      <c r="H42" s="18">
        <f>H44+H45-H67-H68-H65-H62</f>
        <v>0</v>
      </c>
      <c r="I42" s="18">
        <f>I44+I45-I67-I68-I65-I62</f>
        <v>0</v>
      </c>
      <c r="J42" s="18">
        <f>J44+J45-J67-J68-J65-J62</f>
        <v>0</v>
      </c>
      <c r="M42" s="18">
        <f>M44+M45-M67-M68-M65-M62</f>
        <v>-31482</v>
      </c>
      <c r="N42" s="18">
        <f>N44+N45-N67-N68-N65-N62</f>
        <v>-28723</v>
      </c>
      <c r="O42" s="18">
        <f>N42+O32</f>
        <v>-1297.7968838000161</v>
      </c>
      <c r="P42" s="18">
        <f t="shared" ref="P42:X42" si="79">O42+P32</f>
        <v>39432.206568133501</v>
      </c>
      <c r="Q42" s="18">
        <f t="shared" si="79"/>
        <v>83671.050437695056</v>
      </c>
      <c r="R42" s="18">
        <f t="shared" si="79"/>
        <v>111701.71925209917</v>
      </c>
      <c r="S42" s="18">
        <f t="shared" si="79"/>
        <v>132711.3172039756</v>
      </c>
      <c r="T42" s="18">
        <f t="shared" si="79"/>
        <v>149723.48358736926</v>
      </c>
      <c r="U42" s="18">
        <f t="shared" si="79"/>
        <v>167194.56335271915</v>
      </c>
      <c r="V42" s="18">
        <f t="shared" si="79"/>
        <v>185144.78173012097</v>
      </c>
      <c r="W42" s="18">
        <f t="shared" si="79"/>
        <v>203595.88985570549</v>
      </c>
      <c r="X42" s="18">
        <f t="shared" si="79"/>
        <v>222429.5025017455</v>
      </c>
    </row>
    <row r="44" spans="1:27" x14ac:dyDescent="0.2">
      <c r="B44" s="18" t="s">
        <v>3</v>
      </c>
      <c r="G44" s="18">
        <f>8629+599</f>
        <v>9228</v>
      </c>
      <c r="M44" s="18">
        <v>6841</v>
      </c>
      <c r="N44" s="18">
        <v>13242</v>
      </c>
    </row>
    <row r="45" spans="1:27" x14ac:dyDescent="0.2">
      <c r="B45" s="18" t="s">
        <v>73</v>
      </c>
      <c r="M45" s="18">
        <v>252</v>
      </c>
      <c r="N45" s="18">
        <v>447</v>
      </c>
    </row>
    <row r="46" spans="1:27" x14ac:dyDescent="0.2">
      <c r="B46" s="18" t="s">
        <v>54</v>
      </c>
      <c r="M46" s="18">
        <v>10349</v>
      </c>
      <c r="N46" s="18">
        <v>10278</v>
      </c>
    </row>
    <row r="47" spans="1:27" x14ac:dyDescent="0.2">
      <c r="B47" s="18" t="s">
        <v>55</v>
      </c>
      <c r="M47" s="18">
        <v>6358</v>
      </c>
      <c r="N47" s="18">
        <v>6109</v>
      </c>
    </row>
    <row r="48" spans="1:27" x14ac:dyDescent="0.2">
      <c r="B48" s="18" t="s">
        <v>56</v>
      </c>
      <c r="M48" s="18">
        <v>8368</v>
      </c>
      <c r="N48" s="18">
        <v>8706</v>
      </c>
    </row>
    <row r="49" spans="2:14" x14ac:dyDescent="0.2">
      <c r="B49" s="18" t="s">
        <v>57</v>
      </c>
      <c r="M49" s="18">
        <v>252</v>
      </c>
      <c r="N49" s="18">
        <v>463</v>
      </c>
    </row>
    <row r="50" spans="2:14" x14ac:dyDescent="0.2">
      <c r="B50" s="18" t="s">
        <v>59</v>
      </c>
      <c r="M50" s="18">
        <v>326</v>
      </c>
      <c r="N50" s="18">
        <v>307</v>
      </c>
    </row>
    <row r="51" spans="2:14" x14ac:dyDescent="0.2">
      <c r="B51" s="18" t="s">
        <v>60</v>
      </c>
      <c r="M51" s="18">
        <v>14966</v>
      </c>
      <c r="N51" s="18">
        <v>16360</v>
      </c>
    </row>
    <row r="52" spans="2:14" x14ac:dyDescent="0.2">
      <c r="B52" s="18" t="s">
        <v>61</v>
      </c>
      <c r="M52" s="18">
        <v>17763</v>
      </c>
      <c r="N52" s="18">
        <v>18283</v>
      </c>
    </row>
    <row r="53" spans="2:14" x14ac:dyDescent="0.2">
      <c r="B53" s="18" t="s">
        <v>62</v>
      </c>
      <c r="M53" s="18">
        <v>8262</v>
      </c>
      <c r="N53" s="18">
        <v>7984</v>
      </c>
    </row>
    <row r="54" spans="2:14" x14ac:dyDescent="0.2">
      <c r="B54" s="18" t="s">
        <v>58</v>
      </c>
      <c r="M54" s="18">
        <f>SUM(M50:M53)</f>
        <v>41317</v>
      </c>
      <c r="N54" s="18">
        <f>SUM(N50:N53)</f>
        <v>42934</v>
      </c>
    </row>
    <row r="55" spans="2:14" x14ac:dyDescent="0.2">
      <c r="B55" s="18" t="s">
        <v>63</v>
      </c>
      <c r="M55" s="18">
        <v>18266</v>
      </c>
      <c r="N55" s="18">
        <v>19155</v>
      </c>
    </row>
    <row r="56" spans="2:14" x14ac:dyDescent="0.2">
      <c r="B56" s="18" t="s">
        <v>81</v>
      </c>
      <c r="M56" s="18">
        <f>M54-M55</f>
        <v>23051</v>
      </c>
      <c r="N56" s="18">
        <f>N54-N55</f>
        <v>23779</v>
      </c>
    </row>
    <row r="57" spans="2:14" x14ac:dyDescent="0.2">
      <c r="B57" s="18" t="s">
        <v>64</v>
      </c>
      <c r="M57" s="18">
        <v>21197</v>
      </c>
      <c r="N57" s="18">
        <v>21668</v>
      </c>
    </row>
    <row r="58" spans="2:14" x14ac:dyDescent="0.2">
      <c r="B58" s="18" t="s">
        <v>65</v>
      </c>
      <c r="M58" s="18">
        <v>18011</v>
      </c>
      <c r="N58" s="18">
        <v>16370</v>
      </c>
    </row>
    <row r="59" spans="2:14" x14ac:dyDescent="0.2">
      <c r="B59" s="18" t="s">
        <v>66</v>
      </c>
      <c r="M59" s="18">
        <v>11996</v>
      </c>
      <c r="N59" s="18">
        <v>16044</v>
      </c>
    </row>
    <row r="60" spans="2:14" x14ac:dyDescent="0.2">
      <c r="B60" s="18" t="s">
        <v>78</v>
      </c>
      <c r="M60" s="18">
        <f>SUM(M56:M59,M44:M49)</f>
        <v>106675</v>
      </c>
      <c r="N60" s="18">
        <f>SUM(N56:N59,N44:N49)</f>
        <v>117106</v>
      </c>
    </row>
    <row r="62" spans="2:14" x14ac:dyDescent="0.2">
      <c r="B62" s="18" t="s">
        <v>67</v>
      </c>
      <c r="M62" s="18">
        <v>1372</v>
      </c>
      <c r="N62" s="18">
        <v>2649</v>
      </c>
    </row>
    <row r="63" spans="2:14" x14ac:dyDescent="0.2">
      <c r="B63" s="18" t="s">
        <v>68</v>
      </c>
      <c r="M63" s="18">
        <v>3922</v>
      </c>
      <c r="N63" s="18">
        <v>4079</v>
      </c>
    </row>
    <row r="64" spans="2:14" x14ac:dyDescent="0.2">
      <c r="B64" s="18" t="s">
        <v>69</v>
      </c>
      <c r="M64" s="18">
        <v>15766</v>
      </c>
      <c r="N64" s="18">
        <v>15694</v>
      </c>
    </row>
    <row r="65" spans="2:24" x14ac:dyDescent="0.2">
      <c r="B65" s="18" t="s">
        <v>70</v>
      </c>
      <c r="M65" s="18">
        <v>2649</v>
      </c>
      <c r="N65" s="18">
        <v>3914</v>
      </c>
    </row>
    <row r="66" spans="2:24" x14ac:dyDescent="0.2">
      <c r="B66" s="18" t="s">
        <v>71</v>
      </c>
      <c r="M66" s="18">
        <v>1985</v>
      </c>
      <c r="N66" s="18">
        <v>2084</v>
      </c>
    </row>
    <row r="67" spans="2:24" x14ac:dyDescent="0.2">
      <c r="B67" s="18" t="s">
        <v>72</v>
      </c>
      <c r="M67" s="18">
        <v>33683</v>
      </c>
      <c r="N67" s="18">
        <v>34462</v>
      </c>
    </row>
    <row r="68" spans="2:24" x14ac:dyDescent="0.2">
      <c r="B68" s="18" t="s">
        <v>74</v>
      </c>
      <c r="M68" s="18">
        <v>871</v>
      </c>
      <c r="N68" s="18">
        <v>1387</v>
      </c>
    </row>
    <row r="69" spans="2:24" x14ac:dyDescent="0.2">
      <c r="B69" s="18" t="s">
        <v>75</v>
      </c>
      <c r="M69" s="18">
        <v>8792</v>
      </c>
      <c r="N69" s="18">
        <v>6465</v>
      </c>
    </row>
    <row r="70" spans="2:24" x14ac:dyDescent="0.2">
      <c r="B70" s="18" t="s">
        <v>80</v>
      </c>
      <c r="M70" s="18">
        <f>SUM(M63:M69)</f>
        <v>67668</v>
      </c>
      <c r="N70" s="18">
        <f>SUM(N63:N69)</f>
        <v>68085</v>
      </c>
    </row>
    <row r="71" spans="2:24" x14ac:dyDescent="0.2">
      <c r="B71" s="18" t="s">
        <v>76</v>
      </c>
      <c r="M71" s="18">
        <f>M60-M70</f>
        <v>39007</v>
      </c>
      <c r="N71" s="18">
        <f>N60-N70</f>
        <v>49021</v>
      </c>
    </row>
    <row r="72" spans="2:24" x14ac:dyDescent="0.2">
      <c r="B72" s="18" t="s">
        <v>79</v>
      </c>
      <c r="M72" s="18">
        <f>M71+M70</f>
        <v>106675</v>
      </c>
      <c r="N72" s="18">
        <f>N71+N70</f>
        <v>117106</v>
      </c>
    </row>
    <row r="74" spans="2:24" x14ac:dyDescent="0.2">
      <c r="B74" s="18" t="s">
        <v>77</v>
      </c>
      <c r="M74" s="18">
        <f>M46/M22*360</f>
        <v>61.9752141728354</v>
      </c>
      <c r="N74" s="18">
        <f>N46/N22*360</f>
        <v>57.662386236130153</v>
      </c>
    </row>
    <row r="76" spans="2:24" x14ac:dyDescent="0.2">
      <c r="B76" s="18" t="s">
        <v>83</v>
      </c>
      <c r="L76" s="18">
        <f t="shared" ref="L76:X76" si="80">L32</f>
        <v>16364</v>
      </c>
      <c r="M76" s="18">
        <f t="shared" si="80"/>
        <v>1442</v>
      </c>
      <c r="N76" s="18">
        <f t="shared" si="80"/>
        <v>17418</v>
      </c>
      <c r="O76" s="18">
        <f t="shared" si="80"/>
        <v>27425.203116199984</v>
      </c>
      <c r="P76" s="18">
        <f t="shared" si="80"/>
        <v>40730.003451933517</v>
      </c>
      <c r="Q76" s="18">
        <f t="shared" si="80"/>
        <v>44238.843869561548</v>
      </c>
      <c r="R76" s="18">
        <f t="shared" si="80"/>
        <v>28030.668814404104</v>
      </c>
      <c r="S76" s="18">
        <f t="shared" si="80"/>
        <v>21009.597951876443</v>
      </c>
      <c r="T76" s="18">
        <f t="shared" si="80"/>
        <v>17012.166383393669</v>
      </c>
      <c r="U76" s="18">
        <f t="shared" si="80"/>
        <v>17471.079765349878</v>
      </c>
      <c r="V76" s="18">
        <f t="shared" si="80"/>
        <v>17950.218377401809</v>
      </c>
      <c r="W76" s="18">
        <f t="shared" si="80"/>
        <v>18451.108125584524</v>
      </c>
      <c r="X76" s="18">
        <f t="shared" si="80"/>
        <v>18833.612646040005</v>
      </c>
    </row>
    <row r="77" spans="2:24" x14ac:dyDescent="0.2">
      <c r="B77" s="18" t="s">
        <v>84</v>
      </c>
      <c r="L77" s="18">
        <v>14526</v>
      </c>
      <c r="M77" s="18">
        <v>377</v>
      </c>
      <c r="N77" s="18">
        <v>17133</v>
      </c>
    </row>
    <row r="78" spans="2:24" x14ac:dyDescent="0.2">
      <c r="B78" s="18" t="s">
        <v>85</v>
      </c>
      <c r="L78" s="18">
        <f>2085+1824</f>
        <v>3909</v>
      </c>
      <c r="M78" s="18">
        <f>2044+1828</f>
        <v>3872</v>
      </c>
      <c r="N78" s="18">
        <f>2395+2104</f>
        <v>4499</v>
      </c>
      <c r="O78" s="18">
        <f>N78*(1+O36)</f>
        <v>5058.702298965216</v>
      </c>
      <c r="P78" s="18">
        <f>O78*1.08</f>
        <v>5463.3984828824332</v>
      </c>
      <c r="Q78" s="18">
        <f t="shared" ref="Q78:R78" si="81">P78*1.08</f>
        <v>5900.4703615130284</v>
      </c>
      <c r="R78" s="18">
        <f t="shared" si="81"/>
        <v>6372.507990434071</v>
      </c>
      <c r="S78" s="18">
        <f t="shared" ref="S78:X78" si="82">R78*(1+S36)</f>
        <v>5128.6745614953197</v>
      </c>
      <c r="T78" s="18">
        <f t="shared" si="82"/>
        <v>4438.0683563660978</v>
      </c>
      <c r="U78" s="18">
        <f t="shared" si="82"/>
        <v>4543.8194833160169</v>
      </c>
      <c r="V78" s="18">
        <f t="shared" si="82"/>
        <v>4654.751073344245</v>
      </c>
      <c r="W78" s="18">
        <f t="shared" si="82"/>
        <v>4771.190949150302</v>
      </c>
      <c r="X78" s="18">
        <f t="shared" si="82"/>
        <v>4868.5981498941946</v>
      </c>
    </row>
    <row r="79" spans="2:24" x14ac:dyDescent="0.2">
      <c r="B79" s="18" t="s">
        <v>94</v>
      </c>
      <c r="L79" s="18">
        <v>1749</v>
      </c>
      <c r="M79" s="18">
        <v>792</v>
      </c>
      <c r="N79" s="18">
        <v>39</v>
      </c>
      <c r="O79" s="18">
        <f t="shared" ref="O79:X79" si="83">N79*(1+O36)</f>
        <v>43.851831442463528</v>
      </c>
      <c r="P79" s="18">
        <f t="shared" si="83"/>
        <v>47.031976094003234</v>
      </c>
      <c r="Q79" s="18">
        <f t="shared" si="83"/>
        <v>50.076060182333876</v>
      </c>
      <c r="R79" s="18">
        <f t="shared" si="83"/>
        <v>34.396939029663699</v>
      </c>
      <c r="S79" s="18">
        <f t="shared" si="83"/>
        <v>27.683089053722046</v>
      </c>
      <c r="T79" s="18">
        <f t="shared" si="83"/>
        <v>23.955398234503601</v>
      </c>
      <c r="U79" s="18">
        <f t="shared" si="83"/>
        <v>24.5262119661576</v>
      </c>
      <c r="V79" s="18">
        <f t="shared" si="83"/>
        <v>25.124988326170406</v>
      </c>
      <c r="W79" s="18">
        <f t="shared" si="83"/>
        <v>25.753496805835685</v>
      </c>
      <c r="X79" s="18">
        <f t="shared" si="83"/>
        <v>26.279272458069848</v>
      </c>
    </row>
    <row r="80" spans="2:24" x14ac:dyDescent="0.2">
      <c r="B80" s="18" t="s">
        <v>86</v>
      </c>
      <c r="L80" s="18">
        <v>1419</v>
      </c>
      <c r="M80" s="18">
        <v>-340</v>
      </c>
      <c r="N80" s="18">
        <v>-14</v>
      </c>
      <c r="O80" s="18">
        <f t="shared" ref="O80:X80" si="84">N80*(1+O36)</f>
        <v>-15.741683081909985</v>
      </c>
      <c r="P80" s="18">
        <f t="shared" si="84"/>
        <v>-16.883273469642187</v>
      </c>
      <c r="Q80" s="18">
        <f t="shared" si="84"/>
        <v>-17.976021603914724</v>
      </c>
      <c r="R80" s="18">
        <f t="shared" si="84"/>
        <v>-12.347619138853636</v>
      </c>
      <c r="S80" s="18">
        <f t="shared" si="84"/>
        <v>-9.9375191474899669</v>
      </c>
      <c r="T80" s="18">
        <f t="shared" si="84"/>
        <v>-8.5993737252064228</v>
      </c>
      <c r="U80" s="18">
        <f t="shared" si="84"/>
        <v>-8.8042812186206785</v>
      </c>
      <c r="V80" s="18">
        <f t="shared" si="84"/>
        <v>-9.0192265786252754</v>
      </c>
      <c r="W80" s="18">
        <f t="shared" si="84"/>
        <v>-9.2448450072230681</v>
      </c>
      <c r="X80" s="18">
        <f t="shared" si="84"/>
        <v>-9.433584984948153</v>
      </c>
    </row>
    <row r="81" spans="2:24" x14ac:dyDescent="0.2">
      <c r="B81" s="18" t="s">
        <v>87</v>
      </c>
      <c r="L81" s="18">
        <v>0</v>
      </c>
      <c r="M81" s="18">
        <v>11409</v>
      </c>
      <c r="N81" s="18">
        <v>3456</v>
      </c>
      <c r="O81" s="18">
        <f t="shared" ref="O81:X81" si="85">N81*(1+O36)</f>
        <v>3885.9469093629218</v>
      </c>
      <c r="P81" s="18">
        <f t="shared" si="85"/>
        <v>4167.7566507916717</v>
      </c>
      <c r="Q81" s="18">
        <f t="shared" si="85"/>
        <v>4437.509333080664</v>
      </c>
      <c r="R81" s="18">
        <f t="shared" si="85"/>
        <v>3048.0979817055836</v>
      </c>
      <c r="S81" s="18">
        <f t="shared" si="85"/>
        <v>2453.1475838375236</v>
      </c>
      <c r="T81" s="18">
        <f t="shared" si="85"/>
        <v>2122.8168281652429</v>
      </c>
      <c r="U81" s="18">
        <f t="shared" si="85"/>
        <v>2173.3997065395051</v>
      </c>
      <c r="V81" s="18">
        <f t="shared" si="85"/>
        <v>2226.4605039806397</v>
      </c>
      <c r="W81" s="18">
        <f t="shared" si="85"/>
        <v>2282.1560246402091</v>
      </c>
      <c r="X81" s="18">
        <f t="shared" si="85"/>
        <v>2328.7478362843444</v>
      </c>
    </row>
    <row r="82" spans="2:24" x14ac:dyDescent="0.2">
      <c r="B82" s="18" t="s">
        <v>74</v>
      </c>
      <c r="L82" s="18">
        <v>-1568</v>
      </c>
      <c r="M82" s="18">
        <v>-1899</v>
      </c>
      <c r="N82" s="18">
        <v>-1249</v>
      </c>
      <c r="O82" s="18">
        <f t="shared" ref="O82:X82" si="86">N82*(1+O36)</f>
        <v>-1404.383012093255</v>
      </c>
      <c r="P82" s="18">
        <f t="shared" si="86"/>
        <v>-1506.2291831130781</v>
      </c>
      <c r="Q82" s="18">
        <f t="shared" si="86"/>
        <v>-1603.7179273778208</v>
      </c>
      <c r="R82" s="18">
        <f t="shared" si="86"/>
        <v>-1101.5840217448708</v>
      </c>
      <c r="S82" s="18">
        <f t="shared" si="86"/>
        <v>-886.56867251535482</v>
      </c>
      <c r="T82" s="18">
        <f t="shared" si="86"/>
        <v>-767.1869844844872</v>
      </c>
      <c r="U82" s="18">
        <f t="shared" si="86"/>
        <v>-785.4676601469447</v>
      </c>
      <c r="V82" s="18">
        <f t="shared" si="86"/>
        <v>-804.6438569073548</v>
      </c>
      <c r="W82" s="18">
        <f t="shared" si="86"/>
        <v>-824.77224385868647</v>
      </c>
      <c r="X82" s="18">
        <f t="shared" si="86"/>
        <v>-841.61054615716</v>
      </c>
    </row>
    <row r="83" spans="2:24" x14ac:dyDescent="0.2">
      <c r="B83" s="18" t="s">
        <v>96</v>
      </c>
      <c r="L83" s="18">
        <v>541</v>
      </c>
      <c r="M83" s="18">
        <v>645</v>
      </c>
      <c r="N83" s="18">
        <v>761</v>
      </c>
      <c r="O83" s="18">
        <f>N83*(1+O37)</f>
        <v>761</v>
      </c>
      <c r="P83" s="18">
        <f>O83*1.1</f>
        <v>837.1</v>
      </c>
      <c r="Q83" s="18">
        <f t="shared" ref="Q83:X83" si="87">P83*1.1</f>
        <v>920.81000000000006</v>
      </c>
      <c r="R83" s="18">
        <f t="shared" si="87"/>
        <v>1012.8910000000002</v>
      </c>
      <c r="S83" s="18">
        <f t="shared" si="87"/>
        <v>1114.1801000000003</v>
      </c>
      <c r="T83" s="18">
        <f t="shared" si="87"/>
        <v>1225.5981100000004</v>
      </c>
      <c r="U83" s="18">
        <f t="shared" si="87"/>
        <v>1348.1579210000004</v>
      </c>
      <c r="V83" s="18">
        <f t="shared" si="87"/>
        <v>1482.9737131000006</v>
      </c>
      <c r="W83" s="18">
        <f t="shared" si="87"/>
        <v>1631.2710844100009</v>
      </c>
      <c r="X83" s="18">
        <f t="shared" si="87"/>
        <v>1794.3981928510011</v>
      </c>
    </row>
    <row r="84" spans="2:24" x14ac:dyDescent="0.2">
      <c r="B84" s="18" t="s">
        <v>43</v>
      </c>
      <c r="L84" s="18">
        <v>1301</v>
      </c>
      <c r="M84" s="18">
        <v>355</v>
      </c>
      <c r="N84" s="18">
        <v>510</v>
      </c>
      <c r="O84" s="18">
        <f t="shared" ref="O84:X84" si="88">N84*(1+O36)</f>
        <v>573.44702655529227</v>
      </c>
      <c r="P84" s="18">
        <f t="shared" si="88"/>
        <v>615.03353353696536</v>
      </c>
      <c r="Q84" s="18">
        <f t="shared" si="88"/>
        <v>654.84078699975066</v>
      </c>
      <c r="R84" s="18">
        <f t="shared" si="88"/>
        <v>449.80612577252526</v>
      </c>
      <c r="S84" s="18">
        <f t="shared" si="88"/>
        <v>362.00962608713445</v>
      </c>
      <c r="T84" s="18">
        <f t="shared" si="88"/>
        <v>313.26289998966246</v>
      </c>
      <c r="U84" s="18">
        <f t="shared" si="88"/>
        <v>320.72738724975324</v>
      </c>
      <c r="V84" s="18">
        <f t="shared" si="88"/>
        <v>328.55753964992067</v>
      </c>
      <c r="W84" s="18">
        <f t="shared" si="88"/>
        <v>336.77649669169739</v>
      </c>
      <c r="X84" s="18">
        <f t="shared" si="88"/>
        <v>343.65202445168262</v>
      </c>
    </row>
    <row r="85" spans="2:24" x14ac:dyDescent="0.2">
      <c r="B85" s="18" t="s">
        <v>54</v>
      </c>
      <c r="L85" s="18">
        <v>-644</v>
      </c>
      <c r="M85" s="18">
        <v>-1148</v>
      </c>
      <c r="N85" s="18">
        <v>-244</v>
      </c>
      <c r="O85" s="18">
        <f t="shared" ref="O85:X85" si="89">N85*(1+O36)</f>
        <v>-274.35504799900258</v>
      </c>
      <c r="P85" s="18">
        <f t="shared" si="89"/>
        <v>-294.25133761376384</v>
      </c>
      <c r="Q85" s="18">
        <f t="shared" si="89"/>
        <v>-313.29637652537093</v>
      </c>
      <c r="R85" s="18">
        <f t="shared" si="89"/>
        <v>-215.20136213430624</v>
      </c>
      <c r="S85" s="18">
        <f t="shared" si="89"/>
        <v>-173.19676228482513</v>
      </c>
      <c r="T85" s="18">
        <f t="shared" si="89"/>
        <v>-149.87479921074049</v>
      </c>
      <c r="U85" s="18">
        <f t="shared" si="89"/>
        <v>-153.44604409596039</v>
      </c>
      <c r="V85" s="18">
        <f t="shared" si="89"/>
        <v>-157.19223465604051</v>
      </c>
      <c r="W85" s="18">
        <f t="shared" si="89"/>
        <v>-161.1244415544592</v>
      </c>
      <c r="X85" s="18">
        <f t="shared" si="89"/>
        <v>-164.41390973766781</v>
      </c>
    </row>
    <row r="86" spans="2:24" x14ac:dyDescent="0.2">
      <c r="B86" s="18" t="s">
        <v>55</v>
      </c>
      <c r="L86" s="18">
        <v>-161</v>
      </c>
      <c r="M86" s="18">
        <v>-816</v>
      </c>
      <c r="N86" s="18">
        <v>-835</v>
      </c>
      <c r="O86" s="18">
        <f t="shared" ref="O86:X86" si="90">N86*(1+O36)</f>
        <v>-938.87895524248836</v>
      </c>
      <c r="P86" s="18">
        <f t="shared" si="90"/>
        <v>-1006.966667653659</v>
      </c>
      <c r="Q86" s="18">
        <f t="shared" si="90"/>
        <v>-1072.1412885191996</v>
      </c>
      <c r="R86" s="18">
        <f t="shared" si="90"/>
        <v>-736.44728435305615</v>
      </c>
      <c r="S86" s="18">
        <f t="shared" si="90"/>
        <v>-592.7020348681516</v>
      </c>
      <c r="T86" s="18">
        <f t="shared" si="90"/>
        <v>-512.89121861052593</v>
      </c>
      <c r="U86" s="18">
        <f t="shared" si="90"/>
        <v>-525.11248696773328</v>
      </c>
      <c r="V86" s="18">
        <f t="shared" si="90"/>
        <v>-537.9324423680074</v>
      </c>
      <c r="W86" s="18">
        <f t="shared" si="90"/>
        <v>-551.38897007366143</v>
      </c>
      <c r="X86" s="18">
        <f t="shared" si="90"/>
        <v>-562.64596160226472</v>
      </c>
    </row>
    <row r="87" spans="2:24" x14ac:dyDescent="0.2">
      <c r="B87" s="18" t="s">
        <v>68</v>
      </c>
      <c r="L87" s="18">
        <v>-289</v>
      </c>
      <c r="M87" s="18">
        <v>-380</v>
      </c>
      <c r="N87" s="18">
        <v>182</v>
      </c>
      <c r="O87" s="18">
        <f t="shared" ref="O87:X87" si="91">N87*(1+O36)</f>
        <v>204.64188006482979</v>
      </c>
      <c r="P87" s="18">
        <f t="shared" si="91"/>
        <v>219.48255510534844</v>
      </c>
      <c r="Q87" s="18">
        <f t="shared" si="91"/>
        <v>233.68828085089143</v>
      </c>
      <c r="R87" s="18">
        <f t="shared" si="91"/>
        <v>160.51904880509727</v>
      </c>
      <c r="S87" s="18">
        <f t="shared" si="91"/>
        <v>129.18774891736956</v>
      </c>
      <c r="T87" s="18">
        <f t="shared" si="91"/>
        <v>111.79185842768348</v>
      </c>
      <c r="U87" s="18">
        <f t="shared" si="91"/>
        <v>114.45565584206881</v>
      </c>
      <c r="V87" s="18">
        <f t="shared" si="91"/>
        <v>117.24994552212856</v>
      </c>
      <c r="W87" s="18">
        <f t="shared" si="91"/>
        <v>120.18298509389986</v>
      </c>
      <c r="X87" s="18">
        <f t="shared" si="91"/>
        <v>122.63660480432596</v>
      </c>
    </row>
    <row r="88" spans="2:24" x14ac:dyDescent="0.2">
      <c r="B88" s="18" t="s">
        <v>69</v>
      </c>
      <c r="L88" s="18">
        <v>-50</v>
      </c>
      <c r="M88" s="18">
        <v>1783</v>
      </c>
      <c r="N88" s="18">
        <v>-2328</v>
      </c>
      <c r="O88" s="18">
        <f t="shared" ref="O88:X88" si="92">N88*(1+O36)</f>
        <v>-2617.6170153347462</v>
      </c>
      <c r="P88" s="18">
        <f t="shared" si="92"/>
        <v>-2807.4471883805008</v>
      </c>
      <c r="Q88" s="18">
        <f t="shared" si="92"/>
        <v>-2989.1555924223912</v>
      </c>
      <c r="R88" s="18">
        <f t="shared" si="92"/>
        <v>-2053.2326682322332</v>
      </c>
      <c r="S88" s="18">
        <f t="shared" si="92"/>
        <v>-1652.4674696683317</v>
      </c>
      <c r="T88" s="18">
        <f t="shared" si="92"/>
        <v>-1429.9530023057537</v>
      </c>
      <c r="U88" s="18">
        <f t="shared" si="92"/>
        <v>-1464.0261912106384</v>
      </c>
      <c r="V88" s="18">
        <f t="shared" si="92"/>
        <v>-1499.7685339314028</v>
      </c>
      <c r="W88" s="18">
        <f t="shared" si="92"/>
        <v>-1537.2856554868072</v>
      </c>
      <c r="X88" s="18">
        <f t="shared" si="92"/>
        <v>-1568.6704174970926</v>
      </c>
    </row>
    <row r="89" spans="2:24" x14ac:dyDescent="0.2">
      <c r="B89" s="18" t="s">
        <v>70</v>
      </c>
      <c r="L89" s="18">
        <v>380</v>
      </c>
      <c r="M89" s="18">
        <v>214</v>
      </c>
      <c r="N89" s="18">
        <v>1023</v>
      </c>
      <c r="O89" s="18">
        <v>400</v>
      </c>
      <c r="P89" s="18">
        <f t="shared" ref="P89:X89" si="93">O89*(1+P36)</f>
        <v>429.00808971422111</v>
      </c>
      <c r="Q89" s="18">
        <f t="shared" si="93"/>
        <v>456.77508587559856</v>
      </c>
      <c r="R89" s="18">
        <f t="shared" si="93"/>
        <v>313.75600879789692</v>
      </c>
      <c r="S89" s="18">
        <f t="shared" si="93"/>
        <v>252.51478119032791</v>
      </c>
      <c r="T89" s="18">
        <f t="shared" si="93"/>
        <v>218.51218018964295</v>
      </c>
      <c r="U89" s="18">
        <f t="shared" si="93"/>
        <v>223.71892948952515</v>
      </c>
      <c r="V89" s="18">
        <f t="shared" si="93"/>
        <v>229.18074342355376</v>
      </c>
      <c r="W89" s="18">
        <f t="shared" si="93"/>
        <v>234.91376262928455</v>
      </c>
      <c r="X89" s="18">
        <f t="shared" si="93"/>
        <v>239.7096914189317</v>
      </c>
    </row>
    <row r="90" spans="2:24" x14ac:dyDescent="0.2">
      <c r="B90" s="18" t="s">
        <v>88</v>
      </c>
      <c r="L90" s="18">
        <v>-545</v>
      </c>
      <c r="M90" s="18">
        <v>456</v>
      </c>
      <c r="N90" s="18">
        <v>-49</v>
      </c>
      <c r="O90" s="18">
        <f t="shared" ref="O90:X90" si="94">N90*(1+O36)</f>
        <v>-55.095890786684947</v>
      </c>
      <c r="P90" s="18">
        <f t="shared" si="94"/>
        <v>-59.091457143747654</v>
      </c>
      <c r="Q90" s="18">
        <f t="shared" si="94"/>
        <v>-62.916075613701537</v>
      </c>
      <c r="R90" s="18">
        <f t="shared" si="94"/>
        <v>-43.216666985987729</v>
      </c>
      <c r="S90" s="18">
        <f t="shared" si="94"/>
        <v>-34.781317016214885</v>
      </c>
      <c r="T90" s="18">
        <f t="shared" si="94"/>
        <v>-30.097808038222478</v>
      </c>
      <c r="U90" s="18">
        <f t="shared" si="94"/>
        <v>-30.814984265172374</v>
      </c>
      <c r="V90" s="18">
        <f t="shared" si="94"/>
        <v>-31.567293025188462</v>
      </c>
      <c r="W90" s="18">
        <f t="shared" si="94"/>
        <v>-32.356957525280734</v>
      </c>
      <c r="X90" s="18">
        <f t="shared" si="94"/>
        <v>-33.017547447318528</v>
      </c>
    </row>
    <row r="91" spans="2:24" x14ac:dyDescent="0.2">
      <c r="B91" s="18" t="s">
        <v>43</v>
      </c>
      <c r="L91" s="18">
        <v>-1473</v>
      </c>
      <c r="M91" s="18">
        <v>-2314</v>
      </c>
      <c r="N91" s="18">
        <v>-1416</v>
      </c>
      <c r="O91" s="18">
        <f t="shared" ref="O91:X91" si="95">N91*(1+O36)</f>
        <v>-1592.1588031417527</v>
      </c>
      <c r="P91" s="18">
        <f t="shared" si="95"/>
        <v>-1707.6225166438098</v>
      </c>
      <c r="Q91" s="18">
        <f t="shared" si="95"/>
        <v>-1818.1461850816609</v>
      </c>
      <c r="R91" s="18">
        <f t="shared" si="95"/>
        <v>-1248.8734786154821</v>
      </c>
      <c r="S91" s="18">
        <f t="shared" si="95"/>
        <v>-1005.1090794889852</v>
      </c>
      <c r="T91" s="18">
        <f t="shared" si="95"/>
        <v>-869.76522820659238</v>
      </c>
      <c r="U91" s="18">
        <f t="shared" si="95"/>
        <v>-890.4901575404914</v>
      </c>
      <c r="V91" s="18">
        <f t="shared" si="95"/>
        <v>-912.23034538095635</v>
      </c>
      <c r="W91" s="18">
        <f t="shared" si="95"/>
        <v>-935.05003787341877</v>
      </c>
      <c r="X91" s="18">
        <f t="shared" si="95"/>
        <v>-954.13973847761304</v>
      </c>
    </row>
    <row r="92" spans="2:24" s="4" customFormat="1" x14ac:dyDescent="0.2">
      <c r="B92" s="4" t="s">
        <v>19</v>
      </c>
      <c r="L92" s="4">
        <f>SUM(L78:L91,L76)</f>
        <v>20933</v>
      </c>
      <c r="M92" s="4">
        <f t="shared" ref="M92:N92" si="96">SUM(M78:M91,M76)</f>
        <v>14071</v>
      </c>
      <c r="N92" s="4">
        <f t="shared" si="96"/>
        <v>21753</v>
      </c>
      <c r="O92" s="4">
        <f t="shared" ref="O92" si="97">SUM(O78:O91,O76)</f>
        <v>31454.562654910867</v>
      </c>
      <c r="P92" s="4">
        <f t="shared" ref="P92" si="98">SUM(P78:P91,P76)</f>
        <v>45110.323116039959</v>
      </c>
      <c r="Q92" s="4">
        <f t="shared" ref="Q92" si="99">SUM(Q78:Q91,Q76)</f>
        <v>49015.664310919754</v>
      </c>
      <c r="R92" s="4">
        <f t="shared" ref="R92" si="100">SUM(R78:R91,R76)</f>
        <v>34011.740807744151</v>
      </c>
      <c r="S92" s="4">
        <f t="shared" ref="S92:X92" si="101">SUM(S78:S91,S76)</f>
        <v>26122.232587468487</v>
      </c>
      <c r="T92" s="4">
        <f t="shared" si="101"/>
        <v>21697.803600184972</v>
      </c>
      <c r="U92" s="4">
        <f t="shared" si="101"/>
        <v>22361.723255307345</v>
      </c>
      <c r="V92" s="4">
        <f t="shared" si="101"/>
        <v>23062.162951900893</v>
      </c>
      <c r="W92" s="4">
        <f t="shared" si="101"/>
        <v>23802.129773626217</v>
      </c>
      <c r="X92" s="4">
        <f t="shared" si="101"/>
        <v>24423.702712298487</v>
      </c>
    </row>
    <row r="93" spans="2:24" s="4" customFormat="1" x14ac:dyDescent="0.2">
      <c r="B93" s="4" t="s">
        <v>89</v>
      </c>
      <c r="L93" s="4">
        <v>-4388</v>
      </c>
      <c r="M93" s="4">
        <v>-3863</v>
      </c>
      <c r="N93" s="4">
        <v>-3372</v>
      </c>
      <c r="O93" s="4">
        <f>N93*1.08</f>
        <v>-3641.76</v>
      </c>
      <c r="P93" s="4">
        <f t="shared" ref="P93:R93" si="102">O93*1.08</f>
        <v>-3933.1008000000006</v>
      </c>
      <c r="Q93" s="4">
        <f t="shared" si="102"/>
        <v>-4247.748864000001</v>
      </c>
      <c r="R93" s="4">
        <f t="shared" si="102"/>
        <v>-4587.5687731200014</v>
      </c>
      <c r="S93" s="4">
        <f t="shared" ref="S93" si="103">R93*1.08</f>
        <v>-4954.5742749696019</v>
      </c>
      <c r="T93" s="4">
        <f t="shared" ref="T93" si="104">S93*1.08</f>
        <v>-5350.9402169671703</v>
      </c>
      <c r="U93" s="4">
        <f t="shared" ref="U93" si="105">T93*1.08</f>
        <v>-5779.015434324544</v>
      </c>
      <c r="V93" s="4">
        <f t="shared" ref="V93" si="106">U93*1.08</f>
        <v>-6241.3366690705079</v>
      </c>
      <c r="W93" s="4">
        <f t="shared" ref="W93" si="107">V93*1.08</f>
        <v>-6740.6436025961493</v>
      </c>
      <c r="X93" s="4">
        <f t="shared" ref="X93" si="108">W93*1.08</f>
        <v>-7279.8950908038414</v>
      </c>
    </row>
    <row r="94" spans="2:24" x14ac:dyDescent="0.2">
      <c r="B94" s="18" t="s">
        <v>90</v>
      </c>
      <c r="L94" s="18">
        <v>-1204</v>
      </c>
      <c r="M94" s="18">
        <v>-955</v>
      </c>
      <c r="N94" s="18">
        <v>-519</v>
      </c>
      <c r="O94" s="18">
        <f t="shared" ref="O94:X94" si="109">N94*(1+O36)</f>
        <v>-583.56667996509157</v>
      </c>
      <c r="P94" s="18">
        <f t="shared" si="109"/>
        <v>-625.88706648173536</v>
      </c>
      <c r="Q94" s="18">
        <f t="shared" si="109"/>
        <v>-666.39680088798161</v>
      </c>
      <c r="R94" s="18">
        <f t="shared" si="109"/>
        <v>-457.74388093321693</v>
      </c>
      <c r="S94" s="18">
        <f t="shared" si="109"/>
        <v>-368.39803125337801</v>
      </c>
      <c r="T94" s="18">
        <f t="shared" si="109"/>
        <v>-318.79106881300947</v>
      </c>
      <c r="U94" s="18">
        <f t="shared" si="109"/>
        <v>-326.38728231886654</v>
      </c>
      <c r="V94" s="18">
        <f t="shared" si="109"/>
        <v>-334.35561387903692</v>
      </c>
      <c r="W94" s="18">
        <f t="shared" si="109"/>
        <v>-342.71961133919797</v>
      </c>
      <c r="X94" s="18">
        <f t="shared" si="109"/>
        <v>-349.71647194200642</v>
      </c>
    </row>
    <row r="95" spans="2:24" x14ac:dyDescent="0.2">
      <c r="B95" s="18" t="s">
        <v>91</v>
      </c>
      <c r="L95" s="18">
        <v>721</v>
      </c>
      <c r="M95" s="18">
        <f>1658+1145</f>
        <v>2803</v>
      </c>
      <c r="N95" s="18">
        <v>377</v>
      </c>
      <c r="O95" s="18">
        <f t="shared" ref="O95:X95" si="110">N95*(1+O36)</f>
        <v>423.90103727714745</v>
      </c>
      <c r="P95" s="18">
        <f t="shared" si="110"/>
        <v>454.64243557536463</v>
      </c>
      <c r="Q95" s="18">
        <f t="shared" si="110"/>
        <v>484.06858176256083</v>
      </c>
      <c r="R95" s="18">
        <f t="shared" si="110"/>
        <v>332.50374395341578</v>
      </c>
      <c r="S95" s="18">
        <f t="shared" si="110"/>
        <v>267.60319418597982</v>
      </c>
      <c r="T95" s="18">
        <f t="shared" si="110"/>
        <v>231.5688496002015</v>
      </c>
      <c r="U95" s="18">
        <f t="shared" si="110"/>
        <v>237.08671567285683</v>
      </c>
      <c r="V95" s="18">
        <f t="shared" si="110"/>
        <v>242.87488715298059</v>
      </c>
      <c r="W95" s="18">
        <f t="shared" si="110"/>
        <v>248.95046912307831</v>
      </c>
      <c r="X95" s="18">
        <f t="shared" si="110"/>
        <v>254.03296709467523</v>
      </c>
    </row>
    <row r="96" spans="2:24" x14ac:dyDescent="0.2">
      <c r="B96" s="18" t="s">
        <v>92</v>
      </c>
      <c r="L96" s="18">
        <v>0</v>
      </c>
      <c r="M96" s="18">
        <f>-10705-1327</f>
        <v>-12032</v>
      </c>
      <c r="N96" s="18">
        <f>-1344-1303-746-700</f>
        <v>-4093</v>
      </c>
      <c r="O96" s="18">
        <f t="shared" ref="O96:X96" si="111">N96*(1+O36)</f>
        <v>-4602.1934895898266</v>
      </c>
      <c r="P96" s="18">
        <f t="shared" si="111"/>
        <v>-4935.9455936603918</v>
      </c>
      <c r="Q96" s="18">
        <f t="shared" si="111"/>
        <v>-5255.4183160587845</v>
      </c>
      <c r="R96" s="18">
        <f t="shared" si="111"/>
        <v>-3609.9146525234246</v>
      </c>
      <c r="S96" s="18">
        <f t="shared" si="111"/>
        <v>-2905.3047050483174</v>
      </c>
      <c r="T96" s="18">
        <f t="shared" si="111"/>
        <v>-2514.0883326621351</v>
      </c>
      <c r="U96" s="18">
        <f t="shared" si="111"/>
        <v>-2573.9945019867459</v>
      </c>
      <c r="V96" s="18">
        <f t="shared" si="111"/>
        <v>-2636.83531330809</v>
      </c>
      <c r="W96" s="18">
        <f t="shared" si="111"/>
        <v>-2702.7964724688591</v>
      </c>
      <c r="X96" s="18">
        <f t="shared" si="111"/>
        <v>-2757.9759530994857</v>
      </c>
    </row>
    <row r="97" spans="2:116" x14ac:dyDescent="0.2">
      <c r="B97" s="18" t="s">
        <v>43</v>
      </c>
      <c r="L97" s="18">
        <v>-89</v>
      </c>
      <c r="M97" s="18">
        <v>-36</v>
      </c>
      <c r="N97" s="18">
        <v>-127</v>
      </c>
      <c r="O97" s="18">
        <f t="shared" ref="O97:X97" si="112">N97*(1+O36)</f>
        <v>-142.79955367161202</v>
      </c>
      <c r="P97" s="18">
        <f t="shared" si="112"/>
        <v>-153.15540933175416</v>
      </c>
      <c r="Q97" s="18">
        <f t="shared" si="112"/>
        <v>-163.06819597836932</v>
      </c>
      <c r="R97" s="18">
        <f t="shared" si="112"/>
        <v>-112.01054504531514</v>
      </c>
      <c r="S97" s="18">
        <f t="shared" si="112"/>
        <v>-90.147495123658999</v>
      </c>
      <c r="T97" s="18">
        <f t="shared" si="112"/>
        <v>-78.008604507229691</v>
      </c>
      <c r="U97" s="18">
        <f t="shared" si="112"/>
        <v>-79.867408197487578</v>
      </c>
      <c r="V97" s="18">
        <f t="shared" si="112"/>
        <v>-81.817269677529268</v>
      </c>
      <c r="W97" s="18">
        <f t="shared" si="112"/>
        <v>-83.863951136952096</v>
      </c>
      <c r="X97" s="18">
        <f t="shared" si="112"/>
        <v>-85.576092363458216</v>
      </c>
    </row>
    <row r="98" spans="2:116" x14ac:dyDescent="0.2">
      <c r="B98" s="18" t="s">
        <v>93</v>
      </c>
      <c r="L98" s="18">
        <f>SUM(L93:L97)</f>
        <v>-4960</v>
      </c>
      <c r="M98" s="18">
        <f t="shared" ref="M98:N98" si="113">SUM(M93:M97)</f>
        <v>-14083</v>
      </c>
      <c r="N98" s="18">
        <f t="shared" si="113"/>
        <v>-7734</v>
      </c>
      <c r="O98" s="18">
        <f t="shared" ref="O98" si="114">SUM(O93:O97)</f>
        <v>-8546.4186859493821</v>
      </c>
      <c r="P98" s="18">
        <f t="shared" ref="P98" si="115">SUM(P93:P97)</f>
        <v>-9193.4464338985163</v>
      </c>
      <c r="Q98" s="18">
        <f t="shared" ref="Q98" si="116">SUM(Q93:Q97)</f>
        <v>-9848.5635951625754</v>
      </c>
      <c r="R98" s="18">
        <f t="shared" ref="R98" si="117">SUM(R93:R97)</f>
        <v>-8434.7341076685425</v>
      </c>
      <c r="S98" s="18">
        <f t="shared" ref="S98:X98" si="118">SUM(S93:S97)</f>
        <v>-8050.8213122089755</v>
      </c>
      <c r="T98" s="18">
        <f t="shared" si="118"/>
        <v>-8030.2593733493432</v>
      </c>
      <c r="U98" s="18">
        <f t="shared" si="118"/>
        <v>-8522.1779111547876</v>
      </c>
      <c r="V98" s="18">
        <f t="shared" si="118"/>
        <v>-9051.4699787821846</v>
      </c>
      <c r="W98" s="18">
        <f t="shared" si="118"/>
        <v>-9621.073168418081</v>
      </c>
      <c r="X98" s="18">
        <f t="shared" si="118"/>
        <v>-10219.130641114118</v>
      </c>
    </row>
    <row r="99" spans="2:116" s="4" customFormat="1" x14ac:dyDescent="0.2">
      <c r="B99" s="4" t="s">
        <v>20</v>
      </c>
      <c r="L99" s="4">
        <f>L92+L93</f>
        <v>16545</v>
      </c>
      <c r="M99" s="4">
        <f t="shared" ref="M99:S99" si="119">M92+M93</f>
        <v>10208</v>
      </c>
      <c r="N99" s="4">
        <f t="shared" si="119"/>
        <v>18381</v>
      </c>
      <c r="O99" s="4">
        <f t="shared" si="119"/>
        <v>27812.802654910869</v>
      </c>
      <c r="P99" s="4">
        <f t="shared" si="119"/>
        <v>41177.222316039959</v>
      </c>
      <c r="Q99" s="4">
        <f t="shared" si="119"/>
        <v>44767.915446919753</v>
      </c>
      <c r="R99" s="4">
        <f t="shared" si="119"/>
        <v>29424.172034624149</v>
      </c>
      <c r="S99" s="4">
        <f t="shared" si="119"/>
        <v>21167.658312498883</v>
      </c>
      <c r="T99" s="4">
        <f t="shared" ref="T99:X99" si="120">T92+T93</f>
        <v>16346.863383217802</v>
      </c>
      <c r="U99" s="4">
        <f t="shared" si="120"/>
        <v>16582.7078209828</v>
      </c>
      <c r="V99" s="4">
        <f t="shared" si="120"/>
        <v>16820.826282830385</v>
      </c>
      <c r="W99" s="4">
        <f t="shared" si="120"/>
        <v>17061.486171030068</v>
      </c>
      <c r="X99" s="4">
        <f t="shared" si="120"/>
        <v>17143.807621494645</v>
      </c>
      <c r="Y99" s="4">
        <f t="shared" ref="Y99:BD99" si="121">X99*(1+$AA$35)</f>
        <v>16972.3695452797</v>
      </c>
      <c r="Z99" s="4">
        <f t="shared" si="121"/>
        <v>16802.645849826902</v>
      </c>
      <c r="AA99" s="4">
        <f t="shared" si="121"/>
        <v>16634.619391328633</v>
      </c>
      <c r="AB99" s="4">
        <f t="shared" si="121"/>
        <v>16468.273197415347</v>
      </c>
      <c r="AC99" s="4">
        <f t="shared" si="121"/>
        <v>16303.590465441193</v>
      </c>
      <c r="AD99" s="4">
        <f t="shared" si="121"/>
        <v>16140.554560786781</v>
      </c>
      <c r="AE99" s="4">
        <f t="shared" si="121"/>
        <v>15979.149015178913</v>
      </c>
      <c r="AF99" s="4">
        <f t="shared" si="121"/>
        <v>15819.357525027124</v>
      </c>
      <c r="AG99" s="4">
        <f t="shared" si="121"/>
        <v>15661.163949776852</v>
      </c>
      <c r="AH99" s="4">
        <f t="shared" si="121"/>
        <v>15504.552310279083</v>
      </c>
      <c r="AI99" s="4">
        <f t="shared" si="121"/>
        <v>15349.506787176291</v>
      </c>
      <c r="AJ99" s="4">
        <f t="shared" si="121"/>
        <v>15196.011719304528</v>
      </c>
      <c r="AK99" s="4">
        <f t="shared" si="121"/>
        <v>15044.051602111482</v>
      </c>
      <c r="AL99" s="4">
        <f t="shared" si="121"/>
        <v>14893.611086090366</v>
      </c>
      <c r="AM99" s="4">
        <f t="shared" si="121"/>
        <v>14744.674975229462</v>
      </c>
      <c r="AN99" s="4">
        <f t="shared" si="121"/>
        <v>14597.228225477167</v>
      </c>
      <c r="AO99" s="4">
        <f t="shared" si="121"/>
        <v>14451.255943222395</v>
      </c>
      <c r="AP99" s="4">
        <f t="shared" si="121"/>
        <v>14306.743383790172</v>
      </c>
      <c r="AQ99" s="4">
        <f t="shared" si="121"/>
        <v>14163.67594995227</v>
      </c>
      <c r="AR99" s="4">
        <f t="shared" si="121"/>
        <v>14022.039190452748</v>
      </c>
      <c r="AS99" s="4">
        <f t="shared" si="121"/>
        <v>13881.81879854822</v>
      </c>
      <c r="AT99" s="4">
        <f t="shared" si="121"/>
        <v>13743.000610562738</v>
      </c>
      <c r="AU99" s="4">
        <f t="shared" si="121"/>
        <v>13605.570604457111</v>
      </c>
      <c r="AV99" s="4">
        <f t="shared" si="121"/>
        <v>13469.514898412539</v>
      </c>
      <c r="AW99" s="4">
        <f t="shared" si="121"/>
        <v>13334.819749428414</v>
      </c>
      <c r="AX99" s="4">
        <f t="shared" si="121"/>
        <v>13201.47155193413</v>
      </c>
      <c r="AY99" s="4">
        <f t="shared" si="121"/>
        <v>13069.456836414789</v>
      </c>
      <c r="AZ99" s="4">
        <f t="shared" si="121"/>
        <v>12938.762268050641</v>
      </c>
      <c r="BA99" s="4">
        <f t="shared" si="121"/>
        <v>12809.374645370135</v>
      </c>
      <c r="BB99" s="4">
        <f t="shared" si="121"/>
        <v>12681.280898916433</v>
      </c>
      <c r="BC99" s="4">
        <f t="shared" si="121"/>
        <v>12554.468089927268</v>
      </c>
      <c r="BD99" s="4">
        <f t="shared" si="121"/>
        <v>12428.923409027995</v>
      </c>
      <c r="BE99" s="4">
        <f t="shared" ref="BE99:CJ99" si="122">BD99*(1+$AA$35)</f>
        <v>12304.634174937715</v>
      </c>
      <c r="BF99" s="4">
        <f t="shared" si="122"/>
        <v>12181.587833188338</v>
      </c>
      <c r="BG99" s="4">
        <f t="shared" si="122"/>
        <v>12059.771954856455</v>
      </c>
      <c r="BH99" s="4">
        <f t="shared" si="122"/>
        <v>11939.17423530789</v>
      </c>
      <c r="BI99" s="4">
        <f t="shared" si="122"/>
        <v>11819.782492954811</v>
      </c>
      <c r="BJ99" s="4">
        <f t="shared" si="122"/>
        <v>11701.584668025263</v>
      </c>
      <c r="BK99" s="4">
        <f t="shared" si="122"/>
        <v>11584.56882134501</v>
      </c>
      <c r="BL99" s="4">
        <f t="shared" si="122"/>
        <v>11468.72313313156</v>
      </c>
      <c r="BM99" s="4">
        <f t="shared" si="122"/>
        <v>11354.035901800244</v>
      </c>
      <c r="BN99" s="4">
        <f t="shared" si="122"/>
        <v>11240.495542782241</v>
      </c>
      <c r="BO99" s="4">
        <f t="shared" si="122"/>
        <v>11128.090587354418</v>
      </c>
      <c r="BP99" s="4">
        <f t="shared" si="122"/>
        <v>11016.809681480874</v>
      </c>
      <c r="BQ99" s="4">
        <f t="shared" si="122"/>
        <v>10906.641584666066</v>
      </c>
      <c r="BR99" s="4">
        <f t="shared" si="122"/>
        <v>10797.575168819405</v>
      </c>
      <c r="BS99" s="4">
        <f t="shared" si="122"/>
        <v>10689.59941713121</v>
      </c>
      <c r="BT99" s="4">
        <f t="shared" si="122"/>
        <v>10582.703422959898</v>
      </c>
      <c r="BU99" s="4">
        <f t="shared" si="122"/>
        <v>10476.876388730299</v>
      </c>
      <c r="BV99" s="4">
        <f t="shared" si="122"/>
        <v>10372.107624842996</v>
      </c>
      <c r="BW99" s="4">
        <f t="shared" si="122"/>
        <v>10268.386548594566</v>
      </c>
      <c r="BX99" s="4">
        <f t="shared" si="122"/>
        <v>10165.70268310862</v>
      </c>
      <c r="BY99" s="4">
        <f t="shared" si="122"/>
        <v>10064.045656277534</v>
      </c>
      <c r="BZ99" s="4">
        <f t="shared" si="122"/>
        <v>9963.4051997147581</v>
      </c>
      <c r="CA99" s="4">
        <f t="shared" si="122"/>
        <v>9863.7711477176108</v>
      </c>
      <c r="CB99" s="4">
        <f t="shared" si="122"/>
        <v>9765.1334362404341</v>
      </c>
      <c r="CC99" s="4">
        <f t="shared" si="122"/>
        <v>9667.4821018780294</v>
      </c>
      <c r="CD99" s="4">
        <f t="shared" si="122"/>
        <v>9570.8072808592497</v>
      </c>
      <c r="CE99" s="4">
        <f t="shared" si="122"/>
        <v>9475.0992080506567</v>
      </c>
      <c r="CF99" s="4">
        <f t="shared" si="122"/>
        <v>9380.3482159701507</v>
      </c>
      <c r="CG99" s="4">
        <f t="shared" si="122"/>
        <v>9286.5447338104495</v>
      </c>
      <c r="CH99" s="4">
        <f t="shared" si="122"/>
        <v>9193.6792864723448</v>
      </c>
      <c r="CI99" s="4">
        <f t="shared" si="122"/>
        <v>9101.7424936076204</v>
      </c>
      <c r="CJ99" s="4">
        <f t="shared" si="122"/>
        <v>9010.7250686715433</v>
      </c>
      <c r="CK99" s="4">
        <f t="shared" ref="CK99:DL99" si="123">CJ99*(1+$AA$35)</f>
        <v>8920.6178179848284</v>
      </c>
      <c r="CL99" s="4">
        <f t="shared" si="123"/>
        <v>8831.411639804981</v>
      </c>
      <c r="CM99" s="4">
        <f t="shared" si="123"/>
        <v>8743.0975234069319</v>
      </c>
      <c r="CN99" s="4">
        <f t="shared" si="123"/>
        <v>8655.6665481728633</v>
      </c>
      <c r="CO99" s="4">
        <f t="shared" si="123"/>
        <v>8569.1098826911348</v>
      </c>
      <c r="CP99" s="4">
        <f t="shared" si="123"/>
        <v>8483.4187838642229</v>
      </c>
      <c r="CQ99" s="4">
        <f t="shared" si="123"/>
        <v>8398.584596025581</v>
      </c>
      <c r="CR99" s="4">
        <f t="shared" si="123"/>
        <v>8314.5987500653246</v>
      </c>
      <c r="CS99" s="4">
        <f t="shared" si="123"/>
        <v>8231.4527625646715</v>
      </c>
      <c r="CT99" s="4">
        <f t="shared" si="123"/>
        <v>8149.1382349390251</v>
      </c>
      <c r="CU99" s="4">
        <f t="shared" si="123"/>
        <v>8067.6468525896344</v>
      </c>
      <c r="CV99" s="4">
        <f t="shared" si="123"/>
        <v>7986.9703840637376</v>
      </c>
      <c r="CW99" s="4">
        <f t="shared" si="123"/>
        <v>7907.1006802231004</v>
      </c>
      <c r="CX99" s="4">
        <f t="shared" si="123"/>
        <v>7828.0296734208696</v>
      </c>
      <c r="CY99" s="4">
        <f t="shared" si="123"/>
        <v>7749.749376686661</v>
      </c>
      <c r="CZ99" s="4">
        <f t="shared" si="123"/>
        <v>7672.2518829197943</v>
      </c>
      <c r="DA99" s="4">
        <f t="shared" si="123"/>
        <v>7595.5293640905966</v>
      </c>
      <c r="DB99" s="4">
        <f t="shared" si="123"/>
        <v>7519.5740704496902</v>
      </c>
      <c r="DC99" s="4">
        <f t="shared" si="123"/>
        <v>7444.3783297451937</v>
      </c>
      <c r="DD99" s="4">
        <f t="shared" si="123"/>
        <v>7369.9345464477419</v>
      </c>
      <c r="DE99" s="4">
        <f t="shared" si="123"/>
        <v>7296.2352009832648</v>
      </c>
      <c r="DF99" s="4">
        <f t="shared" si="123"/>
        <v>7223.2728489734318</v>
      </c>
      <c r="DG99" s="4">
        <f t="shared" si="123"/>
        <v>7151.0401204836971</v>
      </c>
      <c r="DH99" s="4">
        <f t="shared" si="123"/>
        <v>7079.5297192788603</v>
      </c>
      <c r="DI99" s="4">
        <f t="shared" si="123"/>
        <v>7008.7344220860714</v>
      </c>
      <c r="DJ99" s="4">
        <f t="shared" si="123"/>
        <v>6938.647077865211</v>
      </c>
      <c r="DK99" s="4">
        <f t="shared" si="123"/>
        <v>6869.2606070865586</v>
      </c>
      <c r="DL99" s="4">
        <f t="shared" si="123"/>
        <v>6800.568001015693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80B5-F7F9-4DCF-9C02-9D8946DA2087}">
  <dimension ref="A1"/>
  <sheetViews>
    <sheetView zoomScale="130" zoomScaleNormal="130" workbookViewId="0">
      <selection activeCell="C4" sqref="C4"/>
    </sheetView>
  </sheetViews>
  <sheetFormatPr defaultRowHeight="15" x14ac:dyDescent="0.25"/>
  <cols>
    <col min="1" max="1" width="5" bestFit="1" customWidth="1"/>
  </cols>
  <sheetData>
    <row r="1" spans="1:1" x14ac:dyDescent="0.25">
      <c r="A1" s="17" t="s">
        <v>97</v>
      </c>
    </row>
  </sheetData>
  <hyperlinks>
    <hyperlink ref="A1" location="Main!A1" display="Main" xr:uid="{0531C757-172D-4722-9399-C8B2A255B9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AAC3-80EA-43E8-B2C6-66D89D4D2AA0}">
  <dimension ref="A1:E8"/>
  <sheetViews>
    <sheetView zoomScale="130" zoomScaleNormal="130" workbookViewId="0">
      <pane ySplit="2" topLeftCell="A3" activePane="bottomLeft" state="frozen"/>
      <selection pane="bottomLeft" activeCell="G21" sqref="G21"/>
    </sheetView>
  </sheetViews>
  <sheetFormatPr defaultRowHeight="12.75" x14ac:dyDescent="0.2"/>
  <cols>
    <col min="1" max="1" width="5" style="30" bestFit="1" customWidth="1"/>
    <col min="2" max="16384" width="9.140625" style="30"/>
  </cols>
  <sheetData>
    <row r="1" spans="1:5" x14ac:dyDescent="0.2">
      <c r="A1" s="17" t="s">
        <v>97</v>
      </c>
    </row>
    <row r="2" spans="1:5" x14ac:dyDescent="0.2">
      <c r="B2" s="30" t="s">
        <v>119</v>
      </c>
      <c r="C2" s="30" t="s">
        <v>120</v>
      </c>
      <c r="D2" s="30" t="s">
        <v>122</v>
      </c>
      <c r="E2" s="30" t="s">
        <v>121</v>
      </c>
    </row>
    <row r="3" spans="1:5" x14ac:dyDescent="0.2">
      <c r="D3" s="30" t="s">
        <v>123</v>
      </c>
    </row>
    <row r="4" spans="1:5" x14ac:dyDescent="0.2">
      <c r="E4" s="30" t="s">
        <v>124</v>
      </c>
    </row>
    <row r="5" spans="1:5" x14ac:dyDescent="0.2">
      <c r="E5" s="30" t="s">
        <v>125</v>
      </c>
    </row>
    <row r="6" spans="1:5" x14ac:dyDescent="0.2">
      <c r="E6" s="30" t="s">
        <v>126</v>
      </c>
    </row>
    <row r="7" spans="1:5" x14ac:dyDescent="0.2">
      <c r="E7" s="30" t="s">
        <v>127</v>
      </c>
    </row>
    <row r="8" spans="1:5" x14ac:dyDescent="0.2">
      <c r="E8" s="30" t="s">
        <v>128</v>
      </c>
    </row>
  </sheetData>
  <hyperlinks>
    <hyperlink ref="A1" location="Main!A1" display="Main" xr:uid="{B4405CF5-6B74-44A6-99D8-89445ADC1E5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AA18-6433-494F-91BB-C123676B4920}">
  <dimension ref="A1:G37"/>
  <sheetViews>
    <sheetView tabSelected="1" topLeftCell="A10" zoomScale="130" zoomScaleNormal="130" workbookViewId="0">
      <selection activeCell="D27" sqref="D27"/>
    </sheetView>
  </sheetViews>
  <sheetFormatPr defaultRowHeight="12.75" x14ac:dyDescent="0.2"/>
  <cols>
    <col min="1" max="1" width="5" style="27" bestFit="1" customWidth="1"/>
    <col min="2" max="2" width="12" style="27" bestFit="1" customWidth="1"/>
    <col min="3" max="16384" width="9.140625" style="27"/>
  </cols>
  <sheetData>
    <row r="1" spans="1:3" x14ac:dyDescent="0.2">
      <c r="A1" s="26" t="s">
        <v>97</v>
      </c>
    </row>
    <row r="2" spans="1:3" x14ac:dyDescent="0.2">
      <c r="B2" s="27" t="s">
        <v>110</v>
      </c>
      <c r="C2" s="27" t="s">
        <v>36</v>
      </c>
    </row>
    <row r="3" spans="1:3" x14ac:dyDescent="0.2">
      <c r="B3" s="27" t="s">
        <v>111</v>
      </c>
      <c r="C3" s="27" t="s">
        <v>116</v>
      </c>
    </row>
    <row r="4" spans="1:3" x14ac:dyDescent="0.2">
      <c r="B4" s="27" t="s">
        <v>99</v>
      </c>
      <c r="C4" s="27" t="s">
        <v>117</v>
      </c>
    </row>
    <row r="5" spans="1:3" x14ac:dyDescent="0.2">
      <c r="B5" s="27" t="s">
        <v>100</v>
      </c>
      <c r="C5" s="27" t="s">
        <v>118</v>
      </c>
    </row>
    <row r="6" spans="1:3" x14ac:dyDescent="0.2">
      <c r="B6" s="27" t="s">
        <v>101</v>
      </c>
      <c r="C6" s="29">
        <v>1</v>
      </c>
    </row>
    <row r="7" spans="1:3" x14ac:dyDescent="0.2">
      <c r="B7" s="27" t="s">
        <v>112</v>
      </c>
      <c r="C7" s="27" t="s">
        <v>115</v>
      </c>
    </row>
    <row r="8" spans="1:3" x14ac:dyDescent="0.2">
      <c r="B8" s="27" t="s">
        <v>113</v>
      </c>
    </row>
    <row r="9" spans="1:3" x14ac:dyDescent="0.2">
      <c r="B9" s="27" t="s">
        <v>114</v>
      </c>
    </row>
    <row r="11" spans="1:3" x14ac:dyDescent="0.2">
      <c r="C11" s="31" t="s">
        <v>142</v>
      </c>
    </row>
    <row r="12" spans="1:3" x14ac:dyDescent="0.2">
      <c r="C12" s="31" t="s">
        <v>133</v>
      </c>
    </row>
    <row r="13" spans="1:3" x14ac:dyDescent="0.2">
      <c r="C13" s="31"/>
    </row>
    <row r="15" spans="1:3" x14ac:dyDescent="0.2">
      <c r="C15" s="31" t="s">
        <v>134</v>
      </c>
    </row>
    <row r="16" spans="1:3" x14ac:dyDescent="0.2">
      <c r="C16" s="31" t="s">
        <v>133</v>
      </c>
    </row>
    <row r="17" spans="3:7" x14ac:dyDescent="0.2">
      <c r="D17" s="30" t="s">
        <v>139</v>
      </c>
      <c r="E17" s="30" t="s">
        <v>139</v>
      </c>
    </row>
    <row r="18" spans="3:7" x14ac:dyDescent="0.2">
      <c r="D18" s="30" t="s">
        <v>130</v>
      </c>
      <c r="E18" s="30" t="s">
        <v>129</v>
      </c>
      <c r="F18" s="30"/>
    </row>
    <row r="19" spans="3:7" x14ac:dyDescent="0.2">
      <c r="C19" s="30" t="s">
        <v>132</v>
      </c>
      <c r="D19" s="30">
        <v>8.8000000000000007</v>
      </c>
      <c r="E19" s="30">
        <v>22</v>
      </c>
    </row>
    <row r="20" spans="3:7" x14ac:dyDescent="0.2">
      <c r="C20" s="30" t="s">
        <v>131</v>
      </c>
      <c r="D20" s="30">
        <v>4.9000000000000004</v>
      </c>
      <c r="E20" s="30">
        <v>10.7</v>
      </c>
    </row>
    <row r="21" spans="3:7" x14ac:dyDescent="0.2">
      <c r="C21" s="30" t="s">
        <v>138</v>
      </c>
      <c r="D21" s="27">
        <v>0.52</v>
      </c>
      <c r="E21" s="27">
        <v>0.49</v>
      </c>
    </row>
    <row r="23" spans="3:7" x14ac:dyDescent="0.2">
      <c r="C23" s="31" t="s">
        <v>137</v>
      </c>
    </row>
    <row r="24" spans="3:7" x14ac:dyDescent="0.2">
      <c r="C24" s="31" t="s">
        <v>136</v>
      </c>
    </row>
    <row r="25" spans="3:7" x14ac:dyDescent="0.2">
      <c r="D25" s="30" t="s">
        <v>139</v>
      </c>
      <c r="E25" s="30" t="s">
        <v>139</v>
      </c>
    </row>
    <row r="26" spans="3:7" x14ac:dyDescent="0.2">
      <c r="D26" s="30" t="s">
        <v>130</v>
      </c>
      <c r="E26" s="30" t="s">
        <v>129</v>
      </c>
      <c r="F26" s="30" t="s">
        <v>135</v>
      </c>
      <c r="G26" s="30" t="s">
        <v>140</v>
      </c>
    </row>
    <row r="27" spans="3:7" x14ac:dyDescent="0.2">
      <c r="C27" s="30" t="s">
        <v>132</v>
      </c>
      <c r="D27" s="30">
        <v>10.3</v>
      </c>
      <c r="E27" s="30">
        <v>30</v>
      </c>
      <c r="F27" s="29">
        <v>0.44800000000000001</v>
      </c>
      <c r="G27" s="32">
        <v>0.51500000000000001</v>
      </c>
    </row>
    <row r="28" spans="3:7" x14ac:dyDescent="0.2">
      <c r="C28" s="30" t="s">
        <v>131</v>
      </c>
      <c r="D28" s="30">
        <v>6</v>
      </c>
      <c r="E28" s="30">
        <v>14.2</v>
      </c>
      <c r="F28" s="29">
        <v>0.27800000000000002</v>
      </c>
      <c r="G28" s="32">
        <v>0.34499999999999997</v>
      </c>
    </row>
    <row r="29" spans="3:7" x14ac:dyDescent="0.2">
      <c r="C29" s="30" t="s">
        <v>138</v>
      </c>
      <c r="D29" s="27">
        <v>0.5</v>
      </c>
      <c r="E29" s="27">
        <v>0.63</v>
      </c>
    </row>
    <row r="31" spans="3:7" x14ac:dyDescent="0.2">
      <c r="C31" s="31" t="s">
        <v>141</v>
      </c>
    </row>
    <row r="32" spans="3:7" x14ac:dyDescent="0.2">
      <c r="C32" s="31" t="s">
        <v>133</v>
      </c>
    </row>
    <row r="33" spans="3:7" x14ac:dyDescent="0.2">
      <c r="D33" s="30" t="s">
        <v>139</v>
      </c>
      <c r="E33" s="30" t="s">
        <v>139</v>
      </c>
    </row>
    <row r="34" spans="3:7" x14ac:dyDescent="0.2">
      <c r="D34" s="30" t="s">
        <v>130</v>
      </c>
      <c r="E34" s="30" t="s">
        <v>129</v>
      </c>
      <c r="F34" s="30" t="s">
        <v>135</v>
      </c>
      <c r="G34" s="30"/>
    </row>
    <row r="35" spans="3:7" x14ac:dyDescent="0.2">
      <c r="C35" s="30" t="s">
        <v>132</v>
      </c>
      <c r="D35" s="30">
        <v>5.6</v>
      </c>
      <c r="E35" s="30">
        <v>15.9</v>
      </c>
      <c r="F35" s="29">
        <v>0.28999999999999998</v>
      </c>
      <c r="G35" s="32"/>
    </row>
    <row r="36" spans="3:7" x14ac:dyDescent="0.2">
      <c r="C36" s="30" t="s">
        <v>131</v>
      </c>
      <c r="D36" s="30">
        <v>5.6</v>
      </c>
      <c r="E36" s="30">
        <v>14.7</v>
      </c>
      <c r="F36" s="29">
        <v>0.27100000000000002</v>
      </c>
      <c r="G36" s="32"/>
    </row>
    <row r="37" spans="3:7" x14ac:dyDescent="0.2">
      <c r="C37" s="30" t="s">
        <v>138</v>
      </c>
      <c r="D37" s="27">
        <v>0.84</v>
      </c>
      <c r="E37" s="27">
        <v>0.84</v>
      </c>
    </row>
  </sheetData>
  <hyperlinks>
    <hyperlink ref="A1" location="Main!A1" display="Main" xr:uid="{6F3AC522-15F7-46A5-BB94-FB898847B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Keytruda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2025-08-26T03:16:19Z</dcterms:modified>
</cp:coreProperties>
</file>