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F8B9CBC-E713-4C30-97A8-80D851BF70E8}" xr6:coauthVersionLast="47" xr6:coauthVersionMax="47" xr10:uidLastSave="{00000000-0000-0000-0000-000000000000}"/>
  <bookViews>
    <workbookView xWindow="2220" yWindow="690" windowWidth="22200" windowHeight="14685" activeTab="1" xr2:uid="{87F9C278-582D-4F12-A964-BB568CD74D2E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2" l="1"/>
  <c r="M63" i="2"/>
  <c r="N63" i="2"/>
  <c r="O63" i="2"/>
  <c r="P63" i="2"/>
  <c r="L63" i="2"/>
  <c r="I20" i="2"/>
  <c r="J20" i="2" s="1"/>
  <c r="I21" i="2"/>
  <c r="J21" i="2" s="1"/>
  <c r="I22" i="2"/>
  <c r="J22" i="2" s="1"/>
  <c r="I23" i="2"/>
  <c r="J23" i="2" s="1"/>
  <c r="P23" i="2"/>
  <c r="P22" i="2"/>
  <c r="P21" i="2"/>
  <c r="P20" i="2"/>
  <c r="R5" i="2"/>
  <c r="S5" i="2"/>
  <c r="T5" i="2"/>
  <c r="U5" i="2"/>
  <c r="V5" i="2"/>
  <c r="Q5" i="2"/>
  <c r="Q23" i="2"/>
  <c r="R23" i="2"/>
  <c r="S23" i="2"/>
  <c r="U23" i="2"/>
  <c r="Q22" i="2"/>
  <c r="Q24" i="2" s="1"/>
  <c r="R22" i="2"/>
  <c r="R24" i="2" s="1"/>
  <c r="Q21" i="2"/>
  <c r="R21" i="2"/>
  <c r="S21" i="2"/>
  <c r="T21" i="2"/>
  <c r="U21" i="2"/>
  <c r="Q20" i="2"/>
  <c r="R20" i="2"/>
  <c r="S20" i="2"/>
  <c r="T20" i="2"/>
  <c r="U20" i="2"/>
  <c r="V15" i="2"/>
  <c r="V16" i="2"/>
  <c r="V17" i="2"/>
  <c r="V18" i="2"/>
  <c r="R15" i="2"/>
  <c r="S15" i="2" s="1"/>
  <c r="T15" i="2" s="1"/>
  <c r="U15" i="2" s="1"/>
  <c r="R16" i="2"/>
  <c r="S16" i="2"/>
  <c r="T16" i="2" s="1"/>
  <c r="U16" i="2" s="1"/>
  <c r="R17" i="2"/>
  <c r="S17" i="2"/>
  <c r="T17" i="2"/>
  <c r="U17" i="2" s="1"/>
  <c r="R18" i="2"/>
  <c r="S18" i="2"/>
  <c r="T18" i="2"/>
  <c r="U18" i="2"/>
  <c r="Q18" i="2"/>
  <c r="Q6" i="2"/>
  <c r="Q16" i="2"/>
  <c r="V23" i="2"/>
  <c r="R11" i="2"/>
  <c r="R13" i="2"/>
  <c r="I32" i="2"/>
  <c r="D44" i="2"/>
  <c r="E44" i="2"/>
  <c r="F44" i="2"/>
  <c r="G44" i="2"/>
  <c r="H44" i="2"/>
  <c r="C44" i="2"/>
  <c r="P56" i="2"/>
  <c r="O56" i="2"/>
  <c r="P45" i="2"/>
  <c r="O45" i="2"/>
  <c r="P44" i="2"/>
  <c r="N44" i="2"/>
  <c r="N50" i="2"/>
  <c r="N59" i="2"/>
  <c r="P50" i="2"/>
  <c r="O59" i="2"/>
  <c r="P59" i="2"/>
  <c r="Q17" i="2"/>
  <c r="Q15" i="2"/>
  <c r="D11" i="2"/>
  <c r="E11" i="2"/>
  <c r="F11" i="2"/>
  <c r="D12" i="2"/>
  <c r="E12" i="2"/>
  <c r="F12" i="2"/>
  <c r="D13" i="2"/>
  <c r="E13" i="2"/>
  <c r="F13" i="2"/>
  <c r="C12" i="2"/>
  <c r="C13" i="2"/>
  <c r="C11" i="2"/>
  <c r="D10" i="2"/>
  <c r="E10" i="2"/>
  <c r="F10" i="2"/>
  <c r="C10" i="2"/>
  <c r="D24" i="2"/>
  <c r="D26" i="2" s="1"/>
  <c r="D41" i="2" s="1"/>
  <c r="E24" i="2"/>
  <c r="E26" i="2" s="1"/>
  <c r="F24" i="2"/>
  <c r="F26" i="2" s="1"/>
  <c r="F41" i="2" s="1"/>
  <c r="G24" i="2"/>
  <c r="C24" i="2"/>
  <c r="D5" i="2"/>
  <c r="E5" i="2"/>
  <c r="E6" i="2" s="1"/>
  <c r="F5" i="2"/>
  <c r="G5" i="2"/>
  <c r="H5" i="2"/>
  <c r="I5" i="2"/>
  <c r="J5" i="2"/>
  <c r="C5" i="2"/>
  <c r="O5" i="2"/>
  <c r="O6" i="2" s="1"/>
  <c r="P5" i="2"/>
  <c r="P6" i="2" s="1"/>
  <c r="Q7" i="2"/>
  <c r="R3" i="2"/>
  <c r="S3" i="2" s="1"/>
  <c r="T3" i="2" s="1"/>
  <c r="U3" i="2" s="1"/>
  <c r="V3" i="2" s="1"/>
  <c r="R41" i="2"/>
  <c r="S41" i="2" s="1"/>
  <c r="T41" i="2" s="1"/>
  <c r="U41" i="2" s="1"/>
  <c r="V41" i="2" s="1"/>
  <c r="I27" i="2"/>
  <c r="J27" i="2" s="1"/>
  <c r="I28" i="2"/>
  <c r="J28" i="2" s="1"/>
  <c r="I29" i="2"/>
  <c r="J29" i="2" s="1"/>
  <c r="Q29" i="2" s="1"/>
  <c r="R29" i="2" s="1"/>
  <c r="S29" i="2" s="1"/>
  <c r="T29" i="2" s="1"/>
  <c r="U29" i="2" s="1"/>
  <c r="V29" i="2" s="1"/>
  <c r="I24" i="2"/>
  <c r="I25" i="2" s="1"/>
  <c r="I26" i="2" s="1"/>
  <c r="M32" i="2"/>
  <c r="L32" i="2"/>
  <c r="M73" i="2"/>
  <c r="L73" i="2"/>
  <c r="M39" i="2"/>
  <c r="N39" i="2"/>
  <c r="M30" i="2"/>
  <c r="L30" i="2"/>
  <c r="L26" i="2"/>
  <c r="L41" i="2" s="1"/>
  <c r="M26" i="2"/>
  <c r="M41" i="2" s="1"/>
  <c r="Q36" i="2"/>
  <c r="R36" i="2" s="1"/>
  <c r="S36" i="2" s="1"/>
  <c r="T36" i="2" s="1"/>
  <c r="U36" i="2" s="1"/>
  <c r="V36" i="2" s="1"/>
  <c r="G32" i="2"/>
  <c r="C32" i="2"/>
  <c r="H32" i="2"/>
  <c r="D32" i="2"/>
  <c r="P32" i="2"/>
  <c r="O32" i="2"/>
  <c r="N32" i="2"/>
  <c r="H26" i="2"/>
  <c r="H41" i="2" s="1"/>
  <c r="D30" i="2"/>
  <c r="E30" i="2"/>
  <c r="F30" i="2"/>
  <c r="G30" i="2"/>
  <c r="H30" i="2"/>
  <c r="C30" i="2"/>
  <c r="C26" i="2"/>
  <c r="J3" i="1"/>
  <c r="J6" i="1"/>
  <c r="J5" i="1"/>
  <c r="P72" i="2"/>
  <c r="P73" i="2" s="1"/>
  <c r="O72" i="2"/>
  <c r="O73" i="2" s="1"/>
  <c r="N72" i="2"/>
  <c r="N73" i="2" s="1"/>
  <c r="O39" i="2"/>
  <c r="P39" i="2"/>
  <c r="O30" i="2"/>
  <c r="P30" i="2"/>
  <c r="N30" i="2"/>
  <c r="O26" i="2"/>
  <c r="O41" i="2" s="1"/>
  <c r="P26" i="2"/>
  <c r="P41" i="2" s="1"/>
  <c r="N26" i="2"/>
  <c r="N41" i="2" s="1"/>
  <c r="M2" i="2"/>
  <c r="N2" i="2" s="1"/>
  <c r="O2" i="2" s="1"/>
  <c r="P2" i="2" s="1"/>
  <c r="Q2" i="2" s="1"/>
  <c r="R2" i="2" s="1"/>
  <c r="S2" i="2" s="1"/>
  <c r="T2" i="2" s="1"/>
  <c r="U2" i="2" s="1"/>
  <c r="V2" i="2" s="1"/>
  <c r="J4" i="1"/>
  <c r="T23" i="2" l="1"/>
  <c r="R6" i="2"/>
  <c r="S22" i="2"/>
  <c r="S24" i="2" s="1"/>
  <c r="S6" i="2"/>
  <c r="D6" i="2"/>
  <c r="H39" i="2"/>
  <c r="P60" i="2"/>
  <c r="P61" i="2" s="1"/>
  <c r="N60" i="2"/>
  <c r="N61" i="2" s="1"/>
  <c r="F6" i="2"/>
  <c r="C6" i="2"/>
  <c r="G39" i="2"/>
  <c r="G26" i="2"/>
  <c r="G31" i="2" s="1"/>
  <c r="J24" i="2"/>
  <c r="Q39" i="2" s="1"/>
  <c r="M31" i="2"/>
  <c r="M42" i="2" s="1"/>
  <c r="I39" i="2"/>
  <c r="Q27" i="2"/>
  <c r="R27" i="2" s="1"/>
  <c r="S27" i="2" s="1"/>
  <c r="T27" i="2" s="1"/>
  <c r="U27" i="2" s="1"/>
  <c r="V27" i="2" s="1"/>
  <c r="I30" i="2"/>
  <c r="I31" i="2" s="1"/>
  <c r="I42" i="2" s="1"/>
  <c r="J30" i="2"/>
  <c r="L31" i="2"/>
  <c r="Q28" i="2"/>
  <c r="R28" i="2" s="1"/>
  <c r="S28" i="2" s="1"/>
  <c r="T28" i="2" s="1"/>
  <c r="U28" i="2" s="1"/>
  <c r="V28" i="2" s="1"/>
  <c r="F31" i="2"/>
  <c r="D31" i="2"/>
  <c r="D33" i="2" s="1"/>
  <c r="D35" i="2" s="1"/>
  <c r="D37" i="2" s="1"/>
  <c r="E31" i="2"/>
  <c r="E33" i="2" s="1"/>
  <c r="E35" i="2" s="1"/>
  <c r="E37" i="2" s="1"/>
  <c r="E41" i="2"/>
  <c r="C31" i="2"/>
  <c r="C42" i="2" s="1"/>
  <c r="C41" i="2"/>
  <c r="H31" i="2"/>
  <c r="J7" i="1"/>
  <c r="N31" i="2"/>
  <c r="O31" i="2"/>
  <c r="P31" i="2"/>
  <c r="T6" i="2" l="1"/>
  <c r="T22" i="2"/>
  <c r="T24" i="2" s="1"/>
  <c r="G41" i="2"/>
  <c r="M33" i="2"/>
  <c r="M35" i="2" s="1"/>
  <c r="M37" i="2" s="1"/>
  <c r="C33" i="2"/>
  <c r="C35" i="2" s="1"/>
  <c r="C37" i="2" s="1"/>
  <c r="J39" i="2"/>
  <c r="J25" i="2"/>
  <c r="Q8" i="2"/>
  <c r="E42" i="2"/>
  <c r="Q30" i="2"/>
  <c r="L33" i="2"/>
  <c r="L35" i="2" s="1"/>
  <c r="L37" i="2" s="1"/>
  <c r="L42" i="2"/>
  <c r="J26" i="2"/>
  <c r="J31" i="2" s="1"/>
  <c r="J42" i="2" s="1"/>
  <c r="Q25" i="2"/>
  <c r="Q26" i="2" s="1"/>
  <c r="Q31" i="2" s="1"/>
  <c r="Q42" i="2" s="1"/>
  <c r="F33" i="2"/>
  <c r="F35" i="2" s="1"/>
  <c r="F37" i="2" s="1"/>
  <c r="F42" i="2"/>
  <c r="D42" i="2"/>
  <c r="I33" i="2"/>
  <c r="I34" i="2" s="1"/>
  <c r="G33" i="2"/>
  <c r="G35" i="2" s="1"/>
  <c r="G37" i="2" s="1"/>
  <c r="G42" i="2"/>
  <c r="H33" i="2"/>
  <c r="H35" i="2" s="1"/>
  <c r="H37" i="2" s="1"/>
  <c r="H42" i="2"/>
  <c r="P33" i="2"/>
  <c r="P35" i="2" s="1"/>
  <c r="P42" i="2"/>
  <c r="N33" i="2"/>
  <c r="N35" i="2" s="1"/>
  <c r="N42" i="2"/>
  <c r="O33" i="2"/>
  <c r="O35" i="2" s="1"/>
  <c r="O42" i="2"/>
  <c r="R30" i="2"/>
  <c r="V6" i="2" l="1"/>
  <c r="U22" i="2"/>
  <c r="U24" i="2" s="1"/>
  <c r="U6" i="2"/>
  <c r="R8" i="2"/>
  <c r="R25" i="2"/>
  <c r="R26" i="2" s="1"/>
  <c r="R31" i="2" s="1"/>
  <c r="R42" i="2" s="1"/>
  <c r="R39" i="2"/>
  <c r="I35" i="2"/>
  <c r="N37" i="2"/>
  <c r="P37" i="2"/>
  <c r="O37" i="2"/>
  <c r="S30" i="2"/>
  <c r="I37" i="2" l="1"/>
  <c r="I44" i="2"/>
  <c r="S8" i="2"/>
  <c r="S39" i="2"/>
  <c r="S25" i="2"/>
  <c r="S26" i="2" s="1"/>
  <c r="S31" i="2" s="1"/>
  <c r="S42" i="2" s="1"/>
  <c r="T30" i="2"/>
  <c r="J32" i="2" l="1"/>
  <c r="T8" i="2"/>
  <c r="T39" i="2"/>
  <c r="T25" i="2"/>
  <c r="T26" i="2" s="1"/>
  <c r="T31" i="2" s="1"/>
  <c r="T42" i="2" s="1"/>
  <c r="V30" i="2"/>
  <c r="U30" i="2"/>
  <c r="Q32" i="2" l="1"/>
  <c r="Q33" i="2" s="1"/>
  <c r="J33" i="2"/>
  <c r="J34" i="2" s="1"/>
  <c r="U8" i="2"/>
  <c r="U39" i="2"/>
  <c r="U25" i="2"/>
  <c r="U26" i="2" s="1"/>
  <c r="U31" i="2" s="1"/>
  <c r="U42" i="2" s="1"/>
  <c r="J35" i="2" l="1"/>
  <c r="Q34" i="2"/>
  <c r="Q35" i="2" s="1"/>
  <c r="Q73" i="2" l="1"/>
  <c r="J8" i="1"/>
  <c r="Q37" i="2"/>
  <c r="J37" i="2"/>
  <c r="J44" i="2"/>
  <c r="Q44" i="2" s="1"/>
  <c r="V21" i="2"/>
  <c r="V20" i="2"/>
  <c r="V22" i="2"/>
  <c r="R32" i="2" l="1"/>
  <c r="R33" i="2" s="1"/>
  <c r="V39" i="2"/>
  <c r="V8" i="2"/>
  <c r="V25" i="2"/>
  <c r="V26" i="2" s="1"/>
  <c r="V31" i="2" s="1"/>
  <c r="V42" i="2" s="1"/>
  <c r="R34" i="2" l="1"/>
  <c r="R35" i="2"/>
  <c r="R37" i="2" l="1"/>
  <c r="R73" i="2"/>
  <c r="R44" i="2"/>
  <c r="S32" i="2" l="1"/>
  <c r="S33" i="2" s="1"/>
  <c r="S34" i="2" l="1"/>
  <c r="S35" i="2"/>
  <c r="S73" i="2" l="1"/>
  <c r="S37" i="2"/>
  <c r="S44" i="2"/>
  <c r="T32" i="2" l="1"/>
  <c r="T33" i="2" s="1"/>
  <c r="O44" i="2"/>
  <c r="O50" i="2"/>
  <c r="O60" i="2" s="1"/>
  <c r="O61" i="2" s="1"/>
  <c r="T34" i="2" l="1"/>
  <c r="T35" i="2" s="1"/>
  <c r="T37" i="2" l="1"/>
  <c r="T73" i="2"/>
  <c r="T44" i="2"/>
  <c r="U32" i="2" l="1"/>
  <c r="U33" i="2" s="1"/>
  <c r="U34" i="2" s="1"/>
  <c r="U35" i="2" s="1"/>
  <c r="U44" i="2" s="1"/>
  <c r="V32" i="2" s="1"/>
  <c r="V33" i="2" s="1"/>
  <c r="V34" i="2" s="1"/>
  <c r="V35" i="2" s="1"/>
  <c r="V44" i="2" l="1"/>
  <c r="V73" i="2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W35" i="2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V37" i="2"/>
  <c r="U73" i="2"/>
  <c r="U37" i="2"/>
  <c r="Y40" i="2" l="1"/>
  <c r="Y41" i="2" s="1"/>
  <c r="Y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tc={5A8CFE10-07FD-49CA-BF74-040AD3CD96FD}</author>
    <author>tc={9E6585CD-FA01-4D22-ACB1-C2D741B5ABAA}</author>
    <author>tc={7DEE4E27-D036-4CDC-A9D3-2BFB43703404}</author>
    <author>tc={8A36DD81-0862-4062-80AD-68A7E513681E}</author>
    <author>tc={E0AD6470-36F9-415A-92B5-08DCC0DF87FE}</author>
  </authors>
  <commentList>
    <comment ref="I24" authorId="0" shapeId="0" xr:uid="{5A8CFE10-07FD-49CA-BF74-040AD3CD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11,526</t>
      </text>
    </comment>
    <comment ref="Q24" authorId="1" shapeId="0" xr:uid="{9E6585CD-FA01-4D22-ACB1-C2D741B5ABAA}">
      <text>
        <t>[Threaded comment]
Your version of Excel allows you to read this threaded comment; however, any edits to it will get removed if the file is opened in a newer version of Excel. Learn more: https://go.microsoft.com/fwlink/?linkid=870924
Comment:
    45B guidance</t>
      </text>
    </comment>
    <comment ref="I31" authorId="2" shapeId="0" xr:uid="{7DEE4E27-D036-4CDC-A9D3-2BFB4370340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3,625</t>
      </text>
    </comment>
    <comment ref="I35" authorId="3" shapeId="0" xr:uid="{8A36DD81-0862-4062-80AD-68A7E513681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2,979</t>
      </text>
    </comment>
    <comment ref="Q42" authorId="4" shapeId="0" xr:uid="{E0AD6470-36F9-415A-92B5-08DCC0DF87FE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guidance</t>
      </text>
    </comment>
  </commentList>
</comments>
</file>

<file path=xl/sharedStrings.xml><?xml version="1.0" encoding="utf-8"?>
<sst xmlns="http://schemas.openxmlformats.org/spreadsheetml/2006/main" count="98" uniqueCount="91">
  <si>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</si>
  <si>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</si>
  <si>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</si>
  <si>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</si>
  <si>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</si>
  <si>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</si>
  <si>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</si>
  <si>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</si>
  <si>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</si>
  <si>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</si>
  <si>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</si>
  <si>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</si>
  <si>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</si>
  <si>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</si>
  <si>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</si>
  <si>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</si>
  <si>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Operating Income</t>
  </si>
  <si>
    <t>Pretax Income</t>
  </si>
  <si>
    <t>Tax</t>
  </si>
  <si>
    <t>Net Income</t>
  </si>
  <si>
    <t>EPS</t>
  </si>
  <si>
    <t>Gross Margin</t>
  </si>
  <si>
    <t>CFFO</t>
  </si>
  <si>
    <t>CX</t>
  </si>
  <si>
    <t>FCF</t>
  </si>
  <si>
    <t>Net Cash</t>
  </si>
  <si>
    <t>NPV</t>
  </si>
  <si>
    <t>Discount</t>
  </si>
  <si>
    <t>Maturity</t>
  </si>
  <si>
    <t>ROIC</t>
  </si>
  <si>
    <t>Operating Margin</t>
  </si>
  <si>
    <t>Q125</t>
  </si>
  <si>
    <t>Main</t>
  </si>
  <si>
    <t>Read</t>
  </si>
  <si>
    <t>Relevance</t>
  </si>
  <si>
    <t>Topic</t>
  </si>
  <si>
    <t>Title</t>
  </si>
  <si>
    <t>https://www.statista.com/topics/3359/cable-tv/#topicOverview</t>
  </si>
  <si>
    <t>Subscribers</t>
  </si>
  <si>
    <t>https://cdr.lib.unc.edu/concern/honors_theses/kd17d4923</t>
  </si>
  <si>
    <t>https://bibliotekanauki.pl/articles/59251420.pdf</t>
  </si>
  <si>
    <t>Are subscriptions or ads gonna drive growth?</t>
  </si>
  <si>
    <t>EMEA Subs</t>
  </si>
  <si>
    <t>Q225</t>
  </si>
  <si>
    <t>Q325</t>
  </si>
  <si>
    <t>Q425</t>
  </si>
  <si>
    <t>ARPU Monthly</t>
  </si>
  <si>
    <t>Operating Expenses</t>
  </si>
  <si>
    <t>Interest Income</t>
  </si>
  <si>
    <t>Revenue Growth y/y</t>
  </si>
  <si>
    <t>Share</t>
  </si>
  <si>
    <t>UCAN Subs</t>
  </si>
  <si>
    <t>What determines their pricing power?</t>
  </si>
  <si>
    <t>Streaming TAM</t>
  </si>
  <si>
    <t>https://www.statista.com/outlook/amo/media/tv-video/ott-video/video-streaming-svod/worldwide?currency=USD</t>
  </si>
  <si>
    <t>AVG ARPU Monthly</t>
  </si>
  <si>
    <t>NFLX Market Pen</t>
  </si>
  <si>
    <t>Content for different languages; english speaking countries are most of revenue currently, spanish are second</t>
  </si>
  <si>
    <t>LATAM Subs</t>
  </si>
  <si>
    <t>APAC Subs</t>
  </si>
  <si>
    <t>UCAN Rev</t>
  </si>
  <si>
    <t>EMEA Rev</t>
  </si>
  <si>
    <t>LATAM Rev</t>
  </si>
  <si>
    <t>APAC Rev</t>
  </si>
  <si>
    <t>UCAN ARPU Monthly</t>
  </si>
  <si>
    <t>EMEA ARPU Monthly</t>
  </si>
  <si>
    <t>LATAM ARPU Monthly</t>
  </si>
  <si>
    <t>APAC ARPU Monthly</t>
  </si>
  <si>
    <t>Is international growth margin dilutative and the revenue per customer lower</t>
  </si>
  <si>
    <t>OCA</t>
  </si>
  <si>
    <t>Content Assets</t>
  </si>
  <si>
    <t>PP&amp;E</t>
  </si>
  <si>
    <t>Current Content Liabilities</t>
  </si>
  <si>
    <t>AP</t>
  </si>
  <si>
    <t>Accrued Expenses</t>
  </si>
  <si>
    <t>Deferred Revenue</t>
  </si>
  <si>
    <t>NC Content Liablities</t>
  </si>
  <si>
    <t>ONCL</t>
  </si>
  <si>
    <t>ONCA</t>
  </si>
  <si>
    <t>Assets</t>
  </si>
  <si>
    <t>SE</t>
  </si>
  <si>
    <t>L+SE</t>
  </si>
  <si>
    <t>Liabilities</t>
  </si>
  <si>
    <t>"double our ads buisness this year" from Q225 earnings call</t>
  </si>
  <si>
    <t>"per owner household engagement steady for past 2 years"</t>
  </si>
  <si>
    <t>How are games gonna affect netflix</t>
  </si>
  <si>
    <t>"other 50% of TV viewing migrate to streaming"</t>
  </si>
  <si>
    <t>Is the premium pricing of NFLX subscriptions due to the breadth of the library and are they expanding it well?</t>
  </si>
  <si>
    <t>Is the region  pricing based on the language based library breadth and will they be able to raise prices a lot in growing regions?</t>
  </si>
  <si>
    <t>Model NI</t>
  </si>
  <si>
    <t>Reported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</si>
</sst>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3" fontId="7" fillId="0" borderId="0" xfId="0" applyNumberFormat="1" applyFont="1"/>
    <xf numFmtId="1" fontId="7" fillId="0" borderId="0" xfId="0" applyNumberFormat="1" applyFont="1"/>
    <xf numFmtId="3" fontId="8" fillId="0" borderId="0" xfId="0" applyNumberFormat="1" applyFont="1"/>
    <xf numFmtId="9" fontId="7" fillId="0" borderId="0" xfId="0" applyNumberFormat="1" applyFont="1"/>
    <xf numFmtId="4" fontId="7" fillId="0" borderId="0" xfId="0" applyNumberFormat="1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0" fontId="10" fillId="0" borderId="0" xfId="1" applyFont="1"/>
    <xf numFmtId="3" fontId="6" fillId="0" borderId="0" xfId="0" applyNumberFormat="1" applyFont="1"/>
    <xf numFmtId="3" fontId="5" fillId="0" borderId="0" xfId="0" applyNumberFormat="1" applyFont="1"/>
    <xf numFmtId="9" fontId="8" fillId="0" borderId="0" xfId="0" applyNumberFormat="1" applyFont="1"/>
    <xf numFmtId="0" fontId="5" fillId="0" borderId="0" xfId="0" applyFont="1"/>
    <xf numFmtId="3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6" fillId="0" borderId="0" xfId="0" applyNumberFormat="1" applyFont="1"/>
    <xf numFmtId="3" fontId="10" fillId="0" borderId="0" xfId="1" applyNumberFormat="1" applyFont="1"/>
    <xf numFmtId="0" fontId="2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588352</xdr:colOff>
      <xdr:row>1</xdr:row>
      <xdr:rowOff>35902</xdr:rowOff>
    </xdr:from>
    <xdr:to>
      <xdr:col>15</xdr:col>
      <xdr:colOff>597877</xdr:colOff>
      <xdr:row>85</xdr:row>
      <xdr:rowOff>8060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9761660" y="35902"/>
          <a:ext cx="9525" cy="69034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600807</xdr:colOff>
      <xdr:row>0</xdr:row>
      <xdr:rowOff>117230</xdr:rowOff>
    </xdr:from>
    <xdr:to>
      <xdr:col>8</xdr:col>
      <xdr:colOff>2198</xdr:colOff>
      <xdr:row>84</xdr:row>
      <xdr:rowOff>98913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5495192" y="117230"/>
          <a:ext cx="9525" cy="135218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33131</xdr:colOff>
      <xdr:row>15</xdr:row>
      <xdr:rowOff>132521</xdr:rowOff>
    </xdr:from>
    <xdr:to>
      <xdr:col>11</xdr:col>
      <xdr:colOff>444778</xdr:colOff>
      <xdr:row>34</xdr:row>
      <xdr:rowOff>43082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88A7D-92AD-A940-3BC8-3A30C340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348" y="2617304"/>
          <a:ext cx="5944430" cy="3057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ED8E083-F5D0-434B-B719-3FA223A679C1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5-08-08T00:43:23.85" personId="{7ED8E083-F5D0-434B-B719-3FA223A679C1}" id="{5A8CFE10-07FD-49CA-BF74-040AD3CD96FD}">
    <text>Guidance 11,526</text>
  </threadedComment>
  <threadedComment ref="Q24" dT="2025-08-08T00:45:36.29" personId="{7ED8E083-F5D0-434B-B719-3FA223A679C1}" id="{9E6585CD-FA01-4D22-ACB1-C2D741B5ABAA}">
    <text>45B guidance</text>
  </threadedComment>
  <threadedComment ref="I31" dT="2025-08-08T00:43:30.30" personId="{7ED8E083-F5D0-434B-B719-3FA223A679C1}" id="{7DEE4E27-D036-4CDC-A9D3-2BFB43703404}">
    <text>Guidance 3,625</text>
  </threadedComment>
  <threadedComment ref="I35" dT="2025-08-08T00:43:40.76" personId="{7ED8E083-F5D0-434B-B719-3FA223A679C1}" id="{8A36DD81-0862-4062-80AD-68A7E513681E}">
    <text>Guidance 2,979</text>
  </threadedComment>
  <threadedComment ref="Q42" dT="2025-08-08T00:44:43.17" personId="{7ED8E083-F5D0-434B-B719-3FA223A679C1}" id="{E0AD6470-36F9-415A-92B5-08DCC0DF87FE}">
    <text>30%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K16"/>
  <sheetViews>
    <sheetView zoomScaleNormal="100" workbookViewId="0">
      <selection activeCell="J2" sqref="J2"/>
    </sheetView>
  </sheetViews>
  <sheetFormatPr defaultRowHeight="12.75" x14ac:dyDescent="0.2"/>
  <cols>
    <col min="1" max="16384" width="9.140625" style="7"/>
  </cols>
  <sheetData>
    <row r="1" spans="1:11" x14ac:dyDescent="0.2">
      <c r="A1" s="6"/>
    </row>
    <row r="2" spans="1:11" x14ac:dyDescent="0.2">
      <c r="I2" s="7" t="s">
        <v>0</v>
      </c>
      <c r="J2" s="5">
        <v>1180</v>
      </c>
    </row>
    <row r="3" spans="1:11" x14ac:dyDescent="0.2">
      <c r="I3" s="7" t="s">
        <v>1</v>
      </c>
      <c r="J3" s="1">
        <f>425.211</f>
        <v>425.21100000000001</v>
      </c>
      <c r="K3" s="9" t="s">
        <v>43</v>
      </c>
    </row>
    <row r="4" spans="1:11" x14ac:dyDescent="0.2">
      <c r="I4" s="7" t="s">
        <v>2</v>
      </c>
      <c r="J4" s="1">
        <f>J3*J2</f>
        <v>501748.98000000004</v>
      </c>
    </row>
    <row r="5" spans="1:11" x14ac:dyDescent="0.2">
      <c r="I5" s="7" t="s">
        <v>3</v>
      </c>
      <c r="J5" s="1">
        <f>8177.4+213.1</f>
        <v>8390.5</v>
      </c>
      <c r="K5" s="9" t="s">
        <v>43</v>
      </c>
    </row>
    <row r="6" spans="1:11" x14ac:dyDescent="0.2">
      <c r="I6" s="7" t="s">
        <v>4</v>
      </c>
      <c r="J6" s="1">
        <f>14453.2</f>
        <v>14453.2</v>
      </c>
      <c r="K6" s="9" t="s">
        <v>43</v>
      </c>
    </row>
    <row r="7" spans="1:11" x14ac:dyDescent="0.2">
      <c r="I7" s="7" t="s">
        <v>5</v>
      </c>
      <c r="J7" s="1">
        <f>J4+J6-J5</f>
        <v>507811.68000000005</v>
      </c>
    </row>
    <row r="8" spans="1:11" x14ac:dyDescent="0.2">
      <c r="J8" s="8">
        <f>J7/Model!Q35</f>
        <v>37.540859415037581</v>
      </c>
    </row>
    <row r="10" spans="1:11" x14ac:dyDescent="0.2">
      <c r="I10" s="9" t="s">
        <v>41</v>
      </c>
    </row>
    <row r="11" spans="1:11" x14ac:dyDescent="0.2">
      <c r="B11" s="16" t="s">
        <v>83</v>
      </c>
      <c r="I11" s="14" t="s">
        <v>52</v>
      </c>
    </row>
    <row r="12" spans="1:11" x14ac:dyDescent="0.2">
      <c r="B12" s="16" t="s">
        <v>84</v>
      </c>
      <c r="I12" s="16" t="s">
        <v>57</v>
      </c>
    </row>
    <row r="13" spans="1:11" x14ac:dyDescent="0.2">
      <c r="B13" s="16" t="s">
        <v>86</v>
      </c>
      <c r="I13" s="16" t="s">
        <v>68</v>
      </c>
    </row>
    <row r="14" spans="1:11" x14ac:dyDescent="0.2">
      <c r="I14" s="16" t="s">
        <v>85</v>
      </c>
    </row>
    <row r="15" spans="1:11" x14ac:dyDescent="0.2">
      <c r="I15" s="16" t="s">
        <v>87</v>
      </c>
    </row>
    <row r="16" spans="1:11" x14ac:dyDescent="0.2">
      <c r="I16" s="20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Q78"/>
  <sheetViews>
    <sheetView tabSelected="1" zoomScale="130" zoomScaleNormal="130" workbookViewId="0">
      <pane xSplit="2" ySplit="2" topLeftCell="O22" activePane="bottomRight" state="frozen"/>
      <selection pane="topRight" activeCell="B1" sqref="B1"/>
      <selection pane="bottomLeft" activeCell="A2" sqref="A2"/>
      <selection pane="bottomRight" activeCell="Z49" sqref="Z49"/>
    </sheetView>
  </sheetViews>
  <sheetFormatPr defaultRowHeight="12.75" x14ac:dyDescent="0.2"/>
  <cols>
    <col min="1" max="1" width="5" style="1" bestFit="1" customWidth="1"/>
    <col min="2" max="2" width="22.7109375" style="1" bestFit="1" customWidth="1"/>
    <col min="3" max="16" width="9.140625" style="1"/>
    <col min="17" max="17" width="9.140625" style="1" customWidth="1"/>
    <col min="18" max="16384" width="9.140625" style="1"/>
  </cols>
  <sheetData>
    <row r="1" spans="1:26" x14ac:dyDescent="0.2">
      <c r="A1" s="19" t="s">
        <v>32</v>
      </c>
    </row>
    <row r="2" spans="1:26" x14ac:dyDescent="0.2">
      <c r="C2" s="1" t="s">
        <v>6</v>
      </c>
      <c r="D2" s="1" t="s">
        <v>7</v>
      </c>
      <c r="E2" s="1" t="s">
        <v>8</v>
      </c>
      <c r="F2" s="1" t="s">
        <v>9</v>
      </c>
      <c r="G2" s="11" t="s">
        <v>31</v>
      </c>
      <c r="H2" s="11" t="s">
        <v>43</v>
      </c>
      <c r="I2" s="11" t="s">
        <v>44</v>
      </c>
      <c r="J2" s="11" t="s">
        <v>45</v>
      </c>
      <c r="L2" s="2">
        <v>2020</v>
      </c>
      <c r="M2" s="2">
        <f>L2+1</f>
        <v>2021</v>
      </c>
      <c r="N2" s="2">
        <f t="shared" ref="N2:V2" si="0">M2+1</f>
        <v>2022</v>
      </c>
      <c r="O2" s="2">
        <f t="shared" si="0"/>
        <v>2023</v>
      </c>
      <c r="P2" s="2">
        <f t="shared" si="0"/>
        <v>2024</v>
      </c>
      <c r="Q2" s="2">
        <f t="shared" si="0"/>
        <v>2025</v>
      </c>
      <c r="R2" s="2">
        <f t="shared" si="0"/>
        <v>2026</v>
      </c>
      <c r="S2" s="2">
        <f t="shared" si="0"/>
        <v>2027</v>
      </c>
      <c r="T2" s="2">
        <f t="shared" si="0"/>
        <v>2028</v>
      </c>
      <c r="U2" s="2">
        <f t="shared" si="0"/>
        <v>2029</v>
      </c>
      <c r="V2" s="2">
        <f t="shared" si="0"/>
        <v>2030</v>
      </c>
      <c r="W2" s="2"/>
      <c r="X2" s="2"/>
      <c r="Y2" s="2"/>
      <c r="Z2" s="2"/>
    </row>
    <row r="3" spans="1:26" x14ac:dyDescent="0.2">
      <c r="B3" s="15" t="s">
        <v>53</v>
      </c>
      <c r="G3" s="11"/>
      <c r="H3" s="11"/>
      <c r="I3" s="11"/>
      <c r="J3" s="11"/>
      <c r="L3" s="2"/>
      <c r="M3" s="2"/>
      <c r="N3" s="2"/>
      <c r="O3" s="2"/>
      <c r="P3" s="2"/>
      <c r="Q3" s="1">
        <v>119000</v>
      </c>
      <c r="R3" s="1">
        <f>Q3*1.07</f>
        <v>127330.00000000001</v>
      </c>
      <c r="S3" s="1">
        <f t="shared" ref="S3:V3" si="1">R3*1.07</f>
        <v>136243.10000000003</v>
      </c>
      <c r="T3" s="1">
        <f t="shared" si="1"/>
        <v>145780.11700000006</v>
      </c>
      <c r="U3" s="1">
        <f t="shared" si="1"/>
        <v>155984.72519000006</v>
      </c>
      <c r="V3" s="1">
        <f t="shared" si="1"/>
        <v>166903.65595330007</v>
      </c>
      <c r="W3" s="2"/>
      <c r="X3" s="2"/>
      <c r="Y3" s="2"/>
      <c r="Z3" s="2"/>
    </row>
    <row r="4" spans="1:26" x14ac:dyDescent="0.2">
      <c r="G4" s="11"/>
      <c r="H4" s="11"/>
      <c r="I4" s="11"/>
      <c r="J4" s="11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2"/>
      <c r="X4" s="2"/>
      <c r="Y4" s="2"/>
      <c r="Z4" s="2"/>
    </row>
    <row r="5" spans="1:26" x14ac:dyDescent="0.2">
      <c r="B5" s="11" t="s">
        <v>38</v>
      </c>
      <c r="C5" s="2">
        <f>SUM(C15:C18)</f>
        <v>269.61</v>
      </c>
      <c r="D5" s="2">
        <f t="shared" ref="D5:J5" si="2">SUM(D15:D18)</f>
        <v>277.64</v>
      </c>
      <c r="E5" s="2">
        <f t="shared" si="2"/>
        <v>282.71000000000004</v>
      </c>
      <c r="F5" s="2">
        <f t="shared" si="2"/>
        <v>301.63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L5" s="2"/>
      <c r="M5" s="2"/>
      <c r="N5" s="2"/>
      <c r="O5" s="2">
        <f>SUM(O15:O18)</f>
        <v>260.27999999999997</v>
      </c>
      <c r="P5" s="2">
        <f>SUM(P15:P18)</f>
        <v>301.10000000000002</v>
      </c>
      <c r="Q5" s="2">
        <f>SUM(Q15:Q18)</f>
        <v>345.42700000000002</v>
      </c>
      <c r="R5" s="2">
        <f t="shared" ref="R5:V5" si="3">SUM(R15:R18)</f>
        <v>397.43849000000006</v>
      </c>
      <c r="S5" s="2">
        <f t="shared" si="3"/>
        <v>458.70094630000006</v>
      </c>
      <c r="T5" s="2">
        <f t="shared" si="3"/>
        <v>531.14193448100013</v>
      </c>
      <c r="U5" s="2">
        <f t="shared" si="3"/>
        <v>617.13987984247001</v>
      </c>
      <c r="V5" s="2">
        <f t="shared" si="3"/>
        <v>719.63708676522913</v>
      </c>
      <c r="W5" s="2"/>
      <c r="X5" s="2"/>
      <c r="Y5" s="2"/>
      <c r="Z5" s="2"/>
    </row>
    <row r="6" spans="1:26" x14ac:dyDescent="0.2">
      <c r="B6" s="12" t="s">
        <v>46</v>
      </c>
      <c r="C6" s="1">
        <f>C24/C5/3</f>
        <v>11.584634595650506</v>
      </c>
      <c r="D6" s="1">
        <f t="shared" ref="D6:F6" si="4">D24/D5/3</f>
        <v>11.477692935696105</v>
      </c>
      <c r="E6" s="1">
        <f t="shared" si="4"/>
        <v>11.583129944701872</v>
      </c>
      <c r="F6" s="1">
        <f t="shared" si="4"/>
        <v>11.324028334935738</v>
      </c>
      <c r="L6" s="2"/>
      <c r="M6" s="2"/>
      <c r="N6" s="2"/>
      <c r="O6" s="1">
        <f>O24/O5/12</f>
        <v>10.797122329798681</v>
      </c>
      <c r="P6" s="1">
        <f>P24/P5/12</f>
        <v>10.793756227167053</v>
      </c>
      <c r="Q6" s="2">
        <f t="shared" ref="Q6:V6" si="5">AVERAGE(Q10:Q13)</f>
        <v>10.5</v>
      </c>
      <c r="R6" s="2">
        <f t="shared" si="5"/>
        <v>11.200000000000001</v>
      </c>
      <c r="S6" s="2">
        <f t="shared" si="5"/>
        <v>12</v>
      </c>
      <c r="T6" s="2">
        <f t="shared" si="5"/>
        <v>13</v>
      </c>
      <c r="U6" s="2">
        <f t="shared" si="5"/>
        <v>13.75</v>
      </c>
      <c r="V6" s="2">
        <f t="shared" si="5"/>
        <v>14</v>
      </c>
      <c r="W6" s="2"/>
      <c r="X6" s="2"/>
      <c r="Y6" s="2"/>
      <c r="Z6" s="2"/>
    </row>
    <row r="7" spans="1:26" x14ac:dyDescent="0.2">
      <c r="B7" s="15" t="s">
        <v>55</v>
      </c>
      <c r="L7" s="2"/>
      <c r="M7" s="2"/>
      <c r="N7" s="2"/>
      <c r="O7" s="2"/>
      <c r="P7" s="11"/>
      <c r="Q7" s="2">
        <f>80/12</f>
        <v>6.666666666666667</v>
      </c>
      <c r="R7" s="2"/>
      <c r="S7" s="2"/>
      <c r="T7" s="2"/>
      <c r="U7" s="2"/>
      <c r="V7" s="2"/>
      <c r="W7" s="2"/>
      <c r="Y7" s="2"/>
      <c r="Z7" s="2"/>
    </row>
    <row r="8" spans="1:26" x14ac:dyDescent="0.2">
      <c r="B8" s="15" t="s">
        <v>56</v>
      </c>
      <c r="L8" s="2"/>
      <c r="M8" s="2"/>
      <c r="N8" s="2"/>
      <c r="O8" s="2"/>
      <c r="P8" s="11"/>
      <c r="Q8" s="4">
        <f>Q24/Q3</f>
        <v>0.38983956302521011</v>
      </c>
      <c r="R8" s="4">
        <f t="shared" ref="R8:V8" si="6">R24/R3</f>
        <v>0.43957853341710518</v>
      </c>
      <c r="S8" s="4">
        <f t="shared" si="6"/>
        <v>0.49967314957748316</v>
      </c>
      <c r="T8" s="4">
        <f t="shared" si="6"/>
        <v>0.57874677837373389</v>
      </c>
      <c r="U8" s="4">
        <f t="shared" si="6"/>
        <v>0.65733554961069895</v>
      </c>
      <c r="V8" s="4">
        <f t="shared" si="6"/>
        <v>0.72247389358875747</v>
      </c>
      <c r="W8" s="2"/>
      <c r="X8" s="2"/>
      <c r="Y8" s="2"/>
      <c r="Z8" s="2"/>
    </row>
    <row r="9" spans="1:26" x14ac:dyDescent="0.2">
      <c r="B9" s="15"/>
      <c r="L9" s="2"/>
      <c r="M9" s="2"/>
      <c r="N9" s="2"/>
      <c r="O9" s="2"/>
      <c r="P9" s="11"/>
      <c r="Q9" s="4"/>
      <c r="R9" s="4"/>
      <c r="S9" s="4"/>
      <c r="T9" s="4"/>
      <c r="U9" s="4"/>
      <c r="V9" s="4"/>
      <c r="W9" s="2"/>
      <c r="X9" s="2"/>
      <c r="Y9" s="2"/>
      <c r="Z9" s="2"/>
    </row>
    <row r="10" spans="1:26" x14ac:dyDescent="0.2">
      <c r="B10" s="17" t="s">
        <v>64</v>
      </c>
      <c r="C10" s="1">
        <f>C20/C15/3</f>
        <v>17.033631744495526</v>
      </c>
      <c r="D10" s="1">
        <f t="shared" ref="D10:F10" si="7">D20/D15/3</f>
        <v>17.025323980501724</v>
      </c>
      <c r="E10" s="1">
        <f t="shared" si="7"/>
        <v>16.988993710691826</v>
      </c>
      <c r="F10" s="1">
        <f t="shared" si="7"/>
        <v>16.798690914500355</v>
      </c>
      <c r="L10" s="2"/>
      <c r="M10" s="2"/>
      <c r="N10" s="2"/>
      <c r="O10" s="2"/>
      <c r="P10" s="18"/>
      <c r="Q10" s="1">
        <v>17</v>
      </c>
      <c r="R10" s="1">
        <v>17</v>
      </c>
      <c r="S10" s="1">
        <v>17</v>
      </c>
      <c r="T10" s="1">
        <v>18</v>
      </c>
      <c r="U10" s="1">
        <v>18</v>
      </c>
      <c r="V10" s="1">
        <v>18</v>
      </c>
      <c r="Y10" s="2"/>
      <c r="Z10" s="2"/>
    </row>
    <row r="11" spans="1:26" x14ac:dyDescent="0.2">
      <c r="B11" s="17" t="s">
        <v>65</v>
      </c>
      <c r="C11" s="1">
        <f>C21/C16/3</f>
        <v>10.748937098005015</v>
      </c>
      <c r="D11" s="1">
        <f t="shared" ref="D11:F11" si="8">D21/D16/3</f>
        <v>10.671207606073507</v>
      </c>
      <c r="E11" s="1">
        <f t="shared" si="8"/>
        <v>10.863760879364749</v>
      </c>
      <c r="F11" s="1">
        <f t="shared" si="8"/>
        <v>10.837535844952043</v>
      </c>
      <c r="L11" s="2"/>
      <c r="M11" s="2"/>
      <c r="N11" s="2"/>
      <c r="O11" s="2"/>
      <c r="P11" s="18"/>
      <c r="Q11" s="1">
        <v>11</v>
      </c>
      <c r="R11" s="11">
        <f>Q11*1.1</f>
        <v>12.100000000000001</v>
      </c>
      <c r="S11" s="11">
        <v>13</v>
      </c>
      <c r="T11" s="11">
        <v>14</v>
      </c>
      <c r="U11" s="11">
        <v>15</v>
      </c>
      <c r="V11" s="11">
        <v>16</v>
      </c>
      <c r="Y11" s="2"/>
      <c r="Z11" s="2"/>
    </row>
    <row r="12" spans="1:26" x14ac:dyDescent="0.2">
      <c r="B12" s="17" t="s">
        <v>66</v>
      </c>
      <c r="C12" s="1">
        <f t="shared" ref="C12:C13" si="9">C22/C17/3</f>
        <v>8.1377479742944967</v>
      </c>
      <c r="D12" s="1">
        <f t="shared" ref="D12:F12" si="10">D22/D17/3</f>
        <v>8.1489001692047385</v>
      </c>
      <c r="E12" s="1">
        <f t="shared" si="10"/>
        <v>8.4112782974108722</v>
      </c>
      <c r="F12" s="1">
        <f t="shared" si="10"/>
        <v>7.6879804987811733</v>
      </c>
      <c r="L12" s="2"/>
      <c r="M12" s="2"/>
      <c r="N12" s="2"/>
      <c r="O12" s="2"/>
      <c r="P12" s="18"/>
      <c r="Q12" s="1">
        <v>7</v>
      </c>
      <c r="R12" s="11">
        <v>8</v>
      </c>
      <c r="S12" s="11">
        <v>9</v>
      </c>
      <c r="T12" s="11">
        <v>10</v>
      </c>
      <c r="U12" s="11">
        <v>11</v>
      </c>
      <c r="V12" s="11">
        <v>11</v>
      </c>
      <c r="Y12" s="2"/>
      <c r="Z12" s="2"/>
    </row>
    <row r="13" spans="1:26" x14ac:dyDescent="0.2">
      <c r="B13" s="17" t="s">
        <v>67</v>
      </c>
      <c r="C13" s="1">
        <f t="shared" si="9"/>
        <v>7.1789473684210527</v>
      </c>
      <c r="D13" s="1">
        <f t="shared" ref="D13:F13" si="11">D23/D18/3</f>
        <v>6.9687334393216744</v>
      </c>
      <c r="E13" s="1">
        <f t="shared" si="11"/>
        <v>7.1482889733840302</v>
      </c>
      <c r="F13" s="1">
        <f t="shared" si="11"/>
        <v>7.0212026416405982</v>
      </c>
      <c r="L13" s="2"/>
      <c r="M13" s="2"/>
      <c r="N13" s="2"/>
      <c r="O13" s="2"/>
      <c r="P13" s="18"/>
      <c r="Q13" s="1">
        <v>7</v>
      </c>
      <c r="R13" s="11">
        <f>Q13*1.1</f>
        <v>7.7000000000000011</v>
      </c>
      <c r="S13" s="11">
        <v>9</v>
      </c>
      <c r="T13" s="11">
        <v>10</v>
      </c>
      <c r="U13" s="11">
        <v>11</v>
      </c>
      <c r="V13" s="11">
        <v>11</v>
      </c>
      <c r="Y13" s="2"/>
      <c r="Z13" s="2"/>
    </row>
    <row r="14" spans="1:26" x14ac:dyDescent="0.2">
      <c r="B14" s="17"/>
      <c r="L14" s="2"/>
      <c r="M14" s="2"/>
      <c r="N14" s="2"/>
      <c r="O14" s="2"/>
      <c r="Q14" s="4"/>
      <c r="R14" s="4"/>
      <c r="S14" s="4"/>
      <c r="T14" s="4"/>
      <c r="U14" s="4"/>
      <c r="Y14" s="2"/>
      <c r="Z14" s="2"/>
    </row>
    <row r="15" spans="1:26" x14ac:dyDescent="0.2">
      <c r="B15" s="12" t="s">
        <v>51</v>
      </c>
      <c r="C15" s="1">
        <v>82.66</v>
      </c>
      <c r="D15" s="1">
        <v>84.11</v>
      </c>
      <c r="E15" s="1">
        <v>84.8</v>
      </c>
      <c r="F15" s="1">
        <v>89.63</v>
      </c>
      <c r="L15" s="2"/>
      <c r="M15" s="2"/>
      <c r="N15" s="4"/>
      <c r="O15" s="2">
        <v>80.13</v>
      </c>
      <c r="P15" s="2">
        <v>89.6</v>
      </c>
      <c r="Q15" s="1">
        <f>P15*1.12</f>
        <v>100.352</v>
      </c>
      <c r="R15" s="1">
        <f t="shared" ref="R15:U15" si="12">Q15*1.12</f>
        <v>112.39424000000001</v>
      </c>
      <c r="S15" s="1">
        <f t="shared" si="12"/>
        <v>125.88154880000002</v>
      </c>
      <c r="T15" s="1">
        <f t="shared" si="12"/>
        <v>140.98733465600003</v>
      </c>
      <c r="U15" s="1">
        <f t="shared" si="12"/>
        <v>157.90581481472006</v>
      </c>
      <c r="V15" s="1">
        <f t="shared" ref="V15" si="13">U15*1.12</f>
        <v>176.85451259248649</v>
      </c>
      <c r="W15" s="2"/>
      <c r="X15" s="2"/>
      <c r="Y15" s="2"/>
      <c r="Z15" s="2"/>
    </row>
    <row r="16" spans="1:26" x14ac:dyDescent="0.2">
      <c r="B16" s="11" t="s">
        <v>42</v>
      </c>
      <c r="C16" s="1">
        <v>91.73</v>
      </c>
      <c r="D16" s="1">
        <v>93.96</v>
      </c>
      <c r="E16" s="1">
        <v>96.13</v>
      </c>
      <c r="F16" s="1">
        <v>101.13</v>
      </c>
      <c r="L16" s="2"/>
      <c r="M16" s="2"/>
      <c r="N16" s="4"/>
      <c r="O16" s="2">
        <v>88.81</v>
      </c>
      <c r="P16" s="2">
        <v>101</v>
      </c>
      <c r="Q16" s="1">
        <f>P16*1.1</f>
        <v>111.10000000000001</v>
      </c>
      <c r="R16" s="1">
        <f t="shared" ref="R16:U16" si="14">Q16*1.1</f>
        <v>122.21000000000002</v>
      </c>
      <c r="S16" s="1">
        <f t="shared" si="14"/>
        <v>134.43100000000004</v>
      </c>
      <c r="T16" s="1">
        <f t="shared" si="14"/>
        <v>147.87410000000006</v>
      </c>
      <c r="U16" s="1">
        <f t="shared" si="14"/>
        <v>162.66151000000008</v>
      </c>
      <c r="V16" s="1">
        <f t="shared" ref="V16" si="15">U16*1.1</f>
        <v>178.92766100000011</v>
      </c>
      <c r="W16" s="2"/>
      <c r="X16" s="2"/>
      <c r="Y16" s="2"/>
      <c r="Z16" s="2"/>
    </row>
    <row r="17" spans="2:26" x14ac:dyDescent="0.2">
      <c r="B17" s="17" t="s">
        <v>58</v>
      </c>
      <c r="C17" s="1">
        <v>47.72</v>
      </c>
      <c r="D17" s="1">
        <v>49.25</v>
      </c>
      <c r="E17" s="1">
        <v>49.18</v>
      </c>
      <c r="F17" s="1">
        <v>53.33</v>
      </c>
      <c r="L17" s="2"/>
      <c r="M17" s="2"/>
      <c r="N17" s="4"/>
      <c r="O17" s="2">
        <v>46</v>
      </c>
      <c r="P17" s="2">
        <v>53</v>
      </c>
      <c r="Q17" s="1">
        <f>P17*1.15</f>
        <v>60.949999999999996</v>
      </c>
      <c r="R17" s="1">
        <f t="shared" ref="R17:U17" si="16">Q17*1.15</f>
        <v>70.092499999999987</v>
      </c>
      <c r="S17" s="1">
        <f t="shared" si="16"/>
        <v>80.606374999999986</v>
      </c>
      <c r="T17" s="1">
        <f t="shared" si="16"/>
        <v>92.697331249999976</v>
      </c>
      <c r="U17" s="1">
        <f t="shared" si="16"/>
        <v>106.60193093749996</v>
      </c>
      <c r="V17" s="1">
        <f t="shared" ref="V17" si="17">U17*1.15</f>
        <v>122.59222057812494</v>
      </c>
      <c r="W17" s="2"/>
      <c r="X17" s="2"/>
      <c r="Y17" s="2"/>
      <c r="Z17" s="2"/>
    </row>
    <row r="18" spans="2:26" x14ac:dyDescent="0.2">
      <c r="B18" s="17" t="s">
        <v>59</v>
      </c>
      <c r="C18" s="1">
        <v>47.5</v>
      </c>
      <c r="D18" s="1">
        <v>50.32</v>
      </c>
      <c r="E18" s="1">
        <v>52.6</v>
      </c>
      <c r="F18" s="1">
        <v>57.54</v>
      </c>
      <c r="L18" s="2"/>
      <c r="M18" s="2"/>
      <c r="N18" s="4"/>
      <c r="O18" s="2">
        <v>45.34</v>
      </c>
      <c r="P18" s="2">
        <v>57.5</v>
      </c>
      <c r="Q18" s="1">
        <f>P18*1.27</f>
        <v>73.025000000000006</v>
      </c>
      <c r="R18" s="1">
        <f t="shared" ref="R18:U18" si="18">Q18*1.27</f>
        <v>92.74175000000001</v>
      </c>
      <c r="S18" s="1">
        <f t="shared" si="18"/>
        <v>117.78202250000001</v>
      </c>
      <c r="T18" s="1">
        <f t="shared" si="18"/>
        <v>149.583168575</v>
      </c>
      <c r="U18" s="1">
        <f t="shared" si="18"/>
        <v>189.97062409025</v>
      </c>
      <c r="V18" s="1">
        <f t="shared" ref="V18" si="19">U18*1.27</f>
        <v>241.2626925946175</v>
      </c>
      <c r="W18" s="2"/>
      <c r="X18" s="2"/>
      <c r="Y18" s="2"/>
      <c r="Z18" s="2"/>
    </row>
    <row r="19" spans="2:26" x14ac:dyDescent="0.2">
      <c r="B19" s="17"/>
      <c r="L19" s="2"/>
      <c r="M19" s="2"/>
      <c r="N19" s="4"/>
      <c r="O19" s="2"/>
      <c r="P19" s="2"/>
      <c r="W19" s="2"/>
      <c r="X19" s="4"/>
      <c r="Y19" s="2"/>
      <c r="Z19" s="2"/>
    </row>
    <row r="20" spans="2:26" x14ac:dyDescent="0.2">
      <c r="B20" s="17" t="s">
        <v>60</v>
      </c>
      <c r="C20" s="1">
        <v>4224</v>
      </c>
      <c r="D20" s="1">
        <v>4296</v>
      </c>
      <c r="E20" s="1">
        <v>4322</v>
      </c>
      <c r="F20" s="1">
        <v>4517</v>
      </c>
      <c r="G20" s="1">
        <v>4617</v>
      </c>
      <c r="I20" s="1">
        <f t="shared" ref="I20:J20" si="20">H20*1.07</f>
        <v>0</v>
      </c>
      <c r="J20" s="1">
        <f t="shared" si="20"/>
        <v>0</v>
      </c>
      <c r="L20" s="2"/>
      <c r="M20" s="2"/>
      <c r="N20" s="4"/>
      <c r="O20" s="2"/>
      <c r="P20" s="1">
        <f>SUM(C20:F20)</f>
        <v>17359</v>
      </c>
      <c r="Q20" s="1">
        <f t="shared" ref="Q20:V23" si="21">Q10*Q15*12</f>
        <v>20471.808000000001</v>
      </c>
      <c r="R20" s="1">
        <f t="shared" si="21"/>
        <v>22928.424960000004</v>
      </c>
      <c r="S20" s="1">
        <f t="shared" si="21"/>
        <v>25679.835955200004</v>
      </c>
      <c r="T20" s="1">
        <f t="shared" si="21"/>
        <v>30453.264285696008</v>
      </c>
      <c r="U20" s="1">
        <f t="shared" si="21"/>
        <v>34107.655999979535</v>
      </c>
      <c r="V20" s="1">
        <f t="shared" si="21"/>
        <v>38200.574719977085</v>
      </c>
      <c r="W20" s="2"/>
      <c r="X20" s="2"/>
      <c r="Y20" s="2"/>
      <c r="Z20" s="2"/>
    </row>
    <row r="21" spans="2:26" x14ac:dyDescent="0.2">
      <c r="B21" s="17" t="s">
        <v>61</v>
      </c>
      <c r="C21" s="1">
        <v>2958</v>
      </c>
      <c r="D21" s="1">
        <v>3008</v>
      </c>
      <c r="E21" s="1">
        <v>3133</v>
      </c>
      <c r="F21" s="1">
        <v>3288</v>
      </c>
      <c r="G21" s="1">
        <v>3405</v>
      </c>
      <c r="I21" s="1">
        <f t="shared" ref="I21:J21" si="22">H21*1.05</f>
        <v>0</v>
      </c>
      <c r="J21" s="1">
        <f t="shared" si="22"/>
        <v>0</v>
      </c>
      <c r="L21" s="2"/>
      <c r="M21" s="2"/>
      <c r="N21" s="4"/>
      <c r="O21" s="2"/>
      <c r="P21" s="1">
        <f>SUM(C21:F21)</f>
        <v>12387</v>
      </c>
      <c r="Q21" s="1">
        <f t="shared" si="21"/>
        <v>14665.2</v>
      </c>
      <c r="R21" s="1">
        <f t="shared" si="21"/>
        <v>17744.892000000007</v>
      </c>
      <c r="S21" s="1">
        <f t="shared" si="21"/>
        <v>20971.236000000004</v>
      </c>
      <c r="T21" s="1">
        <f t="shared" si="21"/>
        <v>24842.848800000011</v>
      </c>
      <c r="U21" s="1">
        <f t="shared" si="21"/>
        <v>29279.071800000016</v>
      </c>
      <c r="V21" s="1">
        <f t="shared" si="21"/>
        <v>34354.110912000018</v>
      </c>
      <c r="W21" s="2"/>
      <c r="X21" s="2"/>
      <c r="Y21" s="2"/>
      <c r="Z21" s="2"/>
    </row>
    <row r="22" spans="2:26" x14ac:dyDescent="0.2">
      <c r="B22" s="17" t="s">
        <v>62</v>
      </c>
      <c r="C22" s="1">
        <v>1165</v>
      </c>
      <c r="D22" s="1">
        <v>1204</v>
      </c>
      <c r="E22" s="1">
        <v>1241</v>
      </c>
      <c r="F22" s="1">
        <v>1230</v>
      </c>
      <c r="G22" s="1">
        <v>1262</v>
      </c>
      <c r="I22" s="1">
        <f t="shared" ref="I22:J22" si="23">H22*1.02</f>
        <v>0</v>
      </c>
      <c r="J22" s="1">
        <f t="shared" si="23"/>
        <v>0</v>
      </c>
      <c r="L22" s="2"/>
      <c r="M22" s="2"/>
      <c r="N22" s="4"/>
      <c r="O22" s="2"/>
      <c r="P22" s="1">
        <f>SUM(C22:F22)</f>
        <v>4840</v>
      </c>
      <c r="Q22" s="1">
        <f t="shared" si="21"/>
        <v>5119.7999999999993</v>
      </c>
      <c r="R22" s="1">
        <f t="shared" si="21"/>
        <v>6728.8799999999992</v>
      </c>
      <c r="S22" s="1">
        <f t="shared" si="21"/>
        <v>8705.4884999999977</v>
      </c>
      <c r="T22" s="1">
        <f t="shared" si="21"/>
        <v>11123.679749999998</v>
      </c>
      <c r="U22" s="1">
        <f t="shared" si="21"/>
        <v>14071.454883749995</v>
      </c>
      <c r="V22" s="1">
        <f t="shared" si="21"/>
        <v>16182.173116312491</v>
      </c>
      <c r="W22" s="2"/>
      <c r="X22" s="2"/>
      <c r="Y22" s="2"/>
      <c r="Z22" s="2"/>
    </row>
    <row r="23" spans="2:26" x14ac:dyDescent="0.2">
      <c r="B23" s="17" t="s">
        <v>63</v>
      </c>
      <c r="C23" s="1">
        <v>1023</v>
      </c>
      <c r="D23" s="1">
        <v>1052</v>
      </c>
      <c r="E23" s="1">
        <v>1128</v>
      </c>
      <c r="F23" s="1">
        <v>1212</v>
      </c>
      <c r="G23" s="1">
        <v>1259</v>
      </c>
      <c r="I23" s="1">
        <f t="shared" ref="I23:J23" si="24">H23*1.1</f>
        <v>0</v>
      </c>
      <c r="J23" s="1">
        <f t="shared" si="24"/>
        <v>0</v>
      </c>
      <c r="L23" s="2"/>
      <c r="M23" s="2"/>
      <c r="N23" s="2"/>
      <c r="O23" s="2"/>
      <c r="P23" s="1">
        <f>SUM(C23:F23)</f>
        <v>4415</v>
      </c>
      <c r="Q23" s="1">
        <f t="shared" si="21"/>
        <v>6134.1</v>
      </c>
      <c r="R23" s="1">
        <f t="shared" si="21"/>
        <v>8569.3377000000019</v>
      </c>
      <c r="S23" s="1">
        <f t="shared" si="21"/>
        <v>12720.458430000002</v>
      </c>
      <c r="T23" s="1">
        <f t="shared" si="21"/>
        <v>17949.980229000001</v>
      </c>
      <c r="U23" s="1">
        <f t="shared" si="21"/>
        <v>25076.122379912998</v>
      </c>
      <c r="V23" s="1">
        <f t="shared" si="21"/>
        <v>31846.675422489512</v>
      </c>
      <c r="W23" s="2"/>
      <c r="X23" s="2"/>
      <c r="Y23" s="2"/>
      <c r="Z23" s="2"/>
    </row>
    <row r="24" spans="2:26" s="3" customFormat="1" x14ac:dyDescent="0.2">
      <c r="B24" s="3" t="s">
        <v>10</v>
      </c>
      <c r="C24" s="3">
        <f>SUM(C20:C23)</f>
        <v>9370</v>
      </c>
      <c r="D24" s="3">
        <f t="shared" ref="D24:G24" si="25">SUM(D20:D23)</f>
        <v>9560</v>
      </c>
      <c r="E24" s="3">
        <f t="shared" si="25"/>
        <v>9824</v>
      </c>
      <c r="F24" s="3">
        <f t="shared" si="25"/>
        <v>10247</v>
      </c>
      <c r="G24" s="3">
        <f t="shared" si="25"/>
        <v>10543</v>
      </c>
      <c r="H24" s="3">
        <v>11079.16</v>
      </c>
      <c r="I24" s="3">
        <f>H24*1.04</f>
        <v>11522.3264</v>
      </c>
      <c r="J24" s="3">
        <f>I24*1.04</f>
        <v>11983.219456000001</v>
      </c>
      <c r="L24" s="3">
        <v>24996</v>
      </c>
      <c r="M24" s="3">
        <v>29697.8</v>
      </c>
      <c r="N24" s="3">
        <v>31615.5</v>
      </c>
      <c r="O24" s="3">
        <v>33723.300000000003</v>
      </c>
      <c r="P24" s="3">
        <v>39000</v>
      </c>
      <c r="Q24" s="3">
        <f>SUM(Q20:Q23)</f>
        <v>46390.908000000003</v>
      </c>
      <c r="R24" s="3">
        <f>SUM(R20:R23)</f>
        <v>55971.534660000012</v>
      </c>
      <c r="S24" s="3">
        <f t="shared" ref="S24:V24" si="26">SUM(S20:S23)</f>
        <v>68077.018885200014</v>
      </c>
      <c r="T24" s="3">
        <f t="shared" si="26"/>
        <v>84369.773064696026</v>
      </c>
      <c r="U24" s="3">
        <f t="shared" si="26"/>
        <v>102534.30506364253</v>
      </c>
      <c r="V24" s="3">
        <f t="shared" si="26"/>
        <v>120583.53417077911</v>
      </c>
    </row>
    <row r="25" spans="2:26" x14ac:dyDescent="0.2">
      <c r="B25" s="1" t="s">
        <v>11</v>
      </c>
      <c r="C25" s="12">
        <v>4977</v>
      </c>
      <c r="D25" s="1">
        <v>5174.143</v>
      </c>
      <c r="E25" s="1">
        <v>5119.8999999999996</v>
      </c>
      <c r="F25" s="1">
        <v>5767</v>
      </c>
      <c r="G25" s="1">
        <v>5263.1</v>
      </c>
      <c r="H25" s="1">
        <v>5325.31</v>
      </c>
      <c r="I25" s="1">
        <f>I24*(1-$I$41)</f>
        <v>5530.7166719999996</v>
      </c>
      <c r="J25" s="1">
        <f>J24*(1-$I$41)</f>
        <v>5751.9453388800002</v>
      </c>
      <c r="L25" s="1">
        <v>15276.3</v>
      </c>
      <c r="M25" s="1">
        <v>17332.7</v>
      </c>
      <c r="N25" s="1">
        <v>19168.2</v>
      </c>
      <c r="O25" s="1">
        <v>19715.3</v>
      </c>
      <c r="P25" s="1">
        <v>21038.400000000001</v>
      </c>
      <c r="Q25" s="12">
        <f>SUM(G25:J25)</f>
        <v>21871.072010879998</v>
      </c>
      <c r="R25" s="1">
        <f>R24*(1-R41)</f>
        <v>26575.284656568005</v>
      </c>
      <c r="S25" s="1">
        <f>S24*(1-S41)</f>
        <v>31965.428063507894</v>
      </c>
      <c r="T25" s="1">
        <f>T24*(1-T41)</f>
        <v>39168.117054364746</v>
      </c>
      <c r="U25" s="1">
        <f>U24*(1-U41)</f>
        <v>47051.54837751187</v>
      </c>
      <c r="V25" s="1">
        <f>V24*(1-V41)</f>
        <v>54681.590899944982</v>
      </c>
    </row>
    <row r="26" spans="2:26" x14ac:dyDescent="0.2">
      <c r="B26" s="1" t="s">
        <v>12</v>
      </c>
      <c r="C26" s="1">
        <f>C24-C25</f>
        <v>4393</v>
      </c>
      <c r="D26" s="1">
        <f>D24-D25</f>
        <v>4385.857</v>
      </c>
      <c r="E26" s="1">
        <f>E24-E25</f>
        <v>4704.1000000000004</v>
      </c>
      <c r="F26" s="1">
        <f t="shared" ref="F26:L26" si="27">F24-F25</f>
        <v>4480</v>
      </c>
      <c r="G26" s="1">
        <f t="shared" si="27"/>
        <v>5279.9</v>
      </c>
      <c r="H26" s="1">
        <f t="shared" si="27"/>
        <v>5753.8499999999995</v>
      </c>
      <c r="I26" s="1">
        <f t="shared" si="27"/>
        <v>5991.6097280000004</v>
      </c>
      <c r="J26" s="1">
        <f t="shared" si="27"/>
        <v>6231.2741171200005</v>
      </c>
      <c r="L26" s="1">
        <f t="shared" si="27"/>
        <v>9719.7000000000007</v>
      </c>
      <c r="M26" s="1">
        <f>M24-M25</f>
        <v>12365.099999999999</v>
      </c>
      <c r="N26" s="1">
        <f>N24-N25</f>
        <v>12447.3</v>
      </c>
      <c r="O26" s="1">
        <f t="shared" ref="O26:P26" si="28">O24-O25</f>
        <v>14008.000000000004</v>
      </c>
      <c r="P26" s="1">
        <f t="shared" si="28"/>
        <v>17961.599999999999</v>
      </c>
      <c r="Q26" s="1">
        <f t="shared" ref="Q26" si="29">Q24-Q25</f>
        <v>24519.835989120005</v>
      </c>
      <c r="R26" s="1">
        <f t="shared" ref="R26" si="30">R24-R25</f>
        <v>29396.250003432007</v>
      </c>
      <c r="S26" s="1">
        <f t="shared" ref="S26" si="31">S24-S25</f>
        <v>36111.590821692123</v>
      </c>
      <c r="T26" s="1">
        <f t="shared" ref="T26" si="32">T24-T25</f>
        <v>45201.65601033128</v>
      </c>
      <c r="U26" s="1">
        <f t="shared" ref="U26:V26" si="33">U24-U25</f>
        <v>55482.756686130662</v>
      </c>
      <c r="V26" s="1">
        <f t="shared" si="33"/>
        <v>65901.943270834134</v>
      </c>
    </row>
    <row r="27" spans="2:26" x14ac:dyDescent="0.2">
      <c r="B27" s="1" t="s">
        <v>13</v>
      </c>
      <c r="C27" s="1">
        <v>654.29999999999995</v>
      </c>
      <c r="D27" s="1">
        <v>644.1</v>
      </c>
      <c r="E27" s="1">
        <v>643</v>
      </c>
      <c r="F27" s="1">
        <v>976.2</v>
      </c>
      <c r="G27" s="1">
        <v>688.37</v>
      </c>
      <c r="H27" s="1">
        <v>713.26</v>
      </c>
      <c r="I27" s="1">
        <f t="shared" ref="I27:J29" si="34">H27*1.1</f>
        <v>784.58600000000001</v>
      </c>
      <c r="J27" s="1">
        <f t="shared" si="34"/>
        <v>863.04460000000006</v>
      </c>
      <c r="L27" s="1">
        <v>2228.36</v>
      </c>
      <c r="M27" s="1">
        <v>2545.1999999999998</v>
      </c>
      <c r="N27" s="1">
        <v>2530.5</v>
      </c>
      <c r="O27" s="1">
        <v>2657.8</v>
      </c>
      <c r="P27" s="1">
        <v>2917.5</v>
      </c>
      <c r="Q27" s="12">
        <f>SUM(G27:J27)</f>
        <v>3049.2606000000005</v>
      </c>
      <c r="R27" s="1">
        <f t="shared" ref="R27:V27" si="35">Q27*1.1</f>
        <v>3354.1866600000008</v>
      </c>
      <c r="S27" s="1">
        <f t="shared" si="35"/>
        <v>3689.6053260000012</v>
      </c>
      <c r="T27" s="1">
        <f t="shared" si="35"/>
        <v>4058.5658586000018</v>
      </c>
      <c r="U27" s="1">
        <f t="shared" si="35"/>
        <v>4464.4224444600022</v>
      </c>
      <c r="V27" s="1">
        <f t="shared" si="35"/>
        <v>4910.8646889060028</v>
      </c>
    </row>
    <row r="28" spans="2:26" x14ac:dyDescent="0.2">
      <c r="B28" s="1" t="s">
        <v>14</v>
      </c>
      <c r="C28" s="1">
        <v>702.47</v>
      </c>
      <c r="D28" s="1">
        <v>711.25</v>
      </c>
      <c r="E28" s="1">
        <v>735</v>
      </c>
      <c r="F28" s="1">
        <v>776.5</v>
      </c>
      <c r="G28" s="1">
        <v>822.8</v>
      </c>
      <c r="H28" s="1">
        <v>824.7</v>
      </c>
      <c r="I28" s="1">
        <f t="shared" si="34"/>
        <v>907.17000000000007</v>
      </c>
      <c r="J28" s="1">
        <f t="shared" si="34"/>
        <v>997.88700000000017</v>
      </c>
      <c r="L28" s="1">
        <v>1829.6</v>
      </c>
      <c r="M28" s="1">
        <v>2273.9</v>
      </c>
      <c r="N28" s="1">
        <v>2711</v>
      </c>
      <c r="O28" s="1">
        <v>2675</v>
      </c>
      <c r="P28" s="1">
        <v>2925</v>
      </c>
      <c r="Q28" s="12">
        <f>SUM(G28:J28)</f>
        <v>3552.5570000000002</v>
      </c>
      <c r="R28" s="1">
        <f t="shared" ref="R28:V28" si="36">Q28*1.1</f>
        <v>3907.8127000000004</v>
      </c>
      <c r="S28" s="1">
        <f t="shared" si="36"/>
        <v>4298.5939700000008</v>
      </c>
      <c r="T28" s="1">
        <f t="shared" si="36"/>
        <v>4728.453367000001</v>
      </c>
      <c r="U28" s="1">
        <f t="shared" si="36"/>
        <v>5201.2987037000012</v>
      </c>
      <c r="V28" s="1">
        <f t="shared" si="36"/>
        <v>5721.4285740700016</v>
      </c>
    </row>
    <row r="29" spans="2:26" x14ac:dyDescent="0.2">
      <c r="B29" s="1" t="s">
        <v>15</v>
      </c>
      <c r="C29" s="1">
        <v>404</v>
      </c>
      <c r="D29" s="1">
        <v>426.99</v>
      </c>
      <c r="E29" s="1">
        <v>417.3</v>
      </c>
      <c r="F29" s="1">
        <v>453.7</v>
      </c>
      <c r="G29" s="1">
        <v>421.4</v>
      </c>
      <c r="H29" s="1">
        <v>441.2</v>
      </c>
      <c r="I29" s="1">
        <f t="shared" si="34"/>
        <v>485.32000000000005</v>
      </c>
      <c r="J29" s="1">
        <f t="shared" si="34"/>
        <v>533.85200000000009</v>
      </c>
      <c r="L29" s="1">
        <v>1076.5</v>
      </c>
      <c r="M29" s="1">
        <v>1351.6</v>
      </c>
      <c r="N29" s="1">
        <v>1562</v>
      </c>
      <c r="O29" s="1">
        <v>1720</v>
      </c>
      <c r="P29" s="1">
        <v>1702</v>
      </c>
      <c r="Q29" s="12">
        <f>SUM(G29:J29)</f>
        <v>1881.7720000000002</v>
      </c>
      <c r="R29" s="1">
        <f t="shared" ref="R29:V29" si="37">Q29*1.04</f>
        <v>1957.0428800000002</v>
      </c>
      <c r="S29" s="1">
        <f t="shared" si="37"/>
        <v>2035.3245952000002</v>
      </c>
      <c r="T29" s="1">
        <f t="shared" si="37"/>
        <v>2116.7375790080005</v>
      </c>
      <c r="U29" s="1">
        <f t="shared" si="37"/>
        <v>2201.4070821683204</v>
      </c>
      <c r="V29" s="1">
        <f t="shared" si="37"/>
        <v>2289.4633654550535</v>
      </c>
    </row>
    <row r="30" spans="2:26" x14ac:dyDescent="0.2">
      <c r="B30" s="12" t="s">
        <v>47</v>
      </c>
      <c r="C30" s="1">
        <f>SUM(C27:C29)</f>
        <v>1760.77</v>
      </c>
      <c r="D30" s="1">
        <f t="shared" ref="D30:M30" si="38">SUM(D27:D29)</f>
        <v>1782.34</v>
      </c>
      <c r="E30" s="1">
        <f t="shared" si="38"/>
        <v>1795.3</v>
      </c>
      <c r="F30" s="1">
        <f t="shared" si="38"/>
        <v>2206.4</v>
      </c>
      <c r="G30" s="1">
        <f t="shared" si="38"/>
        <v>1932.5700000000002</v>
      </c>
      <c r="H30" s="1">
        <f t="shared" si="38"/>
        <v>1979.16</v>
      </c>
      <c r="I30" s="1">
        <f t="shared" si="38"/>
        <v>2177.076</v>
      </c>
      <c r="J30" s="1">
        <f t="shared" si="38"/>
        <v>2394.7836000000007</v>
      </c>
      <c r="L30" s="1">
        <f t="shared" si="38"/>
        <v>5134.46</v>
      </c>
      <c r="M30" s="1">
        <f t="shared" si="38"/>
        <v>6170.7000000000007</v>
      </c>
      <c r="N30" s="1">
        <f>SUM(N27:N29)</f>
        <v>6803.5</v>
      </c>
      <c r="O30" s="1">
        <f t="shared" ref="O30:P30" si="39">SUM(O27:O29)</f>
        <v>7052.8</v>
      </c>
      <c r="P30" s="1">
        <f t="shared" si="39"/>
        <v>7544.5</v>
      </c>
      <c r="Q30" s="1">
        <f t="shared" ref="Q30" si="40">SUM(Q27:Q29)</f>
        <v>8483.5896000000012</v>
      </c>
      <c r="R30" s="1">
        <f t="shared" ref="R30" si="41">SUM(R27:R29)</f>
        <v>9219.0422400000025</v>
      </c>
      <c r="S30" s="1">
        <f t="shared" ref="S30" si="42">SUM(S27:S29)</f>
        <v>10023.523891200002</v>
      </c>
      <c r="T30" s="1">
        <f t="shared" ref="T30" si="43">SUM(T27:T29)</f>
        <v>10903.756804608003</v>
      </c>
      <c r="U30" s="1">
        <f t="shared" ref="U30:V30" si="44">SUM(U27:U29)</f>
        <v>11867.128230328322</v>
      </c>
      <c r="V30" s="1">
        <f t="shared" si="44"/>
        <v>12921.756628431056</v>
      </c>
    </row>
    <row r="31" spans="2:26" x14ac:dyDescent="0.2">
      <c r="B31" s="1" t="s">
        <v>16</v>
      </c>
      <c r="C31" s="1">
        <f>C26-C30</f>
        <v>2632.23</v>
      </c>
      <c r="D31" s="1">
        <f t="shared" ref="D31:M31" si="45">D26-D30</f>
        <v>2603.5169999999998</v>
      </c>
      <c r="E31" s="1">
        <f t="shared" si="45"/>
        <v>2908.8</v>
      </c>
      <c r="F31" s="1">
        <f t="shared" si="45"/>
        <v>2273.6</v>
      </c>
      <c r="G31" s="1">
        <f t="shared" si="45"/>
        <v>3347.3299999999995</v>
      </c>
      <c r="H31" s="1">
        <f t="shared" si="45"/>
        <v>3774.6899999999996</v>
      </c>
      <c r="I31" s="1">
        <f t="shared" si="45"/>
        <v>3814.5337280000003</v>
      </c>
      <c r="J31" s="1">
        <f t="shared" si="45"/>
        <v>3836.4905171199998</v>
      </c>
      <c r="L31" s="1">
        <f t="shared" si="45"/>
        <v>4585.2400000000007</v>
      </c>
      <c r="M31" s="1">
        <f t="shared" si="45"/>
        <v>6194.3999999999978</v>
      </c>
      <c r="N31" s="1">
        <f>N26-N30</f>
        <v>5643.7999999999993</v>
      </c>
      <c r="O31" s="1">
        <f t="shared" ref="O31:P31" si="46">O26-O30</f>
        <v>6955.2000000000035</v>
      </c>
      <c r="P31" s="1">
        <f t="shared" si="46"/>
        <v>10417.099999999999</v>
      </c>
      <c r="Q31" s="1">
        <f t="shared" ref="Q31" si="47">Q26-Q30</f>
        <v>16036.246389120004</v>
      </c>
      <c r="R31" s="1">
        <f t="shared" ref="R31" si="48">R26-R30</f>
        <v>20177.207763432005</v>
      </c>
      <c r="S31" s="1">
        <f t="shared" ref="S31" si="49">S26-S30</f>
        <v>26088.066930492121</v>
      </c>
      <c r="T31" s="1">
        <f t="shared" ref="T31" si="50">T26-T30</f>
        <v>34297.899205723275</v>
      </c>
      <c r="U31" s="1">
        <f t="shared" ref="U31:V31" si="51">U26-U30</f>
        <v>43615.62845580234</v>
      </c>
      <c r="V31" s="1">
        <f t="shared" si="51"/>
        <v>52980.186642403074</v>
      </c>
    </row>
    <row r="32" spans="2:26" x14ac:dyDescent="0.2">
      <c r="B32" s="12" t="s">
        <v>48</v>
      </c>
      <c r="C32" s="1">
        <f>155.3-173.3</f>
        <v>-18</v>
      </c>
      <c r="D32" s="1">
        <f>79-168</f>
        <v>-89</v>
      </c>
      <c r="E32" s="1">
        <v>-184.8</v>
      </c>
      <c r="F32" s="1">
        <v>-192.6</v>
      </c>
      <c r="G32" s="1">
        <f>50.9-184.2</f>
        <v>-133.29999999999998</v>
      </c>
      <c r="H32" s="1">
        <f>39.6-182.6</f>
        <v>-143</v>
      </c>
      <c r="I32" s="1">
        <f>H44*$Y$37</f>
        <v>0</v>
      </c>
      <c r="J32" s="1">
        <f>I44*$Y$37</f>
        <v>61.79544639360001</v>
      </c>
      <c r="L32" s="1">
        <f>-618.4-767.5</f>
        <v>-1385.9</v>
      </c>
      <c r="M32" s="1">
        <f>411.2-765.6</f>
        <v>-354.40000000000003</v>
      </c>
      <c r="N32" s="1">
        <f>337-706</f>
        <v>-369</v>
      </c>
      <c r="O32" s="1">
        <f>-48-699</f>
        <v>-747</v>
      </c>
      <c r="P32" s="1">
        <f>267-718</f>
        <v>-451</v>
      </c>
      <c r="Q32" s="12">
        <f>SUM(G32:J32)</f>
        <v>-214.50455360639995</v>
      </c>
      <c r="R32" s="1">
        <f>Q44*$Y$37</f>
        <v>124.94767900252032</v>
      </c>
      <c r="S32" s="1">
        <f t="shared" ref="S32:V32" si="52">R44*$Y$37</f>
        <v>453.84259716995962</v>
      </c>
      <c r="T32" s="1">
        <f t="shared" si="52"/>
        <v>883.82153151808541</v>
      </c>
      <c r="U32" s="1">
        <f t="shared" si="52"/>
        <v>1453.7654074613954</v>
      </c>
      <c r="V32" s="1">
        <f t="shared" si="52"/>
        <v>2183.8895880462678</v>
      </c>
    </row>
    <row r="33" spans="2:121" x14ac:dyDescent="0.2">
      <c r="B33" s="1" t="s">
        <v>17</v>
      </c>
      <c r="C33" s="1">
        <f>C31+C32</f>
        <v>2614.23</v>
      </c>
      <c r="D33" s="1">
        <f t="shared" ref="D33:M33" si="53">D31+D32</f>
        <v>2514.5169999999998</v>
      </c>
      <c r="E33" s="1">
        <f t="shared" si="53"/>
        <v>2724</v>
      </c>
      <c r="F33" s="1">
        <f t="shared" si="53"/>
        <v>2081</v>
      </c>
      <c r="G33" s="1">
        <f t="shared" si="53"/>
        <v>3214.0299999999993</v>
      </c>
      <c r="H33" s="1">
        <f t="shared" si="53"/>
        <v>3631.6899999999996</v>
      </c>
      <c r="I33" s="1">
        <f t="shared" si="53"/>
        <v>3814.5337280000003</v>
      </c>
      <c r="J33" s="1">
        <f t="shared" si="53"/>
        <v>3898.2859635135997</v>
      </c>
      <c r="L33" s="1">
        <f t="shared" si="53"/>
        <v>3199.3400000000006</v>
      </c>
      <c r="M33" s="1">
        <f t="shared" si="53"/>
        <v>5839.9999999999982</v>
      </c>
      <c r="N33" s="1">
        <f t="shared" ref="N33:V33" si="54">N31+SUM(N32:N32)</f>
        <v>5274.7999999999993</v>
      </c>
      <c r="O33" s="1">
        <f t="shared" si="54"/>
        <v>6208.2000000000035</v>
      </c>
      <c r="P33" s="1">
        <f t="shared" si="54"/>
        <v>9966.0999999999985</v>
      </c>
      <c r="Q33" s="1">
        <f t="shared" si="54"/>
        <v>15821.741835513603</v>
      </c>
      <c r="R33" s="1">
        <f t="shared" si="54"/>
        <v>20302.155442434527</v>
      </c>
      <c r="S33" s="1">
        <f t="shared" si="54"/>
        <v>26541.909527662079</v>
      </c>
      <c r="T33" s="1">
        <f t="shared" si="54"/>
        <v>35181.720737241361</v>
      </c>
      <c r="U33" s="1">
        <f t="shared" si="54"/>
        <v>45069.393863263736</v>
      </c>
      <c r="V33" s="1">
        <f t="shared" si="54"/>
        <v>55164.07623044934</v>
      </c>
    </row>
    <row r="34" spans="2:121" x14ac:dyDescent="0.2">
      <c r="B34" s="1" t="s">
        <v>18</v>
      </c>
      <c r="C34" s="1">
        <v>282.39999999999998</v>
      </c>
      <c r="D34" s="1">
        <v>367</v>
      </c>
      <c r="E34" s="1">
        <v>339.4</v>
      </c>
      <c r="F34" s="1">
        <v>265.7</v>
      </c>
      <c r="G34" s="1">
        <v>323.39999999999998</v>
      </c>
      <c r="H34" s="1">
        <v>506</v>
      </c>
      <c r="I34" s="1">
        <f>I33*0.19</f>
        <v>724.7614083200001</v>
      </c>
      <c r="J34" s="1">
        <f>J33*0.19</f>
        <v>740.67433306758392</v>
      </c>
      <c r="L34" s="1">
        <v>438</v>
      </c>
      <c r="M34" s="1">
        <v>724</v>
      </c>
      <c r="N34" s="1">
        <v>772</v>
      </c>
      <c r="O34" s="1">
        <v>797.4</v>
      </c>
      <c r="P34" s="1">
        <v>1254</v>
      </c>
      <c r="Q34" s="12">
        <f>SUM(G34:J34)</f>
        <v>2294.8357413875842</v>
      </c>
      <c r="R34" s="1">
        <f>R33*0.19</f>
        <v>3857.4095340625599</v>
      </c>
      <c r="S34" s="1">
        <f t="shared" ref="S34:V34" si="55">S33*0.19</f>
        <v>5042.9628102557954</v>
      </c>
      <c r="T34" s="1">
        <f t="shared" si="55"/>
        <v>6684.5269400758589</v>
      </c>
      <c r="U34" s="1">
        <f t="shared" si="55"/>
        <v>8563.1848340201104</v>
      </c>
      <c r="V34" s="1">
        <f t="shared" si="55"/>
        <v>10481.174483785375</v>
      </c>
    </row>
    <row r="35" spans="2:121" s="12" customFormat="1" x14ac:dyDescent="0.2">
      <c r="B35" s="12" t="s">
        <v>19</v>
      </c>
      <c r="C35" s="12">
        <f>C33-C34</f>
        <v>2331.83</v>
      </c>
      <c r="D35" s="12">
        <f t="shared" ref="D35:M35" si="56">D33-D34</f>
        <v>2147.5169999999998</v>
      </c>
      <c r="E35" s="12">
        <f t="shared" si="56"/>
        <v>2384.6</v>
      </c>
      <c r="F35" s="12">
        <f t="shared" si="56"/>
        <v>1815.3</v>
      </c>
      <c r="G35" s="12">
        <f t="shared" si="56"/>
        <v>2890.6299999999992</v>
      </c>
      <c r="H35" s="12">
        <f t="shared" si="56"/>
        <v>3125.6899999999996</v>
      </c>
      <c r="I35" s="12">
        <f t="shared" si="56"/>
        <v>3089.7723196800002</v>
      </c>
      <c r="J35" s="12">
        <f t="shared" si="56"/>
        <v>3157.6116304460156</v>
      </c>
      <c r="L35" s="12">
        <f t="shared" si="56"/>
        <v>2761.3400000000006</v>
      </c>
      <c r="M35" s="12">
        <f t="shared" si="56"/>
        <v>5115.9999999999982</v>
      </c>
      <c r="N35" s="12">
        <f>N33-N34</f>
        <v>4502.7999999999993</v>
      </c>
      <c r="O35" s="12">
        <f t="shared" ref="O35:P35" si="57">O33-O34</f>
        <v>5410.8000000000038</v>
      </c>
      <c r="P35" s="12">
        <f t="shared" si="57"/>
        <v>8712.0999999999985</v>
      </c>
      <c r="Q35" s="12">
        <f t="shared" ref="Q35" si="58">Q33-Q34</f>
        <v>13526.90609412602</v>
      </c>
      <c r="R35" s="12">
        <f t="shared" ref="R35" si="59">R33-R34</f>
        <v>16444.745908371966</v>
      </c>
      <c r="S35" s="12">
        <f t="shared" ref="S35" si="60">S33-S34</f>
        <v>21498.946717406285</v>
      </c>
      <c r="T35" s="12">
        <f t="shared" ref="T35" si="61">T33-T34</f>
        <v>28497.193797165502</v>
      </c>
      <c r="U35" s="12">
        <f t="shared" ref="U35:V35" si="62">U33-U34</f>
        <v>36506.209029243626</v>
      </c>
      <c r="V35" s="12">
        <f t="shared" si="62"/>
        <v>44682.901746663963</v>
      </c>
      <c r="W35" s="12">
        <f t="shared" ref="W35:BB35" si="63">V35*(1+$Y$38)</f>
        <v>45129.730764130603</v>
      </c>
      <c r="X35" s="12">
        <f t="shared" si="63"/>
        <v>45581.028071771907</v>
      </c>
      <c r="Y35" s="12">
        <f t="shared" si="63"/>
        <v>46036.838352489627</v>
      </c>
      <c r="Z35" s="12">
        <f t="shared" si="63"/>
        <v>46497.206736014523</v>
      </c>
      <c r="AA35" s="12">
        <f t="shared" si="63"/>
        <v>46962.178803374671</v>
      </c>
      <c r="AB35" s="12">
        <f t="shared" si="63"/>
        <v>47431.800591408421</v>
      </c>
      <c r="AC35" s="12">
        <f t="shared" si="63"/>
        <v>47906.118597322507</v>
      </c>
      <c r="AD35" s="12">
        <f t="shared" si="63"/>
        <v>48385.179783295731</v>
      </c>
      <c r="AE35" s="12">
        <f t="shared" si="63"/>
        <v>48869.031581128686</v>
      </c>
      <c r="AF35" s="12">
        <f t="shared" si="63"/>
        <v>49357.721896939969</v>
      </c>
      <c r="AG35" s="12">
        <f t="shared" si="63"/>
        <v>49851.299115909373</v>
      </c>
      <c r="AH35" s="12">
        <f t="shared" si="63"/>
        <v>50349.812107068465</v>
      </c>
      <c r="AI35" s="12">
        <f t="shared" si="63"/>
        <v>50853.310228139148</v>
      </c>
      <c r="AJ35" s="12">
        <f t="shared" si="63"/>
        <v>51361.843330420539</v>
      </c>
      <c r="AK35" s="12">
        <f t="shared" si="63"/>
        <v>51875.461763724743</v>
      </c>
      <c r="AL35" s="12">
        <f t="shared" si="63"/>
        <v>52394.216381361992</v>
      </c>
      <c r="AM35" s="12">
        <f t="shared" si="63"/>
        <v>52918.158545175611</v>
      </c>
      <c r="AN35" s="12">
        <f t="shared" si="63"/>
        <v>53447.340130627366</v>
      </c>
      <c r="AO35" s="12">
        <f t="shared" si="63"/>
        <v>53981.813531933643</v>
      </c>
      <c r="AP35" s="12">
        <f t="shared" si="63"/>
        <v>54521.631667252979</v>
      </c>
      <c r="AQ35" s="12">
        <f t="shared" si="63"/>
        <v>55066.847983925509</v>
      </c>
      <c r="AR35" s="12">
        <f t="shared" si="63"/>
        <v>55617.516463764761</v>
      </c>
      <c r="AS35" s="12">
        <f t="shared" si="63"/>
        <v>56173.691628402412</v>
      </c>
      <c r="AT35" s="12">
        <f t="shared" si="63"/>
        <v>56735.428544686438</v>
      </c>
      <c r="AU35" s="12">
        <f t="shared" si="63"/>
        <v>57302.782830133299</v>
      </c>
      <c r="AV35" s="12">
        <f t="shared" si="63"/>
        <v>57875.810658434631</v>
      </c>
      <c r="AW35" s="12">
        <f t="shared" si="63"/>
        <v>58454.568765018979</v>
      </c>
      <c r="AX35" s="12">
        <f t="shared" si="63"/>
        <v>59039.114452669171</v>
      </c>
      <c r="AY35" s="12">
        <f t="shared" si="63"/>
        <v>59629.505597195865</v>
      </c>
      <c r="AZ35" s="12">
        <f t="shared" si="63"/>
        <v>60225.800653167826</v>
      </c>
      <c r="BA35" s="12">
        <f t="shared" si="63"/>
        <v>60828.058659699505</v>
      </c>
      <c r="BB35" s="12">
        <f t="shared" si="63"/>
        <v>61436.339246296498</v>
      </c>
      <c r="BC35" s="12">
        <f t="shared" ref="BC35:CH35" si="64">BB35*(1+$Y$38)</f>
        <v>62050.702638759467</v>
      </c>
      <c r="BD35" s="12">
        <f t="shared" si="64"/>
        <v>62671.209665147064</v>
      </c>
      <c r="BE35" s="12">
        <f t="shared" si="64"/>
        <v>63297.921761798534</v>
      </c>
      <c r="BF35" s="12">
        <f t="shared" si="64"/>
        <v>63930.900979416518</v>
      </c>
      <c r="BG35" s="12">
        <f t="shared" si="64"/>
        <v>64570.209989210685</v>
      </c>
      <c r="BH35" s="12">
        <f t="shared" si="64"/>
        <v>65215.912089102792</v>
      </c>
      <c r="BI35" s="12">
        <f t="shared" si="64"/>
        <v>65868.071209993825</v>
      </c>
      <c r="BJ35" s="12">
        <f t="shared" si="64"/>
        <v>66526.751922093768</v>
      </c>
      <c r="BK35" s="12">
        <f t="shared" si="64"/>
        <v>67192.019441314711</v>
      </c>
      <c r="BL35" s="12">
        <f t="shared" si="64"/>
        <v>67863.93963572786</v>
      </c>
      <c r="BM35" s="12">
        <f t="shared" si="64"/>
        <v>68542.579032085137</v>
      </c>
      <c r="BN35" s="12">
        <f t="shared" si="64"/>
        <v>69228.004822405986</v>
      </c>
      <c r="BO35" s="12">
        <f t="shared" si="64"/>
        <v>69920.284870630043</v>
      </c>
      <c r="BP35" s="12">
        <f t="shared" si="64"/>
        <v>70619.48771933635</v>
      </c>
      <c r="BQ35" s="12">
        <f t="shared" si="64"/>
        <v>71325.682596529718</v>
      </c>
      <c r="BR35" s="12">
        <f t="shared" si="64"/>
        <v>72038.939422495008</v>
      </c>
      <c r="BS35" s="12">
        <f t="shared" si="64"/>
        <v>72759.328816719964</v>
      </c>
      <c r="BT35" s="12">
        <f t="shared" si="64"/>
        <v>73486.92210488717</v>
      </c>
      <c r="BU35" s="12">
        <f t="shared" si="64"/>
        <v>74221.791325936036</v>
      </c>
      <c r="BV35" s="12">
        <f t="shared" si="64"/>
        <v>74964.009239195395</v>
      </c>
      <c r="BW35" s="12">
        <f t="shared" si="64"/>
        <v>75713.649331587352</v>
      </c>
      <c r="BX35" s="12">
        <f t="shared" si="64"/>
        <v>76470.785824903229</v>
      </c>
      <c r="BY35" s="12">
        <f t="shared" si="64"/>
        <v>77235.493683152265</v>
      </c>
      <c r="BZ35" s="12">
        <f t="shared" si="64"/>
        <v>78007.848619983793</v>
      </c>
      <c r="CA35" s="12">
        <f t="shared" si="64"/>
        <v>78787.927106183633</v>
      </c>
      <c r="CB35" s="12">
        <f t="shared" si="64"/>
        <v>79575.806377245477</v>
      </c>
      <c r="CC35" s="12">
        <f t="shared" si="64"/>
        <v>80371.564441017937</v>
      </c>
      <c r="CD35" s="12">
        <f t="shared" si="64"/>
        <v>81175.280085428123</v>
      </c>
      <c r="CE35" s="12">
        <f t="shared" si="64"/>
        <v>81987.03288628241</v>
      </c>
      <c r="CF35" s="12">
        <f t="shared" si="64"/>
        <v>82806.903215145241</v>
      </c>
      <c r="CG35" s="12">
        <f t="shared" si="64"/>
        <v>83634.972247296697</v>
      </c>
      <c r="CH35" s="12">
        <f t="shared" si="64"/>
        <v>84471.321969769662</v>
      </c>
      <c r="CI35" s="12">
        <f t="shared" ref="CI35:DQ35" si="65">CH35*(1+$Y$38)</f>
        <v>85316.035189467366</v>
      </c>
      <c r="CJ35" s="12">
        <f t="shared" si="65"/>
        <v>86169.195541362045</v>
      </c>
      <c r="CK35" s="12">
        <f t="shared" si="65"/>
        <v>87030.887496775671</v>
      </c>
      <c r="CL35" s="12">
        <f t="shared" si="65"/>
        <v>87901.196371743426</v>
      </c>
      <c r="CM35" s="12">
        <f t="shared" si="65"/>
        <v>88780.208335460862</v>
      </c>
      <c r="CN35" s="12">
        <f t="shared" si="65"/>
        <v>89668.010418815466</v>
      </c>
      <c r="CO35" s="12">
        <f t="shared" si="65"/>
        <v>90564.690523003621</v>
      </c>
      <c r="CP35" s="12">
        <f t="shared" si="65"/>
        <v>91470.337428233659</v>
      </c>
      <c r="CQ35" s="12">
        <f t="shared" si="65"/>
        <v>92385.040802516</v>
      </c>
      <c r="CR35" s="12">
        <f t="shared" si="65"/>
        <v>93308.891210541158</v>
      </c>
      <c r="CS35" s="12">
        <f t="shared" si="65"/>
        <v>94241.980122646564</v>
      </c>
      <c r="CT35" s="12">
        <f t="shared" si="65"/>
        <v>95184.399923873032</v>
      </c>
      <c r="CU35" s="12">
        <f t="shared" si="65"/>
        <v>96136.243923111761</v>
      </c>
      <c r="CV35" s="12">
        <f t="shared" si="65"/>
        <v>97097.606362342878</v>
      </c>
      <c r="CW35" s="12">
        <f t="shared" si="65"/>
        <v>98068.582425966306</v>
      </c>
      <c r="CX35" s="12">
        <f t="shared" si="65"/>
        <v>99049.26825022597</v>
      </c>
      <c r="CY35" s="12">
        <f t="shared" si="65"/>
        <v>100039.76093272823</v>
      </c>
      <c r="CZ35" s="12">
        <f t="shared" si="65"/>
        <v>101040.15854205551</v>
      </c>
      <c r="DA35" s="12">
        <f t="shared" si="65"/>
        <v>102050.56012747606</v>
      </c>
      <c r="DB35" s="12">
        <f t="shared" si="65"/>
        <v>103071.06572875082</v>
      </c>
      <c r="DC35" s="12">
        <f t="shared" si="65"/>
        <v>104101.77638603833</v>
      </c>
      <c r="DD35" s="12">
        <f t="shared" si="65"/>
        <v>105142.79414989871</v>
      </c>
      <c r="DE35" s="12">
        <f t="shared" si="65"/>
        <v>106194.22209139769</v>
      </c>
      <c r="DF35" s="12">
        <f t="shared" si="65"/>
        <v>107256.16431231167</v>
      </c>
      <c r="DG35" s="12">
        <f t="shared" si="65"/>
        <v>108328.72595543478</v>
      </c>
      <c r="DH35" s="12">
        <f t="shared" si="65"/>
        <v>109412.01321498913</v>
      </c>
      <c r="DI35" s="12">
        <f t="shared" si="65"/>
        <v>110506.13334713902</v>
      </c>
      <c r="DJ35" s="12">
        <f t="shared" si="65"/>
        <v>111611.19468061041</v>
      </c>
      <c r="DK35" s="12">
        <f t="shared" si="65"/>
        <v>112727.30662741652</v>
      </c>
      <c r="DL35" s="12">
        <f t="shared" si="65"/>
        <v>113854.57969369068</v>
      </c>
      <c r="DM35" s="12">
        <f t="shared" si="65"/>
        <v>114993.12549062759</v>
      </c>
      <c r="DN35" s="12">
        <f t="shared" si="65"/>
        <v>116143.05674553386</v>
      </c>
      <c r="DO35" s="12">
        <f t="shared" si="65"/>
        <v>117304.48731298919</v>
      </c>
      <c r="DP35" s="12">
        <f t="shared" si="65"/>
        <v>118477.53218611909</v>
      </c>
      <c r="DQ35" s="12">
        <f t="shared" si="65"/>
        <v>119662.30750798028</v>
      </c>
    </row>
    <row r="36" spans="2:121" x14ac:dyDescent="0.2">
      <c r="B36" s="1" t="s">
        <v>1</v>
      </c>
      <c r="D36" s="1">
        <v>430.06</v>
      </c>
      <c r="E36" s="1">
        <v>428.2</v>
      </c>
      <c r="F36" s="1">
        <v>427.75709999999998</v>
      </c>
      <c r="H36" s="1">
        <v>425.2</v>
      </c>
      <c r="I36" s="1">
        <v>425.2</v>
      </c>
      <c r="J36" s="1">
        <v>425.2</v>
      </c>
      <c r="L36" s="1">
        <v>441</v>
      </c>
      <c r="M36" s="1">
        <v>443</v>
      </c>
      <c r="N36" s="1">
        <v>444</v>
      </c>
      <c r="O36" s="1">
        <v>441</v>
      </c>
      <c r="P36" s="1">
        <v>429</v>
      </c>
      <c r="Q36" s="1">
        <f>J36</f>
        <v>425.2</v>
      </c>
      <c r="R36" s="1">
        <f>Q36*0.99</f>
        <v>420.94799999999998</v>
      </c>
      <c r="S36" s="1">
        <f t="shared" ref="S36:V36" si="66">R36*0.99</f>
        <v>416.73851999999999</v>
      </c>
      <c r="T36" s="1">
        <f t="shared" si="66"/>
        <v>412.57113479999998</v>
      </c>
      <c r="U36" s="1">
        <f t="shared" si="66"/>
        <v>408.445423452</v>
      </c>
      <c r="V36" s="1">
        <f t="shared" si="66"/>
        <v>404.36096921747998</v>
      </c>
    </row>
    <row r="37" spans="2:121" x14ac:dyDescent="0.2">
      <c r="B37" s="1" t="s">
        <v>20</v>
      </c>
      <c r="C37" s="5" t="e">
        <f>C35/C36</f>
        <v>#DIV/0!</v>
      </c>
      <c r="D37" s="5">
        <f t="shared" ref="D37:J37" si="67">D35/D36</f>
        <v>4.9935288099334976</v>
      </c>
      <c r="E37" s="5">
        <f t="shared" si="67"/>
        <v>5.5688930406352171</v>
      </c>
      <c r="F37" s="5">
        <f t="shared" si="67"/>
        <v>4.2437635751691793</v>
      </c>
      <c r="G37" s="5" t="e">
        <f t="shared" si="67"/>
        <v>#DIV/0!</v>
      </c>
      <c r="H37" s="5">
        <f t="shared" si="67"/>
        <v>7.3511053621825013</v>
      </c>
      <c r="I37" s="5">
        <f t="shared" si="67"/>
        <v>7.2666329249294455</v>
      </c>
      <c r="J37" s="5">
        <f t="shared" si="67"/>
        <v>7.4261797517545052</v>
      </c>
      <c r="L37" s="5">
        <f>L35/L36</f>
        <v>6.2615419501133802</v>
      </c>
      <c r="M37" s="5">
        <f>M35/M36</f>
        <v>11.548532731376971</v>
      </c>
      <c r="N37" s="5">
        <f>N35/N36</f>
        <v>10.14144144144144</v>
      </c>
      <c r="O37" s="5">
        <f t="shared" ref="O37:U37" si="68">O35/O36</f>
        <v>12.26938775510205</v>
      </c>
      <c r="P37" s="5">
        <f t="shared" si="68"/>
        <v>20.307925407925403</v>
      </c>
      <c r="Q37" s="5">
        <f t="shared" si="68"/>
        <v>31.813043495122344</v>
      </c>
      <c r="R37" s="5">
        <f t="shared" si="68"/>
        <v>39.065979428271348</v>
      </c>
      <c r="S37" s="5">
        <f t="shared" si="68"/>
        <v>51.588575775059823</v>
      </c>
      <c r="T37" s="5">
        <f t="shared" si="68"/>
        <v>69.07219481309555</v>
      </c>
      <c r="U37" s="5">
        <f t="shared" si="68"/>
        <v>89.378425936834589</v>
      </c>
      <c r="V37" s="5">
        <f t="shared" ref="V37" si="69">V35/V36</f>
        <v>110.50250926328124</v>
      </c>
      <c r="X37" s="1" t="s">
        <v>29</v>
      </c>
      <c r="Y37" s="4">
        <v>0.02</v>
      </c>
    </row>
    <row r="38" spans="2:121" x14ac:dyDescent="0.2">
      <c r="X38" s="1" t="s">
        <v>28</v>
      </c>
      <c r="Y38" s="4">
        <v>0.01</v>
      </c>
    </row>
    <row r="39" spans="2:121" x14ac:dyDescent="0.2">
      <c r="B39" s="3" t="s">
        <v>49</v>
      </c>
      <c r="C39" s="3"/>
      <c r="D39" s="3"/>
      <c r="E39" s="3"/>
      <c r="F39" s="3"/>
      <c r="G39" s="13">
        <f>G24/C24-1</f>
        <v>0.12518676627534675</v>
      </c>
      <c r="H39" s="13">
        <f>H24/D24-1</f>
        <v>0.15890794979079503</v>
      </c>
      <c r="I39" s="13">
        <f t="shared" ref="I39:J39" si="70">I24/E24-1</f>
        <v>0.17287524429967416</v>
      </c>
      <c r="J39" s="13">
        <f t="shared" si="70"/>
        <v>0.16943685527471453</v>
      </c>
      <c r="K39" s="3"/>
      <c r="L39" s="3"/>
      <c r="M39" s="13">
        <f t="shared" ref="M39:V39" si="71">M24/L24-1</f>
        <v>0.18810209633541364</v>
      </c>
      <c r="N39" s="13">
        <f t="shared" si="71"/>
        <v>6.4573806813972734E-2</v>
      </c>
      <c r="O39" s="13">
        <f t="shared" si="71"/>
        <v>6.6669829672154624E-2</v>
      </c>
      <c r="P39" s="13">
        <f t="shared" si="71"/>
        <v>0.15647045217994671</v>
      </c>
      <c r="Q39" s="13">
        <f t="shared" si="71"/>
        <v>0.18951046153846152</v>
      </c>
      <c r="R39" s="13">
        <f t="shared" si="71"/>
        <v>0.20651948998282177</v>
      </c>
      <c r="S39" s="13">
        <f t="shared" si="71"/>
        <v>0.21627929801701806</v>
      </c>
      <c r="T39" s="13">
        <f t="shared" si="71"/>
        <v>0.23932825564778182</v>
      </c>
      <c r="U39" s="13">
        <f t="shared" si="71"/>
        <v>0.21529667959421528</v>
      </c>
      <c r="V39" s="13">
        <f t="shared" si="71"/>
        <v>0.17603112534808241</v>
      </c>
      <c r="X39" s="1" t="s">
        <v>27</v>
      </c>
      <c r="Y39" s="4">
        <v>0.09</v>
      </c>
    </row>
    <row r="40" spans="2:121" x14ac:dyDescent="0.2">
      <c r="O40" s="4"/>
      <c r="P40" s="4"/>
      <c r="Q40" s="4"/>
      <c r="R40" s="4"/>
      <c r="S40" s="4"/>
      <c r="T40" s="4"/>
      <c r="U40" s="4"/>
      <c r="V40" s="4"/>
      <c r="X40" s="1" t="s">
        <v>26</v>
      </c>
      <c r="Y40" s="1">
        <f>NPV(Y39,Q73:XFD73)+Main!J5-Main!J6</f>
        <v>533456.91678449931</v>
      </c>
    </row>
    <row r="41" spans="2:121" x14ac:dyDescent="0.2">
      <c r="B41" s="1" t="s">
        <v>21</v>
      </c>
      <c r="C41" s="4">
        <f>C26/C24</f>
        <v>0.46883671291355389</v>
      </c>
      <c r="D41" s="4">
        <f t="shared" ref="D41:H41" si="72">D26/D24</f>
        <v>0.45877165271966525</v>
      </c>
      <c r="E41" s="4">
        <f t="shared" si="72"/>
        <v>0.47883754071661244</v>
      </c>
      <c r="F41" s="4">
        <f t="shared" si="72"/>
        <v>0.43720113203864547</v>
      </c>
      <c r="G41" s="4">
        <f t="shared" si="72"/>
        <v>0.50079673717158302</v>
      </c>
      <c r="H41" s="4">
        <f t="shared" si="72"/>
        <v>0.51933991385628508</v>
      </c>
      <c r="I41" s="4">
        <v>0.52</v>
      </c>
      <c r="J41" s="4">
        <v>0.52</v>
      </c>
      <c r="L41" s="4">
        <f>L26/L24</f>
        <v>0.38885021603456554</v>
      </c>
      <c r="M41" s="4">
        <f>M26/M24</f>
        <v>0.41636417512408325</v>
      </c>
      <c r="N41" s="4">
        <f>N26/N24</f>
        <v>0.39370878208473692</v>
      </c>
      <c r="O41" s="4">
        <f>O26/O24</f>
        <v>0.415380463952223</v>
      </c>
      <c r="P41" s="4">
        <f>P26/P24</f>
        <v>0.46055384615384609</v>
      </c>
      <c r="Q41" s="4">
        <v>0.52</v>
      </c>
      <c r="R41" s="4">
        <f>Q41*1.01</f>
        <v>0.5252</v>
      </c>
      <c r="S41" s="4">
        <f t="shared" ref="S41:V41" si="73">R41*1.01</f>
        <v>0.53045200000000003</v>
      </c>
      <c r="T41" s="4">
        <f t="shared" si="73"/>
        <v>0.53575652000000007</v>
      </c>
      <c r="U41" s="4">
        <f t="shared" si="73"/>
        <v>0.54111408520000004</v>
      </c>
      <c r="V41" s="4">
        <f t="shared" si="73"/>
        <v>0.54652522605200005</v>
      </c>
      <c r="X41" s="12" t="s">
        <v>50</v>
      </c>
      <c r="Y41" s="1">
        <f>Y40/Main!J3</f>
        <v>1254.5698883248535</v>
      </c>
    </row>
    <row r="42" spans="2:121" x14ac:dyDescent="0.2">
      <c r="B42" s="1" t="s">
        <v>30</v>
      </c>
      <c r="C42" s="4">
        <f>C31/C24</f>
        <v>0.28092102454642476</v>
      </c>
      <c r="D42" s="4">
        <f t="shared" ref="D42:J42" si="74">D31/D24</f>
        <v>0.2723344142259414</v>
      </c>
      <c r="E42" s="4">
        <f t="shared" si="74"/>
        <v>0.29609120521172638</v>
      </c>
      <c r="F42" s="4">
        <f t="shared" si="74"/>
        <v>0.22187957450961257</v>
      </c>
      <c r="G42" s="4">
        <f t="shared" si="74"/>
        <v>0.31749312339941188</v>
      </c>
      <c r="H42" s="4">
        <f t="shared" si="74"/>
        <v>0.34070182215980271</v>
      </c>
      <c r="I42" s="4">
        <f t="shared" si="74"/>
        <v>0.33105586455179747</v>
      </c>
      <c r="J42" s="4">
        <f t="shared" si="74"/>
        <v>0.32015524135286266</v>
      </c>
      <c r="L42" s="4">
        <f t="shared" ref="L42:V42" si="75">L31/L24</f>
        <v>0.18343895023203716</v>
      </c>
      <c r="M42" s="4">
        <f t="shared" si="75"/>
        <v>0.20858110701802821</v>
      </c>
      <c r="N42" s="4">
        <f t="shared" si="75"/>
        <v>0.17851370372127592</v>
      </c>
      <c r="O42" s="4">
        <f t="shared" si="75"/>
        <v>0.20624316125646075</v>
      </c>
      <c r="P42" s="4">
        <f t="shared" si="75"/>
        <v>0.26710512820512816</v>
      </c>
      <c r="Q42" s="4">
        <f t="shared" si="75"/>
        <v>0.34567649309903575</v>
      </c>
      <c r="R42" s="4">
        <f t="shared" si="75"/>
        <v>0.36049052229850009</v>
      </c>
      <c r="S42" s="4">
        <f t="shared" si="75"/>
        <v>0.38321400316434368</v>
      </c>
      <c r="T42" s="4">
        <f t="shared" si="75"/>
        <v>0.40651880359359416</v>
      </c>
      <c r="U42" s="4">
        <f t="shared" si="75"/>
        <v>0.42537596006263795</v>
      </c>
      <c r="V42" s="4">
        <f t="shared" si="75"/>
        <v>0.4393650178420605</v>
      </c>
      <c r="Y42" s="4">
        <f>Y41/Main!J2-1</f>
        <v>6.3194820614282721E-2</v>
      </c>
    </row>
    <row r="43" spans="2:121" x14ac:dyDescent="0.2">
      <c r="C43" s="4"/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Y43" s="4"/>
    </row>
    <row r="44" spans="2:121" x14ac:dyDescent="0.2">
      <c r="B44" s="17" t="s">
        <v>25</v>
      </c>
      <c r="C44" s="1">
        <f>C45-C56</f>
        <v>0</v>
      </c>
      <c r="D44" s="1">
        <f t="shared" ref="D44:H44" si="76">D45-D56</f>
        <v>0</v>
      </c>
      <c r="E44" s="1">
        <f t="shared" si="76"/>
        <v>0</v>
      </c>
      <c r="F44" s="1">
        <f t="shared" si="76"/>
        <v>0</v>
      </c>
      <c r="G44" s="1">
        <f t="shared" si="76"/>
        <v>0</v>
      </c>
      <c r="H44" s="1">
        <f t="shared" si="76"/>
        <v>0</v>
      </c>
      <c r="I44" s="1">
        <f>H44+I35</f>
        <v>3089.7723196800002</v>
      </c>
      <c r="J44" s="1">
        <f>I44+J35</f>
        <v>6247.3839501260154</v>
      </c>
      <c r="L44" s="4"/>
      <c r="M44" s="4"/>
      <c r="N44" s="1">
        <f>N45-N56</f>
        <v>0</v>
      </c>
      <c r="O44" s="1">
        <f t="shared" ref="O44:P44" si="77">O45-O56</f>
        <v>-7405.2999999999993</v>
      </c>
      <c r="P44" s="1">
        <f t="shared" si="77"/>
        <v>-5999.0499999999993</v>
      </c>
      <c r="Q44" s="1">
        <f>J44</f>
        <v>6247.3839501260154</v>
      </c>
      <c r="R44" s="1">
        <f>Q44+R35</f>
        <v>22692.129858497981</v>
      </c>
      <c r="S44" s="1">
        <f t="shared" ref="S44:V44" si="78">R44+S35</f>
        <v>44191.07657590427</v>
      </c>
      <c r="T44" s="1">
        <f t="shared" si="78"/>
        <v>72688.270373069769</v>
      </c>
      <c r="U44" s="1">
        <f t="shared" si="78"/>
        <v>109194.47940231339</v>
      </c>
      <c r="V44" s="1">
        <f t="shared" si="78"/>
        <v>153877.38114897735</v>
      </c>
      <c r="Y44" s="4"/>
    </row>
    <row r="45" spans="2:121" x14ac:dyDescent="0.2">
      <c r="B45" s="17" t="s">
        <v>3</v>
      </c>
      <c r="C45" s="4"/>
      <c r="D45" s="4"/>
      <c r="E45" s="4"/>
      <c r="F45" s="4"/>
      <c r="G45" s="4"/>
      <c r="H45" s="4"/>
      <c r="I45" s="4"/>
      <c r="J45" s="4"/>
      <c r="L45" s="4"/>
      <c r="M45" s="4"/>
      <c r="N45" s="4"/>
      <c r="O45" s="1">
        <f>7116.9+21</f>
        <v>7137.9</v>
      </c>
      <c r="P45" s="1">
        <f>7804.7+1779</f>
        <v>9583.7000000000007</v>
      </c>
      <c r="Q45" s="4"/>
      <c r="R45" s="4"/>
      <c r="S45" s="4"/>
      <c r="T45" s="4"/>
      <c r="U45" s="4"/>
      <c r="V45" s="4"/>
      <c r="Y45" s="4"/>
    </row>
    <row r="46" spans="2:121" x14ac:dyDescent="0.2">
      <c r="B46" s="17" t="s">
        <v>69</v>
      </c>
      <c r="C46" s="4"/>
      <c r="D46" s="4"/>
      <c r="E46" s="4"/>
      <c r="F46" s="4"/>
      <c r="G46" s="4"/>
      <c r="H46" s="4"/>
      <c r="I46" s="4"/>
      <c r="J46" s="4"/>
      <c r="L46" s="4"/>
      <c r="M46" s="4"/>
      <c r="N46" s="4"/>
      <c r="O46" s="1">
        <v>2780.2</v>
      </c>
      <c r="P46" s="1">
        <v>3516.6</v>
      </c>
      <c r="Q46" s="4"/>
      <c r="R46" s="4"/>
      <c r="S46" s="4"/>
      <c r="T46" s="4"/>
      <c r="U46" s="4"/>
      <c r="V46" s="4"/>
      <c r="Y46" s="4"/>
    </row>
    <row r="47" spans="2:121" x14ac:dyDescent="0.2">
      <c r="B47" s="17" t="s">
        <v>70</v>
      </c>
      <c r="C47" s="4"/>
      <c r="D47" s="4"/>
      <c r="E47" s="4"/>
      <c r="F47" s="4"/>
      <c r="G47" s="4"/>
      <c r="H47" s="4"/>
      <c r="I47" s="4"/>
      <c r="J47" s="4"/>
      <c r="L47" s="4"/>
      <c r="M47" s="4"/>
      <c r="N47" s="4"/>
      <c r="O47" s="1">
        <v>31658</v>
      </c>
      <c r="P47" s="1">
        <v>32452.400000000001</v>
      </c>
      <c r="Q47" s="4"/>
      <c r="R47" s="4"/>
      <c r="S47" s="4"/>
      <c r="T47" s="4"/>
      <c r="U47" s="4"/>
      <c r="V47" s="4"/>
      <c r="Y47" s="4"/>
    </row>
    <row r="48" spans="2:121" x14ac:dyDescent="0.2">
      <c r="B48" s="17" t="s">
        <v>71</v>
      </c>
      <c r="C48" s="4"/>
      <c r="D48" s="4"/>
      <c r="E48" s="4"/>
      <c r="F48" s="4"/>
      <c r="G48" s="4"/>
      <c r="H48" s="4"/>
      <c r="I48" s="4"/>
      <c r="J48" s="4"/>
      <c r="L48" s="4"/>
      <c r="M48" s="4"/>
      <c r="N48" s="4"/>
      <c r="O48" s="1">
        <v>1491.4</v>
      </c>
      <c r="P48" s="1">
        <v>1593.7</v>
      </c>
      <c r="Q48" s="4"/>
      <c r="R48" s="4"/>
      <c r="S48" s="4"/>
      <c r="T48" s="4"/>
      <c r="U48" s="4"/>
      <c r="V48" s="4"/>
      <c r="Y48" s="4"/>
    </row>
    <row r="49" spans="2:25" x14ac:dyDescent="0.2">
      <c r="B49" s="17" t="s">
        <v>78</v>
      </c>
      <c r="C49" s="4"/>
      <c r="D49" s="4"/>
      <c r="E49" s="4"/>
      <c r="F49" s="4"/>
      <c r="G49" s="4"/>
      <c r="H49" s="4"/>
      <c r="I49" s="4"/>
      <c r="J49" s="4"/>
      <c r="L49" s="4"/>
      <c r="M49" s="4"/>
      <c r="N49" s="4"/>
      <c r="O49" s="1">
        <v>5664.3</v>
      </c>
      <c r="P49" s="1">
        <v>6483.8</v>
      </c>
      <c r="Q49" s="4"/>
      <c r="R49" s="4"/>
      <c r="S49" s="4"/>
      <c r="T49" s="4"/>
      <c r="U49" s="4"/>
      <c r="V49" s="4"/>
      <c r="Y49" s="4"/>
    </row>
    <row r="50" spans="2:25" x14ac:dyDescent="0.2">
      <c r="B50" s="17" t="s">
        <v>79</v>
      </c>
      <c r="C50" s="4"/>
      <c r="D50" s="4"/>
      <c r="E50" s="4"/>
      <c r="F50" s="4"/>
      <c r="G50" s="4"/>
      <c r="H50" s="4"/>
      <c r="I50" s="4"/>
      <c r="J50" s="4"/>
      <c r="L50" s="4"/>
      <c r="M50" s="4"/>
      <c r="N50" s="1">
        <f>SUM(N45:N49)</f>
        <v>0</v>
      </c>
      <c r="O50" s="1">
        <f>SUM(O45:O49)</f>
        <v>48731.8</v>
      </c>
      <c r="P50" s="1">
        <f>SUM(P45:P49)</f>
        <v>53630.200000000004</v>
      </c>
      <c r="Q50" s="4"/>
      <c r="R50" s="4"/>
      <c r="S50" s="4"/>
      <c r="T50" s="4"/>
      <c r="U50" s="4"/>
      <c r="V50" s="4"/>
      <c r="Y50" s="4"/>
    </row>
    <row r="51" spans="2:25" x14ac:dyDescent="0.2">
      <c r="B51" s="17"/>
      <c r="C51" s="4"/>
      <c r="D51" s="4"/>
      <c r="E51" s="4"/>
      <c r="F51" s="4"/>
      <c r="G51" s="4"/>
      <c r="H51" s="4"/>
      <c r="I51" s="4"/>
      <c r="J51" s="4"/>
      <c r="L51" s="4"/>
      <c r="M51" s="4"/>
      <c r="N51" s="4"/>
      <c r="P51" s="4"/>
      <c r="Q51" s="4"/>
      <c r="R51" s="4"/>
      <c r="S51" s="4"/>
      <c r="T51" s="4"/>
      <c r="U51" s="4"/>
      <c r="V51" s="4"/>
      <c r="Y51" s="4"/>
    </row>
    <row r="52" spans="2:25" x14ac:dyDescent="0.2">
      <c r="B52" s="17" t="s">
        <v>72</v>
      </c>
      <c r="C52" s="4"/>
      <c r="D52" s="4"/>
      <c r="E52" s="4"/>
      <c r="F52" s="4"/>
      <c r="G52" s="4"/>
      <c r="H52" s="4"/>
      <c r="I52" s="4"/>
      <c r="J52" s="4"/>
      <c r="L52" s="4"/>
      <c r="M52" s="4"/>
      <c r="N52" s="4"/>
      <c r="O52" s="1">
        <v>4466.5</v>
      </c>
      <c r="P52" s="1">
        <v>4393.7</v>
      </c>
      <c r="Q52" s="4"/>
      <c r="R52" s="4"/>
      <c r="S52" s="4"/>
      <c r="T52" s="4"/>
      <c r="U52" s="4"/>
      <c r="V52" s="4"/>
      <c r="Y52" s="4"/>
    </row>
    <row r="53" spans="2:25" x14ac:dyDescent="0.2">
      <c r="B53" s="17" t="s">
        <v>73</v>
      </c>
      <c r="C53" s="4"/>
      <c r="D53" s="4"/>
      <c r="E53" s="4"/>
      <c r="F53" s="4"/>
      <c r="G53" s="4"/>
      <c r="H53" s="4"/>
      <c r="I53" s="4"/>
      <c r="J53" s="4"/>
      <c r="L53" s="4"/>
      <c r="M53" s="4"/>
      <c r="N53" s="4"/>
      <c r="O53" s="1">
        <v>747.4</v>
      </c>
      <c r="P53" s="1">
        <v>899.9</v>
      </c>
      <c r="Q53" s="4"/>
      <c r="R53" s="4"/>
      <c r="S53" s="4"/>
      <c r="T53" s="4"/>
      <c r="U53" s="4"/>
      <c r="V53" s="4"/>
      <c r="Y53" s="4"/>
    </row>
    <row r="54" spans="2:25" x14ac:dyDescent="0.2">
      <c r="B54" s="17" t="s">
        <v>74</v>
      </c>
      <c r="C54" s="4"/>
      <c r="D54" s="4"/>
      <c r="E54" s="4"/>
      <c r="F54" s="4"/>
      <c r="G54" s="4"/>
      <c r="H54" s="4"/>
      <c r="I54" s="4"/>
      <c r="J54" s="4"/>
      <c r="L54" s="4"/>
      <c r="M54" s="4"/>
      <c r="N54" s="4"/>
      <c r="O54" s="1">
        <v>1803.96</v>
      </c>
      <c r="P54" s="1">
        <v>2156.5</v>
      </c>
      <c r="Q54" s="4"/>
      <c r="R54" s="4"/>
      <c r="S54" s="4"/>
      <c r="T54" s="4"/>
      <c r="U54" s="4"/>
      <c r="V54" s="4"/>
      <c r="Y54" s="4"/>
    </row>
    <row r="55" spans="2:25" x14ac:dyDescent="0.2">
      <c r="B55" s="17" t="s">
        <v>75</v>
      </c>
      <c r="C55" s="4"/>
      <c r="D55" s="4"/>
      <c r="E55" s="4"/>
      <c r="F55" s="4"/>
      <c r="G55" s="4"/>
      <c r="H55" s="4"/>
      <c r="I55" s="4"/>
      <c r="J55" s="4"/>
      <c r="L55" s="4"/>
      <c r="M55" s="4"/>
      <c r="N55" s="4"/>
      <c r="O55" s="1">
        <v>1442.96</v>
      </c>
      <c r="P55" s="1">
        <v>1520.8</v>
      </c>
      <c r="Q55" s="4"/>
      <c r="R55" s="4"/>
      <c r="S55" s="4"/>
      <c r="T55" s="4"/>
      <c r="U55" s="4"/>
      <c r="V55" s="4"/>
      <c r="Y55" s="4"/>
    </row>
    <row r="56" spans="2:25" x14ac:dyDescent="0.2">
      <c r="B56" s="17" t="s">
        <v>4</v>
      </c>
      <c r="C56" s="4"/>
      <c r="D56" s="4"/>
      <c r="E56" s="4"/>
      <c r="F56" s="4"/>
      <c r="G56" s="4"/>
      <c r="H56" s="4"/>
      <c r="I56" s="4"/>
      <c r="J56" s="4"/>
      <c r="L56" s="4"/>
      <c r="M56" s="4"/>
      <c r="N56" s="4"/>
      <c r="O56" s="1">
        <f>399.8+14143.4</f>
        <v>14543.199999999999</v>
      </c>
      <c r="P56" s="1">
        <f>1784.4+13798.35</f>
        <v>15582.75</v>
      </c>
      <c r="Q56" s="4"/>
      <c r="R56" s="4"/>
      <c r="S56" s="4"/>
      <c r="T56" s="4"/>
      <c r="U56" s="4"/>
      <c r="V56" s="4"/>
      <c r="Y56" s="4"/>
    </row>
    <row r="57" spans="2:25" x14ac:dyDescent="0.2">
      <c r="B57" s="17" t="s">
        <v>76</v>
      </c>
      <c r="C57" s="4"/>
      <c r="D57" s="4"/>
      <c r="E57" s="4"/>
      <c r="F57" s="4"/>
      <c r="G57" s="4"/>
      <c r="H57" s="4"/>
      <c r="I57" s="4"/>
      <c r="J57" s="4"/>
      <c r="L57" s="4"/>
      <c r="M57" s="4"/>
      <c r="N57" s="4"/>
      <c r="O57" s="1">
        <v>2578.1999999999998</v>
      </c>
      <c r="P57" s="1">
        <v>1780.8</v>
      </c>
      <c r="Q57" s="4"/>
      <c r="R57" s="4"/>
      <c r="S57" s="4"/>
      <c r="T57" s="4"/>
      <c r="U57" s="4"/>
      <c r="V57" s="4"/>
      <c r="Y57" s="4"/>
    </row>
    <row r="58" spans="2:25" x14ac:dyDescent="0.2">
      <c r="B58" s="17" t="s">
        <v>77</v>
      </c>
      <c r="C58" s="4"/>
      <c r="D58" s="4"/>
      <c r="E58" s="4"/>
      <c r="F58" s="4"/>
      <c r="G58" s="4"/>
      <c r="H58" s="4"/>
      <c r="I58" s="4"/>
      <c r="J58" s="4"/>
      <c r="L58" s="4"/>
      <c r="M58" s="4"/>
      <c r="N58" s="4"/>
      <c r="O58" s="1">
        <v>2561.4</v>
      </c>
      <c r="P58" s="1">
        <v>2552.1999999999998</v>
      </c>
      <c r="Q58" s="4"/>
      <c r="R58" s="4"/>
      <c r="S58" s="4"/>
      <c r="T58" s="4"/>
      <c r="U58" s="4"/>
      <c r="V58" s="4"/>
      <c r="Y58" s="4"/>
    </row>
    <row r="59" spans="2:25" x14ac:dyDescent="0.2">
      <c r="B59" s="17" t="s">
        <v>82</v>
      </c>
      <c r="C59" s="4"/>
      <c r="D59" s="4"/>
      <c r="E59" s="4"/>
      <c r="F59" s="4"/>
      <c r="G59" s="4"/>
      <c r="H59" s="4"/>
      <c r="I59" s="4"/>
      <c r="J59" s="4"/>
      <c r="L59" s="4"/>
      <c r="M59" s="4"/>
      <c r="N59" s="1">
        <f>SUM(N52:N58)</f>
        <v>0</v>
      </c>
      <c r="O59" s="1">
        <f>SUM(O52:O58)</f>
        <v>28143.62</v>
      </c>
      <c r="P59" s="1">
        <f>SUM(P52:P58)</f>
        <v>28886.65</v>
      </c>
      <c r="Q59" s="4"/>
      <c r="R59" s="4"/>
      <c r="S59" s="4"/>
      <c r="T59" s="4"/>
      <c r="U59" s="4"/>
      <c r="V59" s="4"/>
      <c r="Y59" s="4"/>
    </row>
    <row r="60" spans="2:25" x14ac:dyDescent="0.2">
      <c r="B60" s="17" t="s">
        <v>80</v>
      </c>
      <c r="C60" s="4"/>
      <c r="D60" s="4"/>
      <c r="E60" s="4"/>
      <c r="F60" s="4"/>
      <c r="G60" s="4"/>
      <c r="H60" s="4"/>
      <c r="I60" s="4"/>
      <c r="J60" s="4"/>
      <c r="L60" s="4"/>
      <c r="M60" s="4"/>
      <c r="N60" s="1">
        <f>N50-N59</f>
        <v>0</v>
      </c>
      <c r="O60" s="1">
        <f>O50-O59</f>
        <v>20588.180000000004</v>
      </c>
      <c r="P60" s="1">
        <f>P50-P59</f>
        <v>24743.550000000003</v>
      </c>
      <c r="Q60" s="4"/>
      <c r="R60" s="4"/>
      <c r="S60" s="4"/>
      <c r="T60" s="4"/>
      <c r="U60" s="4"/>
      <c r="V60" s="4"/>
      <c r="Y60" s="4"/>
    </row>
    <row r="61" spans="2:25" x14ac:dyDescent="0.2">
      <c r="B61" s="17" t="s">
        <v>81</v>
      </c>
      <c r="N61" s="1">
        <f>N59+N60</f>
        <v>0</v>
      </c>
      <c r="O61" s="1">
        <f>O59+O60</f>
        <v>48731.8</v>
      </c>
      <c r="P61" s="1">
        <f>P59+P60</f>
        <v>53630.200000000004</v>
      </c>
    </row>
    <row r="62" spans="2:25" x14ac:dyDescent="0.2">
      <c r="B62" s="17"/>
    </row>
    <row r="63" spans="2:25" x14ac:dyDescent="0.2">
      <c r="B63" s="21" t="s">
        <v>89</v>
      </c>
      <c r="L63" s="1">
        <f>L35</f>
        <v>2761.3400000000006</v>
      </c>
      <c r="M63" s="1">
        <f t="shared" ref="M63:P63" si="79">M35</f>
        <v>5115.9999999999982</v>
      </c>
      <c r="N63" s="1">
        <f t="shared" si="79"/>
        <v>4502.7999999999993</v>
      </c>
      <c r="O63" s="1">
        <f t="shared" si="79"/>
        <v>5410.8000000000038</v>
      </c>
      <c r="P63" s="1">
        <f t="shared" si="79"/>
        <v>8712.0999999999985</v>
      </c>
    </row>
    <row r="64" spans="2:25" x14ac:dyDescent="0.2">
      <c r="B64" s="21" t="s">
        <v>90</v>
      </c>
    </row>
    <row r="65" spans="2:121" x14ac:dyDescent="0.2">
      <c r="B65" s="17"/>
    </row>
    <row r="66" spans="2:121" x14ac:dyDescent="0.2">
      <c r="B66" s="17"/>
    </row>
    <row r="67" spans="2:121" x14ac:dyDescent="0.2">
      <c r="B67" s="17"/>
    </row>
    <row r="68" spans="2:121" x14ac:dyDescent="0.2">
      <c r="B68" s="17"/>
    </row>
    <row r="69" spans="2:121" x14ac:dyDescent="0.2">
      <c r="B69" s="17"/>
    </row>
    <row r="70" spans="2:121" x14ac:dyDescent="0.2">
      <c r="B70" s="17"/>
      <c r="O70" s="4"/>
      <c r="P70" s="4"/>
    </row>
    <row r="71" spans="2:121" x14ac:dyDescent="0.2">
      <c r="B71" s="1" t="s">
        <v>22</v>
      </c>
      <c r="N71" s="1">
        <v>2026</v>
      </c>
      <c r="O71" s="1">
        <v>7274</v>
      </c>
      <c r="P71" s="1">
        <v>7361</v>
      </c>
    </row>
    <row r="72" spans="2:121" x14ac:dyDescent="0.2">
      <c r="B72" s="1" t="s">
        <v>23</v>
      </c>
      <c r="N72" s="1">
        <f>407+911</f>
        <v>1318</v>
      </c>
      <c r="O72" s="1">
        <f>348+504</f>
        <v>852</v>
      </c>
      <c r="P72" s="1">
        <f>439+1742</f>
        <v>2181</v>
      </c>
    </row>
    <row r="73" spans="2:121" s="3" customFormat="1" x14ac:dyDescent="0.2">
      <c r="B73" s="3" t="s">
        <v>24</v>
      </c>
      <c r="L73" s="3">
        <f>L71-L72</f>
        <v>0</v>
      </c>
      <c r="M73" s="3">
        <f>M71-M72</f>
        <v>0</v>
      </c>
      <c r="N73" s="3">
        <f>N71-N72</f>
        <v>708</v>
      </c>
      <c r="O73" s="3">
        <f t="shared" ref="O73:P73" si="80">O71-O72</f>
        <v>6422</v>
      </c>
      <c r="P73" s="3">
        <f t="shared" si="80"/>
        <v>5180</v>
      </c>
      <c r="Q73" s="3">
        <f>Q35*1.2</f>
        <v>16232.287312951223</v>
      </c>
      <c r="R73" s="3">
        <f t="shared" ref="R73:V73" si="81">R35*1.2</f>
        <v>19733.69509004636</v>
      </c>
      <c r="S73" s="3">
        <f t="shared" si="81"/>
        <v>25798.736060887542</v>
      </c>
      <c r="T73" s="3">
        <f t="shared" si="81"/>
        <v>34196.632556598604</v>
      </c>
      <c r="U73" s="3">
        <f t="shared" si="81"/>
        <v>43807.45083509235</v>
      </c>
      <c r="V73" s="3">
        <f t="shared" si="81"/>
        <v>53619.482095996755</v>
      </c>
      <c r="W73" s="3">
        <f t="shared" ref="W73:BB73" si="82">V73*(1+$Y$38)</f>
        <v>54155.67691695672</v>
      </c>
      <c r="X73" s="3">
        <f t="shared" si="82"/>
        <v>54697.233686126288</v>
      </c>
      <c r="Y73" s="3">
        <f t="shared" si="82"/>
        <v>55244.20602298755</v>
      </c>
      <c r="Z73" s="3">
        <f t="shared" si="82"/>
        <v>55796.648083217427</v>
      </c>
      <c r="AA73" s="3">
        <f t="shared" si="82"/>
        <v>56354.614564049603</v>
      </c>
      <c r="AB73" s="3">
        <f t="shared" si="82"/>
        <v>56918.160709690099</v>
      </c>
      <c r="AC73" s="3">
        <f t="shared" si="82"/>
        <v>57487.342316786999</v>
      </c>
      <c r="AD73" s="3">
        <f t="shared" si="82"/>
        <v>58062.215739954867</v>
      </c>
      <c r="AE73" s="3">
        <f t="shared" si="82"/>
        <v>58642.837897354417</v>
      </c>
      <c r="AF73" s="3">
        <f t="shared" si="82"/>
        <v>59229.266276327959</v>
      </c>
      <c r="AG73" s="3">
        <f t="shared" si="82"/>
        <v>59821.558939091236</v>
      </c>
      <c r="AH73" s="3">
        <f t="shared" si="82"/>
        <v>60419.77452848215</v>
      </c>
      <c r="AI73" s="3">
        <f t="shared" si="82"/>
        <v>61023.972273766973</v>
      </c>
      <c r="AJ73" s="3">
        <f t="shared" si="82"/>
        <v>61634.211996504644</v>
      </c>
      <c r="AK73" s="3">
        <f t="shared" si="82"/>
        <v>62250.554116469692</v>
      </c>
      <c r="AL73" s="3">
        <f t="shared" si="82"/>
        <v>62873.059657634389</v>
      </c>
      <c r="AM73" s="3">
        <f t="shared" si="82"/>
        <v>63501.790254210733</v>
      </c>
      <c r="AN73" s="3">
        <f t="shared" si="82"/>
        <v>64136.808156752842</v>
      </c>
      <c r="AO73" s="3">
        <f t="shared" si="82"/>
        <v>64778.176238320375</v>
      </c>
      <c r="AP73" s="3">
        <f t="shared" si="82"/>
        <v>65425.958000703577</v>
      </c>
      <c r="AQ73" s="3">
        <f t="shared" si="82"/>
        <v>66080.21758071061</v>
      </c>
      <c r="AR73" s="3">
        <f t="shared" si="82"/>
        <v>66741.019756517722</v>
      </c>
      <c r="AS73" s="3">
        <f t="shared" si="82"/>
        <v>67408.429954082894</v>
      </c>
      <c r="AT73" s="3">
        <f t="shared" si="82"/>
        <v>68082.514253623725</v>
      </c>
      <c r="AU73" s="3">
        <f t="shared" si="82"/>
        <v>68763.339396159965</v>
      </c>
      <c r="AV73" s="3">
        <f t="shared" si="82"/>
        <v>69450.972790121567</v>
      </c>
      <c r="AW73" s="3">
        <f t="shared" si="82"/>
        <v>70145.482518022778</v>
      </c>
      <c r="AX73" s="3">
        <f t="shared" si="82"/>
        <v>70846.937343203012</v>
      </c>
      <c r="AY73" s="3">
        <f t="shared" si="82"/>
        <v>71555.406716635043</v>
      </c>
      <c r="AZ73" s="3">
        <f t="shared" si="82"/>
        <v>72270.960783801391</v>
      </c>
      <c r="BA73" s="3">
        <f t="shared" si="82"/>
        <v>72993.670391639404</v>
      </c>
      <c r="BB73" s="3">
        <f t="shared" si="82"/>
        <v>73723.607095555795</v>
      </c>
      <c r="BC73" s="3">
        <f t="shared" ref="BC73:CH73" si="83">BB73*(1+$Y$38)</f>
        <v>74460.84316651136</v>
      </c>
      <c r="BD73" s="3">
        <f t="shared" si="83"/>
        <v>75205.451598176471</v>
      </c>
      <c r="BE73" s="3">
        <f t="shared" si="83"/>
        <v>75957.506114158241</v>
      </c>
      <c r="BF73" s="3">
        <f t="shared" si="83"/>
        <v>76717.081175299827</v>
      </c>
      <c r="BG73" s="3">
        <f t="shared" si="83"/>
        <v>77484.251987052819</v>
      </c>
      <c r="BH73" s="3">
        <f t="shared" si="83"/>
        <v>78259.094506923342</v>
      </c>
      <c r="BI73" s="3">
        <f t="shared" si="83"/>
        <v>79041.685451992569</v>
      </c>
      <c r="BJ73" s="3">
        <f t="shared" si="83"/>
        <v>79832.10230651249</v>
      </c>
      <c r="BK73" s="3">
        <f t="shared" si="83"/>
        <v>80630.423329577621</v>
      </c>
      <c r="BL73" s="3">
        <f t="shared" si="83"/>
        <v>81436.727562873391</v>
      </c>
      <c r="BM73" s="3">
        <f t="shared" si="83"/>
        <v>82251.094838502133</v>
      </c>
      <c r="BN73" s="3">
        <f t="shared" si="83"/>
        <v>83073.605786887158</v>
      </c>
      <c r="BO73" s="3">
        <f t="shared" si="83"/>
        <v>83904.341844756025</v>
      </c>
      <c r="BP73" s="3">
        <f t="shared" si="83"/>
        <v>84743.385263203585</v>
      </c>
      <c r="BQ73" s="3">
        <f t="shared" si="83"/>
        <v>85590.81911583562</v>
      </c>
      <c r="BR73" s="3">
        <f t="shared" si="83"/>
        <v>86446.727306993984</v>
      </c>
      <c r="BS73" s="3">
        <f t="shared" si="83"/>
        <v>87311.194580063922</v>
      </c>
      <c r="BT73" s="3">
        <f t="shared" si="83"/>
        <v>88184.306525864566</v>
      </c>
      <c r="BU73" s="3">
        <f t="shared" si="83"/>
        <v>89066.149591123205</v>
      </c>
      <c r="BV73" s="3">
        <f t="shared" si="83"/>
        <v>89956.811087034439</v>
      </c>
      <c r="BW73" s="3">
        <f t="shared" si="83"/>
        <v>90856.379197904782</v>
      </c>
      <c r="BX73" s="3">
        <f t="shared" si="83"/>
        <v>91764.942989883828</v>
      </c>
      <c r="BY73" s="3">
        <f t="shared" si="83"/>
        <v>92682.592419782668</v>
      </c>
      <c r="BZ73" s="3">
        <f t="shared" si="83"/>
        <v>93609.418343980491</v>
      </c>
      <c r="CA73" s="3">
        <f t="shared" si="83"/>
        <v>94545.512527420302</v>
      </c>
      <c r="CB73" s="3">
        <f t="shared" si="83"/>
        <v>95490.967652694511</v>
      </c>
      <c r="CC73" s="3">
        <f t="shared" si="83"/>
        <v>96445.877329221461</v>
      </c>
      <c r="CD73" s="3">
        <f t="shared" si="83"/>
        <v>97410.336102513669</v>
      </c>
      <c r="CE73" s="3">
        <f t="shared" si="83"/>
        <v>98384.439463538802</v>
      </c>
      <c r="CF73" s="3">
        <f t="shared" si="83"/>
        <v>99368.283858174196</v>
      </c>
      <c r="CG73" s="3">
        <f t="shared" si="83"/>
        <v>100361.96669675595</v>
      </c>
      <c r="CH73" s="3">
        <f t="shared" si="83"/>
        <v>101365.5863637235</v>
      </c>
      <c r="CI73" s="3">
        <f t="shared" ref="CI73:DQ73" si="84">CH73*(1+$Y$38)</f>
        <v>102379.24222736074</v>
      </c>
      <c r="CJ73" s="3">
        <f t="shared" si="84"/>
        <v>103403.03464963434</v>
      </c>
      <c r="CK73" s="3">
        <f t="shared" si="84"/>
        <v>104437.06499613069</v>
      </c>
      <c r="CL73" s="3">
        <f t="shared" si="84"/>
        <v>105481.435646092</v>
      </c>
      <c r="CM73" s="3">
        <f t="shared" si="84"/>
        <v>106536.25000255292</v>
      </c>
      <c r="CN73" s="3">
        <f t="shared" si="84"/>
        <v>107601.61250257844</v>
      </c>
      <c r="CO73" s="3">
        <f t="shared" si="84"/>
        <v>108677.62862760422</v>
      </c>
      <c r="CP73" s="3">
        <f t="shared" si="84"/>
        <v>109764.40491388027</v>
      </c>
      <c r="CQ73" s="3">
        <f t="shared" si="84"/>
        <v>110862.04896301907</v>
      </c>
      <c r="CR73" s="3">
        <f t="shared" si="84"/>
        <v>111970.66945264926</v>
      </c>
      <c r="CS73" s="3">
        <f t="shared" si="84"/>
        <v>113090.37614717576</v>
      </c>
      <c r="CT73" s="3">
        <f t="shared" si="84"/>
        <v>114221.27990864751</v>
      </c>
      <c r="CU73" s="3">
        <f t="shared" si="84"/>
        <v>115363.492707734</v>
      </c>
      <c r="CV73" s="3">
        <f t="shared" si="84"/>
        <v>116517.12763481133</v>
      </c>
      <c r="CW73" s="3">
        <f t="shared" si="84"/>
        <v>117682.29891115945</v>
      </c>
      <c r="CX73" s="3">
        <f t="shared" si="84"/>
        <v>118859.12190027104</v>
      </c>
      <c r="CY73" s="3">
        <f t="shared" si="84"/>
        <v>120047.71311927376</v>
      </c>
      <c r="CZ73" s="3">
        <f t="shared" si="84"/>
        <v>121248.19025046649</v>
      </c>
      <c r="DA73" s="3">
        <f t="shared" si="84"/>
        <v>122460.67215297115</v>
      </c>
      <c r="DB73" s="3">
        <f t="shared" si="84"/>
        <v>123685.27887450086</v>
      </c>
      <c r="DC73" s="3">
        <f t="shared" si="84"/>
        <v>124922.13166324586</v>
      </c>
      <c r="DD73" s="3">
        <f t="shared" si="84"/>
        <v>126171.35297987833</v>
      </c>
      <c r="DE73" s="3">
        <f t="shared" si="84"/>
        <v>127433.06650967711</v>
      </c>
      <c r="DF73" s="3">
        <f t="shared" si="84"/>
        <v>128707.39717477388</v>
      </c>
      <c r="DG73" s="3">
        <f t="shared" si="84"/>
        <v>129994.47114652162</v>
      </c>
      <c r="DH73" s="3">
        <f t="shared" si="84"/>
        <v>131294.41585798684</v>
      </c>
      <c r="DI73" s="3">
        <f t="shared" si="84"/>
        <v>132607.3600165667</v>
      </c>
      <c r="DJ73" s="3">
        <f t="shared" si="84"/>
        <v>133933.43361673236</v>
      </c>
      <c r="DK73" s="3">
        <f t="shared" si="84"/>
        <v>135272.76795289968</v>
      </c>
      <c r="DL73" s="3">
        <f t="shared" si="84"/>
        <v>136625.49563242868</v>
      </c>
      <c r="DM73" s="3">
        <f t="shared" si="84"/>
        <v>137991.75058875297</v>
      </c>
      <c r="DN73" s="3">
        <f t="shared" si="84"/>
        <v>139371.66809464051</v>
      </c>
      <c r="DO73" s="3">
        <f t="shared" si="84"/>
        <v>140765.38477558692</v>
      </c>
      <c r="DP73" s="3">
        <f t="shared" si="84"/>
        <v>142173.03862334279</v>
      </c>
      <c r="DQ73" s="3">
        <f t="shared" si="84"/>
        <v>143594.76900957621</v>
      </c>
    </row>
    <row r="74" spans="2:121" x14ac:dyDescent="0.2">
      <c r="N74" s="4"/>
      <c r="O74" s="4"/>
      <c r="P74" s="4"/>
      <c r="Q74" s="4"/>
      <c r="R74" s="4"/>
      <c r="S74" s="4"/>
      <c r="T74" s="4"/>
      <c r="U74" s="4"/>
      <c r="V74" s="4"/>
    </row>
    <row r="78" spans="2:121" x14ac:dyDescent="0.2">
      <c r="U78" s="4"/>
    </row>
  </sheetData>
  <hyperlinks>
    <hyperlink ref="A1" location="Main!A1" display="Main" xr:uid="{29108DBA-9636-4770-9C6C-643842D1F118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C235-F666-42C3-ACD4-2C4A7845DFDA}">
  <dimension ref="A1:F6"/>
  <sheetViews>
    <sheetView zoomScale="115" zoomScaleNormal="115" workbookViewId="0">
      <pane ySplit="2" topLeftCell="A3" activePane="bottomLeft" state="frozen"/>
      <selection pane="bottomLeft" activeCell="C40" sqref="C40"/>
    </sheetView>
  </sheetViews>
  <sheetFormatPr defaultRowHeight="12.75" x14ac:dyDescent="0.2"/>
  <cols>
    <col min="1" max="1" width="5" style="9" bestFit="1" customWidth="1"/>
    <col min="2" max="2" width="9.140625" style="9"/>
    <col min="3" max="3" width="9.42578125" style="9" bestFit="1" customWidth="1"/>
    <col min="4" max="16384" width="9.140625" style="9"/>
  </cols>
  <sheetData>
    <row r="1" spans="1:6" x14ac:dyDescent="0.2">
      <c r="A1" s="10" t="s">
        <v>32</v>
      </c>
    </row>
    <row r="2" spans="1:6" x14ac:dyDescent="0.2">
      <c r="B2" s="9" t="s">
        <v>33</v>
      </c>
      <c r="C2" s="9" t="s">
        <v>34</v>
      </c>
      <c r="D2" s="9" t="s">
        <v>35</v>
      </c>
      <c r="E2" s="9" t="s">
        <v>36</v>
      </c>
    </row>
    <row r="3" spans="1:6" x14ac:dyDescent="0.2">
      <c r="F3" s="9" t="s">
        <v>37</v>
      </c>
    </row>
    <row r="4" spans="1:6" x14ac:dyDescent="0.2">
      <c r="F4" s="9" t="s">
        <v>54</v>
      </c>
    </row>
    <row r="5" spans="1:6" x14ac:dyDescent="0.2">
      <c r="F5" s="9" t="s">
        <v>39</v>
      </c>
    </row>
    <row r="6" spans="1:6" x14ac:dyDescent="0.2">
      <c r="F6" s="9" t="s">
        <v>40</v>
      </c>
    </row>
  </sheetData>
  <hyperlinks>
    <hyperlink ref="A1" location="Main!A1" display="Main" xr:uid="{49230521-FADD-452F-8A37-7A2E553D6141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2025-08-25T10:57:07Z</dcterms:modified>
</cp:coreProperties>
</file>