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7BCDB3E-EAB0-4F16-943B-E7DBC7F392CB}" xr6:coauthVersionLast="47" xr6:coauthVersionMax="47" xr10:uidLastSave="{00000000-0000-0000-0000-000000000000}"/>
  <bookViews>
    <workbookView xWindow="2130" yWindow="660" windowWidth="22200" windowHeight="14685" activeTab="1" xr2:uid="{5D9A434D-E4E6-481F-B630-FF215E7C1E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 s="1"/>
  <c r="J3" i="2" s="1"/>
  <c r="K3" i="2" s="1"/>
  <c r="K7" i="2" s="1"/>
  <c r="F3" i="2"/>
  <c r="G6" i="2"/>
  <c r="H6" i="2" s="1"/>
  <c r="I6" i="2" s="1"/>
  <c r="J6" i="2" s="1"/>
  <c r="K6" i="2" s="1"/>
  <c r="F6" i="2"/>
  <c r="K4" i="2"/>
  <c r="K5" i="2"/>
  <c r="K27" i="2"/>
  <c r="K31" i="2"/>
  <c r="K2" i="2"/>
  <c r="F4" i="2"/>
  <c r="G4" i="2" s="1"/>
  <c r="H4" i="2" s="1"/>
  <c r="I4" i="2" s="1"/>
  <c r="J4" i="2" s="1"/>
  <c r="F5" i="2"/>
  <c r="G5" i="2" s="1"/>
  <c r="H5" i="2" s="1"/>
  <c r="I5" i="2" s="1"/>
  <c r="J5" i="2" s="1"/>
  <c r="D34" i="2"/>
  <c r="E34" i="2"/>
  <c r="C34" i="2"/>
  <c r="E40" i="2"/>
  <c r="E38" i="2" s="1"/>
  <c r="F18" i="2" s="1"/>
  <c r="D16" i="2"/>
  <c r="E16" i="2"/>
  <c r="C16" i="2"/>
  <c r="D11" i="2"/>
  <c r="E11" i="2"/>
  <c r="C11" i="2"/>
  <c r="D7" i="2"/>
  <c r="E7" i="2"/>
  <c r="C7" i="2"/>
  <c r="D2" i="2"/>
  <c r="E2" i="2" s="1"/>
  <c r="F2" i="2" s="1"/>
  <c r="G2" i="2" s="1"/>
  <c r="H2" i="2" s="1"/>
  <c r="I2" i="2" s="1"/>
  <c r="J2" i="2" s="1"/>
  <c r="E5" i="1"/>
  <c r="E4" i="1"/>
  <c r="E7" i="1" l="1"/>
  <c r="F7" i="1" s="1"/>
  <c r="C12" i="2"/>
  <c r="D25" i="2"/>
  <c r="E25" i="2"/>
  <c r="G7" i="2"/>
  <c r="F7" i="2"/>
  <c r="C17" i="2"/>
  <c r="E12" i="2"/>
  <c r="E27" i="2" s="1"/>
  <c r="F27" i="2" s="1"/>
  <c r="G27" i="2" s="1"/>
  <c r="H27" i="2" s="1"/>
  <c r="I27" i="2" s="1"/>
  <c r="J27" i="2" s="1"/>
  <c r="D12" i="2"/>
  <c r="D29" i="2"/>
  <c r="C29" i="2"/>
  <c r="E29" i="2"/>
  <c r="D31" i="2"/>
  <c r="C31" i="2"/>
  <c r="E31" i="2"/>
  <c r="F31" i="2" s="1"/>
  <c r="G31" i="2" s="1"/>
  <c r="H31" i="2" s="1"/>
  <c r="I31" i="2" s="1"/>
  <c r="J31" i="2" s="1"/>
  <c r="C27" i="2"/>
  <c r="E17" i="2" l="1"/>
  <c r="H7" i="2"/>
  <c r="C19" i="2"/>
  <c r="C28" i="2"/>
  <c r="D17" i="2"/>
  <c r="D27" i="2"/>
  <c r="E28" i="2"/>
  <c r="E19" i="2"/>
  <c r="F25" i="2"/>
  <c r="F32" i="2"/>
  <c r="F11" i="2"/>
  <c r="F12" i="2" s="1"/>
  <c r="F16" i="2" l="1"/>
  <c r="F17" i="2" s="1"/>
  <c r="F33" i="2"/>
  <c r="I7" i="2"/>
  <c r="C21" i="2"/>
  <c r="C23" i="2" s="1"/>
  <c r="D19" i="2"/>
  <c r="D28" i="2"/>
  <c r="G32" i="2"/>
  <c r="G11" i="2"/>
  <c r="G12" i="2" s="1"/>
  <c r="G25" i="2"/>
  <c r="G16" i="2" s="1"/>
  <c r="E21" i="2"/>
  <c r="E23" i="2" s="1"/>
  <c r="J7" i="2" l="1"/>
  <c r="F28" i="2"/>
  <c r="F19" i="2"/>
  <c r="F20" i="2" s="1"/>
  <c r="F21" i="2" s="1"/>
  <c r="G33" i="2"/>
  <c r="F34" i="2"/>
  <c r="F29" i="2" s="1"/>
  <c r="D21" i="2"/>
  <c r="D23" i="2" s="1"/>
  <c r="G17" i="2"/>
  <c r="H11" i="2"/>
  <c r="H32" i="2"/>
  <c r="H25" i="2"/>
  <c r="H16" i="2" s="1"/>
  <c r="H12" i="2"/>
  <c r="K32" i="2" l="1"/>
  <c r="K25" i="2"/>
  <c r="K11" i="2"/>
  <c r="K12" i="2" s="1"/>
  <c r="H33" i="2"/>
  <c r="H34" i="2" s="1"/>
  <c r="H29" i="2" s="1"/>
  <c r="G34" i="2"/>
  <c r="G29" i="2" s="1"/>
  <c r="F38" i="2"/>
  <c r="F23" i="2"/>
  <c r="E8" i="1" s="1"/>
  <c r="H17" i="2"/>
  <c r="H28" i="2" s="1"/>
  <c r="I11" i="2"/>
  <c r="I12" i="2" s="1"/>
  <c r="I32" i="2"/>
  <c r="I25" i="2"/>
  <c r="I16" i="2" s="1"/>
  <c r="G28" i="2"/>
  <c r="I33" i="2" l="1"/>
  <c r="I34" i="2" s="1"/>
  <c r="I29" i="2" s="1"/>
  <c r="J11" i="2"/>
  <c r="J12" i="2" s="1"/>
  <c r="J32" i="2"/>
  <c r="J25" i="2"/>
  <c r="J16" i="2" s="1"/>
  <c r="K16" i="2" s="1"/>
  <c r="K17" i="2" s="1"/>
  <c r="I17" i="2"/>
  <c r="I28" i="2" s="1"/>
  <c r="G18" i="2"/>
  <c r="G19" i="2" s="1"/>
  <c r="K28" i="2" l="1"/>
  <c r="G20" i="2"/>
  <c r="G21" i="2" s="1"/>
  <c r="J33" i="2"/>
  <c r="J17" i="2"/>
  <c r="J28" i="2" s="1"/>
  <c r="J34" i="2" l="1"/>
  <c r="J29" i="2" s="1"/>
  <c r="K33" i="2"/>
  <c r="K34" i="2" s="1"/>
  <c r="K29" i="2" s="1"/>
  <c r="G23" i="2"/>
  <c r="G38" i="2"/>
  <c r="H18" i="2" s="1"/>
  <c r="H19" i="2" s="1"/>
  <c r="H20" i="2" s="1"/>
  <c r="H21" i="2" s="1"/>
  <c r="L34" i="2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H23" i="2" l="1"/>
  <c r="H38" i="2"/>
  <c r="I18" i="2" s="1"/>
  <c r="I19" i="2" s="1"/>
  <c r="I20" i="2" l="1"/>
  <c r="I21" i="2" s="1"/>
  <c r="I23" i="2" l="1"/>
  <c r="I38" i="2"/>
  <c r="J18" i="2" l="1"/>
  <c r="J19" i="2" s="1"/>
  <c r="J20" i="2" l="1"/>
  <c r="J21" i="2" s="1"/>
  <c r="J23" i="2" l="1"/>
  <c r="J38" i="2"/>
  <c r="K18" i="2" l="1"/>
  <c r="K19" i="2" s="1"/>
  <c r="K20" i="2" s="1"/>
  <c r="K21" i="2" s="1"/>
  <c r="K38" i="2" s="1"/>
  <c r="K23" i="2" l="1"/>
  <c r="L21" i="2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N17" i="2" s="1"/>
  <c r="N18" i="2" s="1"/>
  <c r="N19" i="2" s="1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<sst xmlns="http://schemas.openxmlformats.org/spreadsheetml/2006/main" count="44" uniqueCount="41">
  <si>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</si>
  <si>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</si>
  <si>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</si>
  <si>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</si>
  <si>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</si>
  <si>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</si>
  <si>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Cloud Services</t>
  </si>
  <si>
    <t>Cloud License</t>
  </si>
  <si>
    <t>Hardware</t>
  </si>
  <si>
    <t>Services</t>
  </si>
  <si>
    <t>Revenue</t>
  </si>
  <si>
    <t>COGS</t>
  </si>
  <si>
    <t>Services COGS</t>
  </si>
  <si>
    <t>Hardware COGS</t>
  </si>
  <si>
    <t>Cloud Services COGS</t>
  </si>
  <si>
    <t>S&amp;M</t>
  </si>
  <si>
    <t>R&amp;D</t>
  </si>
  <si>
    <t>Gross Profit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</si>
  <si>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</si>
  <si>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</si>
  <si>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</si>
  <si>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</si>
  <si>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</si>
  <si>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</si>
  <si>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</si>
  <si>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</si>
  <si>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 xml:space="preserve">Revenue Growth </t>
  </si>
  <si>
    <t>Gross Margin</t>
  </si>
  <si>
    <t>Operating Margin</t>
  </si>
  <si>
    <t>CFFO</t>
  </si>
  <si>
    <t>CX</t>
  </si>
  <si>
    <t>FCF</t>
  </si>
  <si>
    <t>Net Cash</t>
  </si>
  <si>
    <t>PE</t>
  </si>
  <si>
    <t>NPV</t>
  </si>
  <si>
    <t>Maturity</t>
  </si>
  <si>
    <t>Discount</t>
  </si>
  <si>
    <t>ROIC</t>
  </si>
  <si>
    <t>FCF Margin</t>
  </si>
  <si>
    <t>Main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</si>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</sst>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/>
    <xf numFmtId="3" fontId="4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47625</xdr:rowOff>
    </xdr:from>
    <xdr:to>
      <xdr:col>5</xdr:col>
      <xdr:colOff>28575</xdr:colOff>
      <xdr:row>42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CF7884-FA0E-BDCE-0EEF-9EF66C5D9BF3}"/>
            </a:ext>
          </a:extLst>
        </xdr:cNvPr>
        <xdr:cNvCxnSpPr/>
      </xdr:nvCxnSpPr>
      <xdr:spPr>
        <a:xfrm>
          <a:off x="3057525" y="47625"/>
          <a:ext cx="47625" cy="736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872-FB29-47C6-A311-C860325B0B19}">
  <dimension ref="A1:F8"/>
  <sheetViews>
    <sheetView zoomScale="115" zoomScaleNormal="115" workbookViewId="0">
      <selection activeCell="C2" sqref="C2"/>
    </sheetView>
  </sheetViews>
  <sheetFormatPr defaultRowHeight="12.75" x14ac:dyDescent="0.2"/>
  <cols>
    <col min="1" max="16384" width="9.140625" style="8"/>
  </cols>
  <sheetData>
    <row r="1" spans="1:6" x14ac:dyDescent="0.2">
      <c r="A1" s="7"/>
    </row>
    <row r="2" spans="1:6" x14ac:dyDescent="0.2">
      <c r="D2" s="8" t="s">
        <v>0</v>
      </c>
      <c r="E2" s="1">
        <v>250</v>
      </c>
    </row>
    <row r="3" spans="1:6" x14ac:dyDescent="0.2">
      <c r="D3" s="8" t="s">
        <v>1</v>
      </c>
      <c r="E3" s="1">
        <v>2804.2339999999999</v>
      </c>
      <c r="F3" s="4"/>
    </row>
    <row r="4" spans="1:6" x14ac:dyDescent="0.2">
      <c r="D4" s="8" t="s">
        <v>2</v>
      </c>
      <c r="E4" s="1">
        <f>E3*E2</f>
        <v>701058.5</v>
      </c>
    </row>
    <row r="5" spans="1:6" x14ac:dyDescent="0.2">
      <c r="D5" s="8" t="s">
        <v>3</v>
      </c>
      <c r="E5" s="1">
        <f>17406+417</f>
        <v>17823</v>
      </c>
    </row>
    <row r="6" spans="1:6" x14ac:dyDescent="0.2">
      <c r="D6" s="8" t="s">
        <v>4</v>
      </c>
      <c r="E6" s="1">
        <v>114494</v>
      </c>
    </row>
    <row r="7" spans="1:6" x14ac:dyDescent="0.2">
      <c r="D7" s="8" t="s">
        <v>5</v>
      </c>
      <c r="E7" s="1">
        <f>E4+E6-E5</f>
        <v>797729.5</v>
      </c>
      <c r="F7" s="8">
        <f>E7/E3</f>
        <v>284.47322869632137</v>
      </c>
    </row>
    <row r="8" spans="1:6" x14ac:dyDescent="0.2">
      <c r="D8" s="8" t="s">
        <v>33</v>
      </c>
      <c r="E8" s="8">
        <f>F7/Model!F23</f>
        <v>44.348415770278379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A9F4-2AF1-472B-8827-371B927576BB}">
  <dimension ref="A1:DD42"/>
  <sheetViews>
    <sheetView tabSelected="1" zoomScale="130" zoomScaleNormal="130" workbookViewId="0">
      <pane xSplit="2" ySplit="2" topLeftCell="D3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2.75" x14ac:dyDescent="0.2"/>
  <cols>
    <col min="1" max="1" width="5" style="1" customWidth="1"/>
    <col min="2" max="2" width="18.7109375" style="1" customWidth="1"/>
    <col min="3" max="16384" width="9.140625" style="1"/>
  </cols>
  <sheetData>
    <row r="1" spans="1:14" x14ac:dyDescent="0.2">
      <c r="A1" s="9" t="s">
        <v>39</v>
      </c>
    </row>
    <row r="2" spans="1:14" x14ac:dyDescent="0.2">
      <c r="C2" s="2">
        <v>2022</v>
      </c>
      <c r="D2" s="2">
        <f>C2+1</f>
        <v>2023</v>
      </c>
      <c r="E2" s="2">
        <f t="shared" ref="E2:K2" si="0">D2+1</f>
        <v>2024</v>
      </c>
      <c r="F2" s="2">
        <f t="shared" si="0"/>
        <v>2025</v>
      </c>
      <c r="G2" s="2">
        <f t="shared" si="0"/>
        <v>2026</v>
      </c>
      <c r="H2" s="2">
        <f t="shared" si="0"/>
        <v>2027</v>
      </c>
      <c r="I2" s="2">
        <f t="shared" si="0"/>
        <v>2028</v>
      </c>
      <c r="J2" s="2">
        <f t="shared" si="0"/>
        <v>2029</v>
      </c>
      <c r="K2" s="2">
        <f t="shared" si="0"/>
        <v>2030</v>
      </c>
    </row>
    <row r="3" spans="1:14" x14ac:dyDescent="0.2">
      <c r="B3" s="1" t="s">
        <v>6</v>
      </c>
      <c r="C3" s="1">
        <v>30174</v>
      </c>
      <c r="D3" s="1">
        <v>35307</v>
      </c>
      <c r="E3" s="1">
        <v>39383</v>
      </c>
      <c r="F3" s="1">
        <f>E3*1.3</f>
        <v>51197.9</v>
      </c>
      <c r="G3" s="1">
        <f t="shared" ref="G3:K3" si="1">F3*1.3</f>
        <v>66557.27</v>
      </c>
      <c r="H3" s="1">
        <f t="shared" si="1"/>
        <v>86524.451000000015</v>
      </c>
      <c r="I3" s="1">
        <f t="shared" si="1"/>
        <v>112481.78630000002</v>
      </c>
      <c r="J3" s="1">
        <f t="shared" si="1"/>
        <v>146226.32219000004</v>
      </c>
      <c r="K3" s="1">
        <f t="shared" si="1"/>
        <v>190094.21884700004</v>
      </c>
    </row>
    <row r="4" spans="1:14" x14ac:dyDescent="0.2">
      <c r="B4" s="1" t="s">
        <v>7</v>
      </c>
      <c r="C4" s="1">
        <v>5878</v>
      </c>
      <c r="D4" s="1">
        <v>5779</v>
      </c>
      <c r="E4" s="1">
        <v>5081</v>
      </c>
      <c r="F4" s="1">
        <f>E4*1.03</f>
        <v>5233.43</v>
      </c>
      <c r="G4" s="1">
        <f t="shared" ref="G4:K4" si="2">F4*1.03</f>
        <v>5390.4329000000007</v>
      </c>
      <c r="H4" s="1">
        <f t="shared" si="2"/>
        <v>5552.1458870000006</v>
      </c>
      <c r="I4" s="1">
        <f t="shared" si="2"/>
        <v>5718.7102636100008</v>
      </c>
      <c r="J4" s="1">
        <f t="shared" si="2"/>
        <v>5890.2715715183012</v>
      </c>
      <c r="K4" s="1">
        <f t="shared" si="2"/>
        <v>6066.9797186638507</v>
      </c>
    </row>
    <row r="5" spans="1:14" x14ac:dyDescent="0.2">
      <c r="B5" s="1" t="s">
        <v>8</v>
      </c>
      <c r="C5" s="1">
        <v>3183</v>
      </c>
      <c r="D5" s="1">
        <v>3274</v>
      </c>
      <c r="E5" s="1">
        <v>3066</v>
      </c>
      <c r="F5" s="1">
        <f>E5*1.03</f>
        <v>3157.98</v>
      </c>
      <c r="G5" s="1">
        <f t="shared" ref="G5:K5" si="3">F5*1.03</f>
        <v>3252.7194</v>
      </c>
      <c r="H5" s="1">
        <f t="shared" si="3"/>
        <v>3350.3009820000002</v>
      </c>
      <c r="I5" s="1">
        <f t="shared" si="3"/>
        <v>3450.8100114600002</v>
      </c>
      <c r="J5" s="1">
        <f t="shared" si="3"/>
        <v>3554.3343118038001</v>
      </c>
      <c r="K5" s="1">
        <f t="shared" si="3"/>
        <v>3660.9643411579141</v>
      </c>
    </row>
    <row r="6" spans="1:14" x14ac:dyDescent="0.2">
      <c r="B6" s="1" t="s">
        <v>9</v>
      </c>
      <c r="C6" s="1">
        <v>3205</v>
      </c>
      <c r="D6" s="1">
        <v>5594</v>
      </c>
      <c r="E6" s="1">
        <v>5431</v>
      </c>
      <c r="F6" s="1">
        <f>E6*1.2</f>
        <v>6517.2</v>
      </c>
      <c r="G6" s="1">
        <f t="shared" ref="G6:K6" si="4">F6*1.2</f>
        <v>7820.6399999999994</v>
      </c>
      <c r="H6" s="1">
        <f t="shared" si="4"/>
        <v>9384.7679999999982</v>
      </c>
      <c r="I6" s="1">
        <f t="shared" si="4"/>
        <v>11261.721599999997</v>
      </c>
      <c r="J6" s="1">
        <f t="shared" si="4"/>
        <v>13514.065919999995</v>
      </c>
      <c r="K6" s="1">
        <f t="shared" si="4"/>
        <v>16216.879103999994</v>
      </c>
    </row>
    <row r="7" spans="1:14" s="3" customFormat="1" x14ac:dyDescent="0.2">
      <c r="B7" s="3" t="s">
        <v>10</v>
      </c>
      <c r="C7" s="3">
        <f>SUM(C3:C6)</f>
        <v>42440</v>
      </c>
      <c r="D7" s="3">
        <f t="shared" ref="D7:E7" si="5">SUM(D3:D6)</f>
        <v>49954</v>
      </c>
      <c r="E7" s="3">
        <f t="shared" si="5"/>
        <v>52961</v>
      </c>
      <c r="F7" s="3">
        <f>SUM(F3:F6)</f>
        <v>66106.510000000009</v>
      </c>
      <c r="G7" s="3">
        <f>SUM(G3:G6)</f>
        <v>83021.062300000005</v>
      </c>
      <c r="H7" s="3">
        <f t="shared" ref="H7:J7" si="6">SUM(H3:H6)</f>
        <v>104811.66586900002</v>
      </c>
      <c r="I7" s="3">
        <f t="shared" si="6"/>
        <v>132913.02817507001</v>
      </c>
      <c r="J7" s="3">
        <f t="shared" si="6"/>
        <v>169184.99399332213</v>
      </c>
      <c r="K7" s="3">
        <f t="shared" ref="K7" si="7">SUM(K3:K6)</f>
        <v>216039.04201082178</v>
      </c>
    </row>
    <row r="8" spans="1:14" x14ac:dyDescent="0.2">
      <c r="B8" s="1" t="s">
        <v>14</v>
      </c>
      <c r="C8" s="1">
        <v>5213</v>
      </c>
      <c r="D8" s="1">
        <v>7763</v>
      </c>
      <c r="E8" s="1">
        <v>9427</v>
      </c>
    </row>
    <row r="9" spans="1:14" x14ac:dyDescent="0.2">
      <c r="B9" s="1" t="s">
        <v>13</v>
      </c>
      <c r="C9" s="1">
        <v>972</v>
      </c>
      <c r="D9" s="1">
        <v>1040</v>
      </c>
      <c r="E9" s="1">
        <v>891</v>
      </c>
    </row>
    <row r="10" spans="1:14" x14ac:dyDescent="0.2">
      <c r="B10" s="1" t="s">
        <v>12</v>
      </c>
      <c r="C10" s="1">
        <v>2692</v>
      </c>
      <c r="D10" s="1">
        <v>4761</v>
      </c>
      <c r="E10" s="1">
        <v>4825</v>
      </c>
    </row>
    <row r="11" spans="1:14" x14ac:dyDescent="0.2">
      <c r="B11" s="1" t="s">
        <v>11</v>
      </c>
      <c r="C11" s="1">
        <f>SUM(C8:C10)</f>
        <v>8877</v>
      </c>
      <c r="D11" s="1">
        <f t="shared" ref="D11:E11" si="8">SUM(D8:D10)</f>
        <v>13564</v>
      </c>
      <c r="E11" s="1">
        <f t="shared" si="8"/>
        <v>15143</v>
      </c>
      <c r="F11" s="1">
        <f t="shared" ref="F11:K11" si="9">F7*(1-F27)</f>
        <v>18429.612752368732</v>
      </c>
      <c r="G11" s="1">
        <f t="shared" si="9"/>
        <v>22546.405216560601</v>
      </c>
      <c r="H11" s="1">
        <f t="shared" si="9"/>
        <v>27700.703061077438</v>
      </c>
      <c r="I11" s="1">
        <f t="shared" si="9"/>
        <v>34149.765496303531</v>
      </c>
      <c r="J11" s="1">
        <f t="shared" si="9"/>
        <v>42212.079036712057</v>
      </c>
      <c r="K11" s="1">
        <f t="shared" si="9"/>
        <v>52280.913564000934</v>
      </c>
    </row>
    <row r="12" spans="1:14" x14ac:dyDescent="0.2">
      <c r="B12" s="1" t="s">
        <v>17</v>
      </c>
      <c r="C12" s="1">
        <f>C7-C11</f>
        <v>33563</v>
      </c>
      <c r="D12" s="1">
        <f t="shared" ref="D12:E12" si="10">D7-D11</f>
        <v>36390</v>
      </c>
      <c r="E12" s="1">
        <f t="shared" si="10"/>
        <v>37818</v>
      </c>
      <c r="F12" s="1">
        <f t="shared" ref="F12" si="11">F7-F11</f>
        <v>47676.897247631277</v>
      </c>
      <c r="G12" s="1">
        <f t="shared" ref="G12" si="12">G7-G11</f>
        <v>60474.657083439408</v>
      </c>
      <c r="H12" s="1">
        <f t="shared" ref="H12" si="13">H7-H11</f>
        <v>77110.96280792258</v>
      </c>
      <c r="I12" s="1">
        <f t="shared" ref="I12" si="14">I7-I11</f>
        <v>98763.262678766478</v>
      </c>
      <c r="J12" s="1">
        <f t="shared" ref="J12:K12" si="15">J7-J11</f>
        <v>126972.91495661007</v>
      </c>
      <c r="K12" s="1">
        <f t="shared" si="15"/>
        <v>163758.12844682083</v>
      </c>
    </row>
    <row r="13" spans="1:14" x14ac:dyDescent="0.2">
      <c r="B13" s="1" t="s">
        <v>15</v>
      </c>
      <c r="C13" s="1">
        <v>8047</v>
      </c>
      <c r="D13" s="1">
        <v>8833</v>
      </c>
      <c r="E13" s="1">
        <v>8274</v>
      </c>
    </row>
    <row r="14" spans="1:14" x14ac:dyDescent="0.2">
      <c r="B14" s="1" t="s">
        <v>16</v>
      </c>
      <c r="C14" s="1">
        <v>7219</v>
      </c>
      <c r="D14" s="1">
        <v>8623</v>
      </c>
      <c r="E14" s="1">
        <v>8915</v>
      </c>
      <c r="M14" s="1" t="s">
        <v>37</v>
      </c>
      <c r="N14" s="4">
        <v>0.02</v>
      </c>
    </row>
    <row r="15" spans="1:14" x14ac:dyDescent="0.2">
      <c r="B15" s="1" t="s">
        <v>18</v>
      </c>
      <c r="C15" s="1">
        <v>1317</v>
      </c>
      <c r="D15" s="1">
        <v>1579</v>
      </c>
      <c r="E15" s="1">
        <v>1548</v>
      </c>
      <c r="M15" s="1" t="s">
        <v>35</v>
      </c>
      <c r="N15" s="4">
        <v>0.01</v>
      </c>
    </row>
    <row r="16" spans="1:14" x14ac:dyDescent="0.2">
      <c r="B16" s="1" t="s">
        <v>19</v>
      </c>
      <c r="C16" s="1">
        <f>SUM(C13:C15)</f>
        <v>16583</v>
      </c>
      <c r="D16" s="1">
        <f t="shared" ref="D16:E16" si="16">SUM(D13:D15)</f>
        <v>19035</v>
      </c>
      <c r="E16" s="1">
        <f t="shared" si="16"/>
        <v>18737</v>
      </c>
      <c r="F16" s="1">
        <f>E16*(1+F25)</f>
        <v>23387.732064538057</v>
      </c>
      <c r="G16" s="1">
        <f t="shared" ref="G16:K16" si="17">F16*(1+G25)</f>
        <v>29371.908466892615</v>
      </c>
      <c r="H16" s="1">
        <f t="shared" si="17"/>
        <v>37081.176401266086</v>
      </c>
      <c r="I16" s="1">
        <f t="shared" si="17"/>
        <v>47023.119067168038</v>
      </c>
      <c r="J16" s="1">
        <f t="shared" si="17"/>
        <v>59855.728412470999</v>
      </c>
      <c r="K16" s="1">
        <f t="shared" si="17"/>
        <v>76432.158194837088</v>
      </c>
      <c r="M16" s="1" t="s">
        <v>36</v>
      </c>
      <c r="N16" s="4">
        <v>0.08</v>
      </c>
    </row>
    <row r="17" spans="2:108" x14ac:dyDescent="0.2">
      <c r="B17" s="1" t="s">
        <v>20</v>
      </c>
      <c r="C17" s="1">
        <f>C12-C16</f>
        <v>16980</v>
      </c>
      <c r="D17" s="1">
        <f t="shared" ref="D17:J17" si="18">D12-D16</f>
        <v>17355</v>
      </c>
      <c r="E17" s="1">
        <f t="shared" si="18"/>
        <v>19081</v>
      </c>
      <c r="F17" s="1">
        <f t="shared" si="18"/>
        <v>24289.165183093221</v>
      </c>
      <c r="G17" s="1">
        <f t="shared" si="18"/>
        <v>31102.748616546793</v>
      </c>
      <c r="H17" s="1">
        <f t="shared" si="18"/>
        <v>40029.786406656494</v>
      </c>
      <c r="I17" s="1">
        <f t="shared" si="18"/>
        <v>51740.14361159844</v>
      </c>
      <c r="J17" s="1">
        <f t="shared" si="18"/>
        <v>67117.186544139069</v>
      </c>
      <c r="K17" s="1">
        <f t="shared" ref="K17" si="19">K12-K16</f>
        <v>87325.970251983745</v>
      </c>
      <c r="M17" s="1" t="s">
        <v>34</v>
      </c>
      <c r="N17" s="1">
        <f>NPV(N16,F21:XFD21)</f>
        <v>828293.96632646746</v>
      </c>
    </row>
    <row r="18" spans="2:108" x14ac:dyDescent="0.2">
      <c r="B18" s="1" t="s">
        <v>21</v>
      </c>
      <c r="C18" s="1">
        <v>-2755</v>
      </c>
      <c r="D18" s="1">
        <v>-3505</v>
      </c>
      <c r="E18" s="1">
        <v>-3514</v>
      </c>
      <c r="F18" s="1">
        <f t="shared" ref="F18:K18" si="20">E38*$N$14</f>
        <v>-1933.42</v>
      </c>
      <c r="G18" s="1">
        <f t="shared" si="20"/>
        <v>-1571.2569280338898</v>
      </c>
      <c r="H18" s="1">
        <f t="shared" si="20"/>
        <v>-1092.8467626799809</v>
      </c>
      <c r="I18" s="1">
        <f t="shared" si="20"/>
        <v>-462.06834044756141</v>
      </c>
      <c r="J18" s="1">
        <f t="shared" si="20"/>
        <v>368.63647894508273</v>
      </c>
      <c r="K18" s="1">
        <f t="shared" si="20"/>
        <v>1461.9068119190463</v>
      </c>
      <c r="M18" s="1" t="s">
        <v>40</v>
      </c>
      <c r="N18" s="1">
        <f>N17/Main!E3</f>
        <v>295.37262807828</v>
      </c>
    </row>
    <row r="19" spans="2:108" x14ac:dyDescent="0.2">
      <c r="B19" s="1" t="s">
        <v>22</v>
      </c>
      <c r="C19" s="1">
        <f>C17+C18</f>
        <v>14225</v>
      </c>
      <c r="D19" s="1">
        <f t="shared" ref="D19:J19" si="21">D17+D18</f>
        <v>13850</v>
      </c>
      <c r="E19" s="1">
        <f t="shared" si="21"/>
        <v>15567</v>
      </c>
      <c r="F19" s="1">
        <f t="shared" si="21"/>
        <v>22355.745183093219</v>
      </c>
      <c r="G19" s="1">
        <f t="shared" si="21"/>
        <v>29531.491688512902</v>
      </c>
      <c r="H19" s="1">
        <f t="shared" si="21"/>
        <v>38936.939643976511</v>
      </c>
      <c r="I19" s="1">
        <f t="shared" si="21"/>
        <v>51278.075271150876</v>
      </c>
      <c r="J19" s="1">
        <f t="shared" si="21"/>
        <v>67485.823023084158</v>
      </c>
      <c r="K19" s="1">
        <f t="shared" ref="K19" si="22">K17+K18</f>
        <v>88787.877063902793</v>
      </c>
      <c r="N19" s="4">
        <f>N18/Main!E2-1</f>
        <v>0.18149051231312008</v>
      </c>
    </row>
    <row r="20" spans="2:108" x14ac:dyDescent="0.2">
      <c r="B20" s="1" t="s">
        <v>23</v>
      </c>
      <c r="C20" s="1">
        <v>932</v>
      </c>
      <c r="D20" s="1">
        <v>623</v>
      </c>
      <c r="E20" s="1">
        <v>1274</v>
      </c>
      <c r="F20" s="1">
        <f>F19*0.19</f>
        <v>4247.5915847877113</v>
      </c>
      <c r="G20" s="1">
        <f t="shared" ref="G20:K20" si="23">G19*0.19</f>
        <v>5610.9834208174516</v>
      </c>
      <c r="H20" s="1">
        <f t="shared" si="23"/>
        <v>7398.018532355537</v>
      </c>
      <c r="I20" s="1">
        <f t="shared" si="23"/>
        <v>9742.8343015186674</v>
      </c>
      <c r="J20" s="1">
        <f t="shared" si="23"/>
        <v>12822.306374385989</v>
      </c>
      <c r="K20" s="1">
        <f t="shared" si="23"/>
        <v>16869.696642141531</v>
      </c>
    </row>
    <row r="21" spans="2:108" s="3" customFormat="1" x14ac:dyDescent="0.2">
      <c r="B21" s="3" t="s">
        <v>24</v>
      </c>
      <c r="C21" s="3">
        <f>C19-C20</f>
        <v>13293</v>
      </c>
      <c r="D21" s="3">
        <f t="shared" ref="D21:J21" si="24">D19-D20</f>
        <v>13227</v>
      </c>
      <c r="E21" s="3">
        <f t="shared" si="24"/>
        <v>14293</v>
      </c>
      <c r="F21" s="3">
        <f t="shared" si="24"/>
        <v>18108.153598305507</v>
      </c>
      <c r="G21" s="3">
        <f t="shared" si="24"/>
        <v>23920.508267695452</v>
      </c>
      <c r="H21" s="3">
        <f t="shared" si="24"/>
        <v>31538.921111620974</v>
      </c>
      <c r="I21" s="3">
        <f t="shared" si="24"/>
        <v>41535.240969632207</v>
      </c>
      <c r="J21" s="3">
        <f t="shared" si="24"/>
        <v>54663.516648698169</v>
      </c>
      <c r="K21" s="3">
        <f t="shared" ref="K21" si="25">K19-K20</f>
        <v>71918.180421761266</v>
      </c>
      <c r="L21" s="3">
        <f t="shared" ref="L21:AQ21" si="26">K21*(1+$N$15)</f>
        <v>72637.362225978883</v>
      </c>
      <c r="M21" s="3">
        <f t="shared" si="26"/>
        <v>73363.735848238677</v>
      </c>
      <c r="N21" s="3">
        <f t="shared" si="26"/>
        <v>74097.373206721066</v>
      </c>
      <c r="O21" s="3">
        <f t="shared" si="26"/>
        <v>74838.34693878828</v>
      </c>
      <c r="P21" s="3">
        <f t="shared" si="26"/>
        <v>75586.730408176169</v>
      </c>
      <c r="Q21" s="3">
        <f t="shared" si="26"/>
        <v>76342.597712257935</v>
      </c>
      <c r="R21" s="3">
        <f t="shared" si="26"/>
        <v>77106.023689380512</v>
      </c>
      <c r="S21" s="3">
        <f t="shared" si="26"/>
        <v>77877.083926274325</v>
      </c>
      <c r="T21" s="3">
        <f t="shared" si="26"/>
        <v>78655.854765537064</v>
      </c>
      <c r="U21" s="3">
        <f t="shared" si="26"/>
        <v>79442.413313192432</v>
      </c>
      <c r="V21" s="3">
        <f t="shared" si="26"/>
        <v>80236.837446324353</v>
      </c>
      <c r="W21" s="3">
        <f t="shared" si="26"/>
        <v>81039.205820787596</v>
      </c>
      <c r="X21" s="3">
        <f t="shared" si="26"/>
        <v>81849.597878995468</v>
      </c>
      <c r="Y21" s="3">
        <f t="shared" si="26"/>
        <v>82668.093857785425</v>
      </c>
      <c r="Z21" s="3">
        <f t="shared" si="26"/>
        <v>83494.774796363286</v>
      </c>
      <c r="AA21" s="3">
        <f t="shared" si="26"/>
        <v>84329.722544326927</v>
      </c>
      <c r="AB21" s="3">
        <f t="shared" si="26"/>
        <v>85173.019769770195</v>
      </c>
      <c r="AC21" s="3">
        <f t="shared" si="26"/>
        <v>86024.749967467898</v>
      </c>
      <c r="AD21" s="3">
        <f t="shared" si="26"/>
        <v>86884.997467142573</v>
      </c>
      <c r="AE21" s="3">
        <f t="shared" si="26"/>
        <v>87753.847441813996</v>
      </c>
      <c r="AF21" s="3">
        <f t="shared" si="26"/>
        <v>88631.385916232131</v>
      </c>
      <c r="AG21" s="3">
        <f t="shared" si="26"/>
        <v>89517.69977539446</v>
      </c>
      <c r="AH21" s="3">
        <f t="shared" si="26"/>
        <v>90412.876773148411</v>
      </c>
      <c r="AI21" s="3">
        <f t="shared" si="26"/>
        <v>91317.005540879894</v>
      </c>
      <c r="AJ21" s="3">
        <f t="shared" si="26"/>
        <v>92230.175596288696</v>
      </c>
      <c r="AK21" s="3">
        <f t="shared" si="26"/>
        <v>93152.47735225159</v>
      </c>
      <c r="AL21" s="3">
        <f t="shared" si="26"/>
        <v>94084.002125774103</v>
      </c>
      <c r="AM21" s="3">
        <f t="shared" si="26"/>
        <v>95024.842147031843</v>
      </c>
      <c r="AN21" s="3">
        <f t="shared" si="26"/>
        <v>95975.090568502157</v>
      </c>
      <c r="AO21" s="3">
        <f t="shared" si="26"/>
        <v>96934.841474187182</v>
      </c>
      <c r="AP21" s="3">
        <f t="shared" si="26"/>
        <v>97904.189888929061</v>
      </c>
      <c r="AQ21" s="3">
        <f t="shared" si="26"/>
        <v>98883.231787818353</v>
      </c>
      <c r="AR21" s="3">
        <f t="shared" ref="AR21:BW21" si="27">AQ21*(1+$N$15)</f>
        <v>99872.06410569654</v>
      </c>
      <c r="AS21" s="3">
        <f t="shared" si="27"/>
        <v>100870.7847467535</v>
      </c>
      <c r="AT21" s="3">
        <f t="shared" si="27"/>
        <v>101879.49259422104</v>
      </c>
      <c r="AU21" s="3">
        <f t="shared" si="27"/>
        <v>102898.28752016326</v>
      </c>
      <c r="AV21" s="3">
        <f t="shared" si="27"/>
        <v>103927.27039536489</v>
      </c>
      <c r="AW21" s="3">
        <f t="shared" si="27"/>
        <v>104966.54309931854</v>
      </c>
      <c r="AX21" s="3">
        <f t="shared" si="27"/>
        <v>106016.20853031173</v>
      </c>
      <c r="AY21" s="3">
        <f t="shared" si="27"/>
        <v>107076.37061561485</v>
      </c>
      <c r="AZ21" s="3">
        <f t="shared" si="27"/>
        <v>108147.13432177101</v>
      </c>
      <c r="BA21" s="3">
        <f t="shared" si="27"/>
        <v>109228.60566498872</v>
      </c>
      <c r="BB21" s="3">
        <f t="shared" si="27"/>
        <v>110320.8917216386</v>
      </c>
      <c r="BC21" s="3">
        <f t="shared" si="27"/>
        <v>111424.10063885499</v>
      </c>
      <c r="BD21" s="3">
        <f t="shared" si="27"/>
        <v>112538.34164524353</v>
      </c>
      <c r="BE21" s="3">
        <f t="shared" si="27"/>
        <v>113663.72506169596</v>
      </c>
      <c r="BF21" s="3">
        <f t="shared" si="27"/>
        <v>114800.36231231292</v>
      </c>
      <c r="BG21" s="3">
        <f t="shared" si="27"/>
        <v>115948.36593543606</v>
      </c>
      <c r="BH21" s="3">
        <f t="shared" si="27"/>
        <v>117107.84959479042</v>
      </c>
      <c r="BI21" s="3">
        <f t="shared" si="27"/>
        <v>118278.92809073832</v>
      </c>
      <c r="BJ21" s="3">
        <f t="shared" si="27"/>
        <v>119461.7173716457</v>
      </c>
      <c r="BK21" s="3">
        <f t="shared" si="27"/>
        <v>120656.33454536216</v>
      </c>
      <c r="BL21" s="3">
        <f t="shared" si="27"/>
        <v>121862.89789081579</v>
      </c>
      <c r="BM21" s="3">
        <f t="shared" si="27"/>
        <v>123081.52686972395</v>
      </c>
      <c r="BN21" s="3">
        <f t="shared" si="27"/>
        <v>124312.3421384212</v>
      </c>
      <c r="BO21" s="3">
        <f t="shared" si="27"/>
        <v>125555.46555980541</v>
      </c>
      <c r="BP21" s="3">
        <f t="shared" si="27"/>
        <v>126811.02021540346</v>
      </c>
      <c r="BQ21" s="3">
        <f t="shared" si="27"/>
        <v>128079.13041755751</v>
      </c>
      <c r="BR21" s="3">
        <f t="shared" si="27"/>
        <v>129359.92172173309</v>
      </c>
      <c r="BS21" s="3">
        <f t="shared" si="27"/>
        <v>130653.52093895042</v>
      </c>
      <c r="BT21" s="3">
        <f t="shared" si="27"/>
        <v>131960.05614833994</v>
      </c>
      <c r="BU21" s="3">
        <f t="shared" si="27"/>
        <v>133279.65670982335</v>
      </c>
      <c r="BV21" s="3">
        <f t="shared" si="27"/>
        <v>134612.45327692159</v>
      </c>
      <c r="BW21" s="3">
        <f t="shared" si="27"/>
        <v>135958.57780969082</v>
      </c>
      <c r="BX21" s="3">
        <f t="shared" ref="BX21:DD21" si="28">BW21*(1+$N$15)</f>
        <v>137318.16358778774</v>
      </c>
      <c r="BY21" s="3">
        <f t="shared" si="28"/>
        <v>138691.34522366562</v>
      </c>
      <c r="BZ21" s="3">
        <f t="shared" si="28"/>
        <v>140078.25867590227</v>
      </c>
      <c r="CA21" s="3">
        <f t="shared" si="28"/>
        <v>141479.04126266128</v>
      </c>
      <c r="CB21" s="3">
        <f t="shared" si="28"/>
        <v>142893.83167528789</v>
      </c>
      <c r="CC21" s="3">
        <f t="shared" si="28"/>
        <v>144322.76999204076</v>
      </c>
      <c r="CD21" s="3">
        <f t="shared" si="28"/>
        <v>145765.99769196118</v>
      </c>
      <c r="CE21" s="3">
        <f t="shared" si="28"/>
        <v>147223.6576688808</v>
      </c>
      <c r="CF21" s="3">
        <f t="shared" si="28"/>
        <v>148695.89424556959</v>
      </c>
      <c r="CG21" s="3">
        <f t="shared" si="28"/>
        <v>150182.8531880253</v>
      </c>
      <c r="CH21" s="3">
        <f t="shared" si="28"/>
        <v>151684.68171990555</v>
      </c>
      <c r="CI21" s="3">
        <f t="shared" si="28"/>
        <v>153201.5285371046</v>
      </c>
      <c r="CJ21" s="3">
        <f t="shared" si="28"/>
        <v>154733.54382247565</v>
      </c>
      <c r="CK21" s="3">
        <f t="shared" si="28"/>
        <v>156280.8792607004</v>
      </c>
      <c r="CL21" s="3">
        <f t="shared" si="28"/>
        <v>157843.68805330741</v>
      </c>
      <c r="CM21" s="3">
        <f t="shared" si="28"/>
        <v>159422.1249338405</v>
      </c>
      <c r="CN21" s="3">
        <f t="shared" si="28"/>
        <v>161016.34618317892</v>
      </c>
      <c r="CO21" s="3">
        <f t="shared" si="28"/>
        <v>162626.50964501069</v>
      </c>
      <c r="CP21" s="3">
        <f t="shared" si="28"/>
        <v>164252.7747414608</v>
      </c>
      <c r="CQ21" s="3">
        <f t="shared" si="28"/>
        <v>165895.3024888754</v>
      </c>
      <c r="CR21" s="3">
        <f t="shared" si="28"/>
        <v>167554.25551376416</v>
      </c>
      <c r="CS21" s="3">
        <f t="shared" si="28"/>
        <v>169229.79806890181</v>
      </c>
      <c r="CT21" s="3">
        <f t="shared" si="28"/>
        <v>170922.09604959082</v>
      </c>
      <c r="CU21" s="3">
        <f t="shared" si="28"/>
        <v>172631.31701008673</v>
      </c>
      <c r="CV21" s="3">
        <f t="shared" si="28"/>
        <v>174357.63018018761</v>
      </c>
      <c r="CW21" s="3">
        <f t="shared" si="28"/>
        <v>176101.2064819895</v>
      </c>
      <c r="CX21" s="3">
        <f t="shared" si="28"/>
        <v>177862.2185468094</v>
      </c>
      <c r="CY21" s="3">
        <f t="shared" si="28"/>
        <v>179640.84073227749</v>
      </c>
      <c r="CZ21" s="3">
        <f t="shared" si="28"/>
        <v>181437.24913960026</v>
      </c>
      <c r="DA21" s="3">
        <f t="shared" si="28"/>
        <v>183251.62163099626</v>
      </c>
      <c r="DB21" s="3">
        <f t="shared" si="28"/>
        <v>185084.13784730624</v>
      </c>
      <c r="DC21" s="3">
        <f t="shared" si="28"/>
        <v>186934.9792257793</v>
      </c>
      <c r="DD21" s="3">
        <f t="shared" si="28"/>
        <v>188804.3290180371</v>
      </c>
    </row>
    <row r="22" spans="2:108" x14ac:dyDescent="0.2">
      <c r="B22" s="1" t="s">
        <v>1</v>
      </c>
      <c r="C22" s="1">
        <v>2786</v>
      </c>
      <c r="D22" s="1">
        <v>2766</v>
      </c>
      <c r="E22" s="1">
        <v>2823</v>
      </c>
      <c r="F22" s="1">
        <v>2823</v>
      </c>
      <c r="G22" s="1">
        <v>2823</v>
      </c>
      <c r="H22" s="1">
        <v>2823</v>
      </c>
      <c r="I22" s="1">
        <v>2823</v>
      </c>
      <c r="J22" s="1">
        <v>2823</v>
      </c>
      <c r="K22" s="1">
        <v>2823</v>
      </c>
    </row>
    <row r="23" spans="2:108" x14ac:dyDescent="0.2">
      <c r="B23" s="1" t="s">
        <v>25</v>
      </c>
      <c r="C23" s="5">
        <f>C21/C22</f>
        <v>4.7713567839195976</v>
      </c>
      <c r="D23" s="5">
        <f t="shared" ref="D23:J23" si="29">D21/D22</f>
        <v>4.7819956616052064</v>
      </c>
      <c r="E23" s="5">
        <f t="shared" si="29"/>
        <v>5.0630534891958909</v>
      </c>
      <c r="F23" s="5">
        <f t="shared" si="29"/>
        <v>6.4145071194847709</v>
      </c>
      <c r="G23" s="5">
        <f t="shared" si="29"/>
        <v>8.4734354472885052</v>
      </c>
      <c r="H23" s="5">
        <f t="shared" si="29"/>
        <v>11.172129334616002</v>
      </c>
      <c r="I23" s="5">
        <f t="shared" si="29"/>
        <v>14.713156560266457</v>
      </c>
      <c r="J23" s="5">
        <f t="shared" si="29"/>
        <v>19.363626159652203</v>
      </c>
      <c r="K23" s="5">
        <f t="shared" ref="K23" si="30">K21/K22</f>
        <v>25.475798945009306</v>
      </c>
    </row>
    <row r="25" spans="2:108" s="3" customFormat="1" x14ac:dyDescent="0.2">
      <c r="B25" s="3" t="s">
        <v>26</v>
      </c>
      <c r="D25" s="6">
        <f>D7/C7-1</f>
        <v>0.17704995287464653</v>
      </c>
      <c r="E25" s="6">
        <f>E7/D7-1</f>
        <v>6.0195379749369504E-2</v>
      </c>
      <c r="F25" s="6">
        <f t="shared" ref="F25:K25" si="31">F7/E7-1</f>
        <v>0.24821113649666748</v>
      </c>
      <c r="G25" s="6">
        <f t="shared" si="31"/>
        <v>0.25586817848953136</v>
      </c>
      <c r="H25" s="6">
        <f t="shared" si="31"/>
        <v>0.26247078711494654</v>
      </c>
      <c r="I25" s="6">
        <f t="shared" si="31"/>
        <v>0.26811292496002093</v>
      </c>
      <c r="J25" s="6">
        <f t="shared" si="31"/>
        <v>0.2729000032297475</v>
      </c>
      <c r="K25" s="6">
        <f t="shared" si="31"/>
        <v>0.27693973863514754</v>
      </c>
    </row>
    <row r="27" spans="2:108" s="3" customFormat="1" x14ac:dyDescent="0.2">
      <c r="B27" s="3" t="s">
        <v>27</v>
      </c>
      <c r="C27" s="6">
        <f>C12/C7</f>
        <v>0.79083411875589071</v>
      </c>
      <c r="D27" s="6">
        <f>D12/D7</f>
        <v>0.72847019257717105</v>
      </c>
      <c r="E27" s="6">
        <f>E12/E7</f>
        <v>0.71407261947470779</v>
      </c>
      <c r="F27" s="6">
        <f>E27*1.01</f>
        <v>0.72121334566945483</v>
      </c>
      <c r="G27" s="6">
        <f t="shared" ref="G27:K27" si="32">F27*1.01</f>
        <v>0.72842547912614941</v>
      </c>
      <c r="H27" s="6">
        <f t="shared" si="32"/>
        <v>0.7357097339174109</v>
      </c>
      <c r="I27" s="6">
        <f t="shared" si="32"/>
        <v>0.74306683125658501</v>
      </c>
      <c r="J27" s="6">
        <f t="shared" si="32"/>
        <v>0.75049749956915091</v>
      </c>
      <c r="K27" s="6">
        <f t="shared" si="32"/>
        <v>0.75800247456484238</v>
      </c>
    </row>
    <row r="28" spans="2:108" x14ac:dyDescent="0.2">
      <c r="B28" s="1" t="s">
        <v>28</v>
      </c>
      <c r="C28" s="4">
        <f t="shared" ref="C28:K28" si="33">C17/C7</f>
        <v>0.40009425070688032</v>
      </c>
      <c r="D28" s="4">
        <f t="shared" si="33"/>
        <v>0.34741962605597149</v>
      </c>
      <c r="E28" s="4">
        <f t="shared" si="33"/>
        <v>0.36028398255319954</v>
      </c>
      <c r="F28" s="4">
        <f t="shared" si="33"/>
        <v>0.36742470874794658</v>
      </c>
      <c r="G28" s="4">
        <f t="shared" si="33"/>
        <v>0.37463684220464127</v>
      </c>
      <c r="H28" s="4">
        <f t="shared" si="33"/>
        <v>0.38192109699590265</v>
      </c>
      <c r="I28" s="4">
        <f t="shared" si="33"/>
        <v>0.38927819433507677</v>
      </c>
      <c r="J28" s="4">
        <f t="shared" si="33"/>
        <v>0.3967088626476426</v>
      </c>
      <c r="K28" s="4">
        <f t="shared" si="33"/>
        <v>0.40421383764333407</v>
      </c>
    </row>
    <row r="29" spans="2:108" x14ac:dyDescent="0.2">
      <c r="B29" s="1" t="s">
        <v>38</v>
      </c>
      <c r="C29" s="4">
        <f t="shared" ref="C29:K29" si="34">C34/C7</f>
        <v>0.11847313854853911</v>
      </c>
      <c r="D29" s="4">
        <f t="shared" si="34"/>
        <v>0.16955599151219122</v>
      </c>
      <c r="E29" s="4">
        <f t="shared" si="34"/>
        <v>0.22293763335284456</v>
      </c>
      <c r="F29" s="4">
        <f t="shared" si="34"/>
        <v>0.2299892373633429</v>
      </c>
      <c r="G29" s="4">
        <f t="shared" si="34"/>
        <v>0.23718187345405115</v>
      </c>
      <c r="H29" s="4">
        <f t="shared" si="34"/>
        <v>0.24451836226657353</v>
      </c>
      <c r="I29" s="4">
        <f t="shared" si="34"/>
        <v>0.25200158085534646</v>
      </c>
      <c r="J29" s="4">
        <f t="shared" si="34"/>
        <v>0.25963446381589472</v>
      </c>
      <c r="K29" s="4">
        <f t="shared" si="34"/>
        <v>0.26742000443565406</v>
      </c>
    </row>
    <row r="30" spans="2:108" x14ac:dyDescent="0.2">
      <c r="C30" s="4"/>
      <c r="D30" s="4"/>
      <c r="E30" s="4"/>
      <c r="F30" s="4"/>
      <c r="G30" s="4"/>
      <c r="H30" s="4"/>
      <c r="I30" s="4"/>
      <c r="J30" s="4"/>
      <c r="K30" s="4"/>
    </row>
    <row r="31" spans="2:108" x14ac:dyDescent="0.2">
      <c r="C31" s="4">
        <f>C32/C7</f>
        <v>0.22476437323279924</v>
      </c>
      <c r="D31" s="4">
        <f>D32/D7</f>
        <v>0.34361612683668974</v>
      </c>
      <c r="E31" s="4">
        <f>E32/E7</f>
        <v>0.35258020052491457</v>
      </c>
      <c r="F31" s="4">
        <f>E31*1.02</f>
        <v>0.35963180453541288</v>
      </c>
      <c r="G31" s="4">
        <f t="shared" ref="G31:K31" si="35">F31*1.02</f>
        <v>0.36682444062612113</v>
      </c>
      <c r="H31" s="4">
        <f t="shared" si="35"/>
        <v>0.37416092943864354</v>
      </c>
      <c r="I31" s="4">
        <f t="shared" si="35"/>
        <v>0.38164414802741642</v>
      </c>
      <c r="J31" s="4">
        <f t="shared" si="35"/>
        <v>0.38927703098796473</v>
      </c>
      <c r="K31" s="4">
        <f t="shared" si="35"/>
        <v>0.39706257160772401</v>
      </c>
    </row>
    <row r="32" spans="2:108" x14ac:dyDescent="0.2">
      <c r="B32" s="1" t="s">
        <v>29</v>
      </c>
      <c r="C32" s="1">
        <v>9539</v>
      </c>
      <c r="D32" s="1">
        <v>17165</v>
      </c>
      <c r="E32" s="1">
        <v>18673</v>
      </c>
      <c r="F32" s="1">
        <f t="shared" ref="F32:K32" si="36">F31*F7</f>
        <v>23774.003482838321</v>
      </c>
      <c r="G32" s="1">
        <f t="shared" si="36"/>
        <v>30454.154738383855</v>
      </c>
      <c r="H32" s="1">
        <f t="shared" si="36"/>
        <v>39216.430317557599</v>
      </c>
      <c r="I32" s="1">
        <f t="shared" si="36"/>
        <v>50725.479399618591</v>
      </c>
      <c r="J32" s="1">
        <f t="shared" si="36"/>
        <v>65859.83214943709</v>
      </c>
      <c r="K32" s="1">
        <f t="shared" si="36"/>
        <v>85781.017588486022</v>
      </c>
    </row>
    <row r="33" spans="2:99" x14ac:dyDescent="0.2">
      <c r="B33" s="1" t="s">
        <v>30</v>
      </c>
      <c r="C33" s="1">
        <v>4511</v>
      </c>
      <c r="D33" s="1">
        <v>8695</v>
      </c>
      <c r="E33" s="1">
        <v>6866</v>
      </c>
      <c r="F33" s="1">
        <f t="shared" ref="F33:K33" si="37">E33*(1+F25)</f>
        <v>8570.2176631861184</v>
      </c>
      <c r="G33" s="1">
        <f t="shared" si="37"/>
        <v>10763.063645924358</v>
      </c>
      <c r="H33" s="1">
        <f t="shared" si="37"/>
        <v>13588.053432838391</v>
      </c>
      <c r="I33" s="1">
        <f t="shared" si="37"/>
        <v>17231.186183229744</v>
      </c>
      <c r="J33" s="1">
        <f t="shared" si="37"/>
        <v>21933.576948285521</v>
      </c>
      <c r="K33" s="1">
        <f t="shared" si="37"/>
        <v>28007.856015677611</v>
      </c>
    </row>
    <row r="34" spans="2:99" s="3" customFormat="1" x14ac:dyDescent="0.2">
      <c r="B34" s="3" t="s">
        <v>31</v>
      </c>
      <c r="C34" s="3">
        <f>C32-C33</f>
        <v>5028</v>
      </c>
      <c r="D34" s="3">
        <f t="shared" ref="D34:E34" si="38">D32-D33</f>
        <v>8470</v>
      </c>
      <c r="E34" s="3">
        <f t="shared" si="38"/>
        <v>11807</v>
      </c>
      <c r="F34" s="3">
        <f t="shared" ref="F34" si="39">F32-F33</f>
        <v>15203.785819652203</v>
      </c>
      <c r="G34" s="3">
        <f t="shared" ref="G34" si="40">G32-G33</f>
        <v>19691.091092459497</v>
      </c>
      <c r="H34" s="3">
        <f t="shared" ref="H34" si="41">H32-H33</f>
        <v>25628.376884719208</v>
      </c>
      <c r="I34" s="3">
        <f t="shared" ref="I34" si="42">I32-I33</f>
        <v>33494.293216388847</v>
      </c>
      <c r="J34" s="3">
        <f t="shared" ref="J34:K34" si="43">J32-J33</f>
        <v>43926.255201151565</v>
      </c>
      <c r="K34" s="3">
        <f t="shared" si="43"/>
        <v>57773.161572808414</v>
      </c>
      <c r="L34" s="3">
        <f t="shared" ref="L34:AQ34" si="44">K34*(1+$N$15)</f>
        <v>58350.893188536502</v>
      </c>
      <c r="M34" s="3">
        <f t="shared" si="44"/>
        <v>58934.402120421866</v>
      </c>
      <c r="N34" s="3">
        <f t="shared" si="44"/>
        <v>59523.746141626085</v>
      </c>
      <c r="O34" s="3">
        <f t="shared" si="44"/>
        <v>60118.983603042347</v>
      </c>
      <c r="P34" s="3">
        <f t="shared" si="44"/>
        <v>60720.173439072772</v>
      </c>
      <c r="Q34" s="3">
        <f t="shared" si="44"/>
        <v>61327.375173463501</v>
      </c>
      <c r="R34" s="3">
        <f t="shared" si="44"/>
        <v>61940.648925198133</v>
      </c>
      <c r="S34" s="3">
        <f t="shared" si="44"/>
        <v>62560.055414450115</v>
      </c>
      <c r="T34" s="3">
        <f t="shared" si="44"/>
        <v>63185.655968594619</v>
      </c>
      <c r="U34" s="3">
        <f t="shared" si="44"/>
        <v>63817.512528280567</v>
      </c>
      <c r="V34" s="3">
        <f t="shared" si="44"/>
        <v>64455.687653563371</v>
      </c>
      <c r="W34" s="3">
        <f t="shared" si="44"/>
        <v>65100.244530099008</v>
      </c>
      <c r="X34" s="3">
        <f t="shared" si="44"/>
        <v>65751.246975400005</v>
      </c>
      <c r="Y34" s="3">
        <f t="shared" si="44"/>
        <v>66408.759445154006</v>
      </c>
      <c r="Z34" s="3">
        <f t="shared" si="44"/>
        <v>67072.847039605549</v>
      </c>
      <c r="AA34" s="3">
        <f t="shared" si="44"/>
        <v>67743.57551000161</v>
      </c>
      <c r="AB34" s="3">
        <f t="shared" si="44"/>
        <v>68421.011265101624</v>
      </c>
      <c r="AC34" s="3">
        <f t="shared" si="44"/>
        <v>69105.221377752634</v>
      </c>
      <c r="AD34" s="3">
        <f t="shared" si="44"/>
        <v>69796.27359153016</v>
      </c>
      <c r="AE34" s="3">
        <f t="shared" si="44"/>
        <v>70494.236327445469</v>
      </c>
      <c r="AF34" s="3">
        <f t="shared" si="44"/>
        <v>71199.178690719928</v>
      </c>
      <c r="AG34" s="3">
        <f t="shared" si="44"/>
        <v>71911.170477627122</v>
      </c>
      <c r="AH34" s="3">
        <f t="shared" si="44"/>
        <v>72630.282182403389</v>
      </c>
      <c r="AI34" s="3">
        <f t="shared" si="44"/>
        <v>73356.585004227425</v>
      </c>
      <c r="AJ34" s="3">
        <f t="shared" si="44"/>
        <v>74090.150854269697</v>
      </c>
      <c r="AK34" s="3">
        <f t="shared" si="44"/>
        <v>74831.052362812392</v>
      </c>
      <c r="AL34" s="3">
        <f t="shared" si="44"/>
        <v>75579.362886440518</v>
      </c>
      <c r="AM34" s="3">
        <f t="shared" si="44"/>
        <v>76335.156515304931</v>
      </c>
      <c r="AN34" s="3">
        <f t="shared" si="44"/>
        <v>77098.508080457977</v>
      </c>
      <c r="AO34" s="3">
        <f t="shared" si="44"/>
        <v>77869.493161262551</v>
      </c>
      <c r="AP34" s="3">
        <f t="shared" si="44"/>
        <v>78648.188092875178</v>
      </c>
      <c r="AQ34" s="3">
        <f t="shared" si="44"/>
        <v>79434.669973803931</v>
      </c>
      <c r="AR34" s="3">
        <f t="shared" ref="AR34:BW34" si="45">AQ34*(1+$N$15)</f>
        <v>80229.016673541977</v>
      </c>
      <c r="AS34" s="3">
        <f t="shared" si="45"/>
        <v>81031.306840277393</v>
      </c>
      <c r="AT34" s="3">
        <f t="shared" si="45"/>
        <v>81841.619908680164</v>
      </c>
      <c r="AU34" s="3">
        <f t="shared" si="45"/>
        <v>82660.036107766966</v>
      </c>
      <c r="AV34" s="3">
        <f t="shared" si="45"/>
        <v>83486.636468844634</v>
      </c>
      <c r="AW34" s="3">
        <f t="shared" si="45"/>
        <v>84321.502833533086</v>
      </c>
      <c r="AX34" s="3">
        <f t="shared" si="45"/>
        <v>85164.717861868412</v>
      </c>
      <c r="AY34" s="3">
        <f t="shared" si="45"/>
        <v>86016.3650404871</v>
      </c>
      <c r="AZ34" s="3">
        <f t="shared" si="45"/>
        <v>86876.528690891966</v>
      </c>
      <c r="BA34" s="3">
        <f t="shared" si="45"/>
        <v>87745.293977800888</v>
      </c>
      <c r="BB34" s="3">
        <f t="shared" si="45"/>
        <v>88622.746917578901</v>
      </c>
      <c r="BC34" s="3">
        <f t="shared" si="45"/>
        <v>89508.974386754693</v>
      </c>
      <c r="BD34" s="3">
        <f t="shared" si="45"/>
        <v>90404.064130622239</v>
      </c>
      <c r="BE34" s="3">
        <f t="shared" si="45"/>
        <v>91308.104771928469</v>
      </c>
      <c r="BF34" s="3">
        <f t="shared" si="45"/>
        <v>92221.185819647755</v>
      </c>
      <c r="BG34" s="3">
        <f t="shared" si="45"/>
        <v>93143.39767784423</v>
      </c>
      <c r="BH34" s="3">
        <f t="shared" si="45"/>
        <v>94074.831654622671</v>
      </c>
      <c r="BI34" s="3">
        <f t="shared" si="45"/>
        <v>95015.579971168903</v>
      </c>
      <c r="BJ34" s="3">
        <f t="shared" si="45"/>
        <v>95965.735770880594</v>
      </c>
      <c r="BK34" s="3">
        <f t="shared" si="45"/>
        <v>96925.393128589407</v>
      </c>
      <c r="BL34" s="3">
        <f t="shared" si="45"/>
        <v>97894.647059875308</v>
      </c>
      <c r="BM34" s="3">
        <f t="shared" si="45"/>
        <v>98873.593530474056</v>
      </c>
      <c r="BN34" s="3">
        <f t="shared" si="45"/>
        <v>99862.329465778792</v>
      </c>
      <c r="BO34" s="3">
        <f t="shared" si="45"/>
        <v>100860.95276043659</v>
      </c>
      <c r="BP34" s="3">
        <f t="shared" si="45"/>
        <v>101869.56228804095</v>
      </c>
      <c r="BQ34" s="3">
        <f t="shared" si="45"/>
        <v>102888.25791092135</v>
      </c>
      <c r="BR34" s="3">
        <f t="shared" si="45"/>
        <v>103917.14049003056</v>
      </c>
      <c r="BS34" s="3">
        <f t="shared" si="45"/>
        <v>104956.31189493087</v>
      </c>
      <c r="BT34" s="3">
        <f t="shared" si="45"/>
        <v>106005.87501388018</v>
      </c>
      <c r="BU34" s="3">
        <f t="shared" si="45"/>
        <v>107065.93376401899</v>
      </c>
      <c r="BV34" s="3">
        <f t="shared" si="45"/>
        <v>108136.59310165918</v>
      </c>
      <c r="BW34" s="3">
        <f t="shared" si="45"/>
        <v>109217.95903267578</v>
      </c>
      <c r="BX34" s="3">
        <f t="shared" ref="BX34:CU34" si="46">BW34*(1+$N$15)</f>
        <v>110310.13862300254</v>
      </c>
      <c r="BY34" s="3">
        <f t="shared" si="46"/>
        <v>111413.24000923257</v>
      </c>
      <c r="BZ34" s="3">
        <f t="shared" si="46"/>
        <v>112527.37240932489</v>
      </c>
      <c r="CA34" s="3">
        <f t="shared" si="46"/>
        <v>113652.64613341814</v>
      </c>
      <c r="CB34" s="3">
        <f t="shared" si="46"/>
        <v>114789.17259475232</v>
      </c>
      <c r="CC34" s="3">
        <f t="shared" si="46"/>
        <v>115937.06432069985</v>
      </c>
      <c r="CD34" s="3">
        <f t="shared" si="46"/>
        <v>117096.43496390685</v>
      </c>
      <c r="CE34" s="3">
        <f t="shared" si="46"/>
        <v>118267.39931354592</v>
      </c>
      <c r="CF34" s="3">
        <f t="shared" si="46"/>
        <v>119450.07330668137</v>
      </c>
      <c r="CG34" s="3">
        <f t="shared" si="46"/>
        <v>120644.57403974819</v>
      </c>
      <c r="CH34" s="3">
        <f t="shared" si="46"/>
        <v>121851.01978014567</v>
      </c>
      <c r="CI34" s="3">
        <f t="shared" si="46"/>
        <v>123069.52997794712</v>
      </c>
      <c r="CJ34" s="3">
        <f t="shared" si="46"/>
        <v>124300.2252777266</v>
      </c>
      <c r="CK34" s="3">
        <f t="shared" si="46"/>
        <v>125543.22753050386</v>
      </c>
      <c r="CL34" s="3">
        <f t="shared" si="46"/>
        <v>126798.6598058089</v>
      </c>
      <c r="CM34" s="3">
        <f t="shared" si="46"/>
        <v>128066.64640386699</v>
      </c>
      <c r="CN34" s="3">
        <f t="shared" si="46"/>
        <v>129347.31286790567</v>
      </c>
      <c r="CO34" s="3">
        <f t="shared" si="46"/>
        <v>130640.78599658473</v>
      </c>
      <c r="CP34" s="3">
        <f t="shared" si="46"/>
        <v>131947.19385655058</v>
      </c>
      <c r="CQ34" s="3">
        <f t="shared" si="46"/>
        <v>133266.6657951161</v>
      </c>
      <c r="CR34" s="3">
        <f t="shared" si="46"/>
        <v>134599.33245306727</v>
      </c>
      <c r="CS34" s="3">
        <f t="shared" si="46"/>
        <v>135945.32577759793</v>
      </c>
      <c r="CT34" s="3">
        <f t="shared" si="46"/>
        <v>137304.77903537391</v>
      </c>
      <c r="CU34" s="3">
        <f t="shared" si="46"/>
        <v>138677.82682572765</v>
      </c>
    </row>
    <row r="36" spans="2:99" x14ac:dyDescent="0.2">
      <c r="C36" s="4"/>
      <c r="D36" s="4"/>
      <c r="E36" s="4"/>
      <c r="F36" s="4"/>
      <c r="G36" s="4"/>
      <c r="H36" s="4"/>
      <c r="I36" s="4"/>
      <c r="J36" s="4"/>
      <c r="K36" s="4"/>
    </row>
    <row r="37" spans="2:99" x14ac:dyDescent="0.2">
      <c r="C37" s="4"/>
      <c r="D37" s="4"/>
      <c r="E37" s="4"/>
      <c r="F37" s="4"/>
      <c r="G37" s="4"/>
      <c r="H37" s="4"/>
      <c r="I37" s="4"/>
      <c r="J37" s="4"/>
      <c r="K37" s="4"/>
    </row>
    <row r="38" spans="2:99" x14ac:dyDescent="0.2">
      <c r="B38" s="1" t="s">
        <v>32</v>
      </c>
      <c r="E38" s="1">
        <f>E40-E42</f>
        <v>-96671</v>
      </c>
      <c r="F38" s="1">
        <f t="shared" ref="F38:K38" si="47">E38+F21</f>
        <v>-78562.846401694493</v>
      </c>
      <c r="G38" s="1">
        <f t="shared" si="47"/>
        <v>-54642.338133999045</v>
      </c>
      <c r="H38" s="1">
        <f t="shared" si="47"/>
        <v>-23103.417022378071</v>
      </c>
      <c r="I38" s="1">
        <f t="shared" si="47"/>
        <v>18431.823947254135</v>
      </c>
      <c r="J38" s="1">
        <f t="shared" si="47"/>
        <v>73095.340595952308</v>
      </c>
      <c r="K38" s="1">
        <f t="shared" si="47"/>
        <v>145013.52101771359</v>
      </c>
    </row>
    <row r="39" spans="2:99" x14ac:dyDescent="0.2">
      <c r="C39" s="4"/>
      <c r="D39" s="4"/>
      <c r="E39" s="4"/>
    </row>
    <row r="40" spans="2:99" x14ac:dyDescent="0.2">
      <c r="B40" s="1" t="s">
        <v>3</v>
      </c>
      <c r="E40" s="1">
        <f>17406+417</f>
        <v>17823</v>
      </c>
    </row>
    <row r="42" spans="2:99" x14ac:dyDescent="0.2">
      <c r="B42" s="1" t="s">
        <v>4</v>
      </c>
      <c r="E42" s="1">
        <v>114494</v>
      </c>
    </row>
  </sheetData>
  <hyperlinks>
    <hyperlink ref="A1" location="Sheet1!A1" display="Main" xr:uid="{12E0648C-BC8E-47B6-B31C-9CA493EE1BC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2025-04-15T21:55:38Z</dcterms:created>
  <dcterms:modified xsi:type="dcterms:W3CDTF">2025-08-25T23:07:04Z</dcterms:modified>
</cp:coreProperties>
</file>