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4D696E76-CE02-41A2-90C9-9EDA42E67164}" xr6:coauthVersionLast="47" xr6:coauthVersionMax="47" xr10:uidLastSave="{00000000-0000-0000-0000-000000000000}"/>
  <bookViews>
    <workbookView xWindow="2625" yWindow="405" windowWidth="22200" windowHeight="14805" activeTab="1" xr2:uid="{EA782F9C-EC39-4135-9E05-852174F716B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3" i="2" l="1"/>
  <c r="V13" i="2"/>
  <c r="W13" i="2" s="1"/>
  <c r="X13" i="2" s="1"/>
  <c r="Y13" i="2" s="1"/>
  <c r="W19" i="2"/>
  <c r="X19" i="2" s="1"/>
  <c r="Y19" i="2" s="1"/>
  <c r="W20" i="2"/>
  <c r="X20" i="2" s="1"/>
  <c r="Y20" i="2" s="1"/>
  <c r="W21" i="2"/>
  <c r="X21" i="2"/>
  <c r="Y21" i="2" s="1"/>
  <c r="W22" i="2"/>
  <c r="X22" i="2"/>
  <c r="Y22" i="2"/>
  <c r="V20" i="2"/>
  <c r="V21" i="2"/>
  <c r="V22" i="2"/>
  <c r="V19" i="2"/>
  <c r="N19" i="2"/>
  <c r="N20" i="2"/>
  <c r="N21" i="2"/>
  <c r="N22" i="2"/>
  <c r="M19" i="2"/>
  <c r="M20" i="2"/>
  <c r="M21" i="2"/>
  <c r="M22" i="2"/>
  <c r="L56" i="2"/>
  <c r="L41" i="2"/>
  <c r="L39" i="2"/>
  <c r="L38" i="2" s="1"/>
  <c r="J3" i="1"/>
  <c r="T11" i="2"/>
  <c r="T10" i="2"/>
  <c r="T8" i="2"/>
  <c r="T7" i="2"/>
  <c r="T3" i="2"/>
  <c r="T4" i="2"/>
  <c r="L5" i="2"/>
  <c r="H5" i="2"/>
  <c r="I5" i="2"/>
  <c r="J5" i="2"/>
  <c r="K5" i="2"/>
  <c r="G5" i="2"/>
  <c r="M13" i="2"/>
  <c r="N13" i="2" s="1"/>
  <c r="N5" i="2" s="1"/>
  <c r="U62" i="2"/>
  <c r="W61" i="2"/>
  <c r="X61" i="2" s="1"/>
  <c r="Y61" i="2" s="1"/>
  <c r="L33" i="2"/>
  <c r="J6" i="1"/>
  <c r="J5" i="1"/>
  <c r="J4" i="1"/>
  <c r="J7" i="1" s="1"/>
  <c r="U29" i="2"/>
  <c r="V29" i="2" s="1"/>
  <c r="W29" i="2" s="1"/>
  <c r="X29" i="2" s="1"/>
  <c r="Y29" i="2" s="1"/>
  <c r="Q17" i="2"/>
  <c r="Q18" i="2" s="1"/>
  <c r="Q35" i="2" s="1"/>
  <c r="Q23" i="2"/>
  <c r="P23" i="2"/>
  <c r="P17" i="2"/>
  <c r="P18" i="2" s="1"/>
  <c r="J17" i="2"/>
  <c r="J18" i="2" s="1"/>
  <c r="J35" i="2" s="1"/>
  <c r="Q32" i="2"/>
  <c r="R32" i="2"/>
  <c r="P32" i="2"/>
  <c r="K33" i="2"/>
  <c r="D33" i="2"/>
  <c r="E33" i="2"/>
  <c r="F33" i="2"/>
  <c r="G33" i="2"/>
  <c r="H33" i="2"/>
  <c r="I33" i="2"/>
  <c r="J33" i="2"/>
  <c r="K32" i="2"/>
  <c r="G32" i="2"/>
  <c r="H32" i="2"/>
  <c r="I32" i="2"/>
  <c r="J32" i="2"/>
  <c r="D23" i="2"/>
  <c r="E23" i="2"/>
  <c r="F23" i="2"/>
  <c r="G23" i="2"/>
  <c r="H23" i="2"/>
  <c r="I23" i="2"/>
  <c r="J23" i="2"/>
  <c r="C23" i="2"/>
  <c r="F17" i="2"/>
  <c r="F18" i="2" s="1"/>
  <c r="G17" i="2"/>
  <c r="G18" i="2" s="1"/>
  <c r="H17" i="2"/>
  <c r="H18" i="2" s="1"/>
  <c r="I17" i="2"/>
  <c r="I18" i="2" s="1"/>
  <c r="I35" i="2" s="1"/>
  <c r="D17" i="2"/>
  <c r="D18" i="2" s="1"/>
  <c r="C17" i="2"/>
  <c r="C18" i="2" s="1"/>
  <c r="C35" i="2" s="1"/>
  <c r="E17" i="2"/>
  <c r="E18" i="2" s="1"/>
  <c r="E35" i="2" s="1"/>
  <c r="V60" i="2"/>
  <c r="W60" i="2" s="1"/>
  <c r="X60" i="2" s="1"/>
  <c r="Y60" i="2" s="1"/>
  <c r="S62" i="2"/>
  <c r="T62" i="2"/>
  <c r="R62" i="2"/>
  <c r="S23" i="2"/>
  <c r="T23" i="2"/>
  <c r="R23" i="2"/>
  <c r="S17" i="2"/>
  <c r="S18" i="2" s="1"/>
  <c r="S35" i="2" s="1"/>
  <c r="T17" i="2"/>
  <c r="T18" i="2" s="1"/>
  <c r="R17" i="2"/>
  <c r="R18" i="2" s="1"/>
  <c r="S32" i="2"/>
  <c r="T32" i="2"/>
  <c r="C62" i="2"/>
  <c r="Q2" i="2"/>
  <c r="R2" i="2" s="1"/>
  <c r="S2" i="2" s="1"/>
  <c r="T2" i="2" s="1"/>
  <c r="U2" i="2" s="1"/>
  <c r="V2" i="2" s="1"/>
  <c r="W2" i="2" s="1"/>
  <c r="X2" i="2" s="1"/>
  <c r="Y2" i="2" s="1"/>
  <c r="L49" i="2" l="1"/>
  <c r="L57" i="2" s="1"/>
  <c r="L58" i="2" s="1"/>
  <c r="T5" i="2"/>
  <c r="U5" i="2"/>
  <c r="M5" i="2"/>
  <c r="Y62" i="2"/>
  <c r="N32" i="2"/>
  <c r="V62" i="2"/>
  <c r="X62" i="2"/>
  <c r="W62" i="2"/>
  <c r="Q24" i="2"/>
  <c r="Q26" i="2" s="1"/>
  <c r="L32" i="2"/>
  <c r="P24" i="2"/>
  <c r="P35" i="2"/>
  <c r="J24" i="2"/>
  <c r="G24" i="2"/>
  <c r="G35" i="2"/>
  <c r="H35" i="2"/>
  <c r="H24" i="2"/>
  <c r="F24" i="2"/>
  <c r="F35" i="2"/>
  <c r="D35" i="2"/>
  <c r="D24" i="2"/>
  <c r="E24" i="2"/>
  <c r="C24" i="2"/>
  <c r="I24" i="2"/>
  <c r="T24" i="2"/>
  <c r="T36" i="2" s="1"/>
  <c r="R24" i="2"/>
  <c r="R36" i="2" s="1"/>
  <c r="T35" i="2"/>
  <c r="R35" i="2"/>
  <c r="S24" i="2"/>
  <c r="S36" i="2" s="1"/>
  <c r="Q36" i="2" l="1"/>
  <c r="L23" i="2"/>
  <c r="K17" i="2"/>
  <c r="K18" i="2" s="1"/>
  <c r="K35" i="2" s="1"/>
  <c r="U13" i="2"/>
  <c r="N33" i="2"/>
  <c r="M33" i="2"/>
  <c r="M32" i="2"/>
  <c r="Q28" i="2"/>
  <c r="P26" i="2"/>
  <c r="P36" i="2"/>
  <c r="J26" i="2"/>
  <c r="J36" i="2"/>
  <c r="F26" i="2"/>
  <c r="F36" i="2"/>
  <c r="D26" i="2"/>
  <c r="D36" i="2"/>
  <c r="H26" i="2"/>
  <c r="H36" i="2"/>
  <c r="G26" i="2"/>
  <c r="G36" i="2"/>
  <c r="C36" i="2"/>
  <c r="C26" i="2"/>
  <c r="E26" i="2"/>
  <c r="E36" i="2"/>
  <c r="I26" i="2"/>
  <c r="I36" i="2"/>
  <c r="R26" i="2"/>
  <c r="R28" i="2" s="1"/>
  <c r="T26" i="2"/>
  <c r="S26" i="2"/>
  <c r="M16" i="2" l="1"/>
  <c r="M15" i="2"/>
  <c r="N15" i="2" s="1"/>
  <c r="U15" i="2" s="1"/>
  <c r="U32" i="2"/>
  <c r="L17" i="2"/>
  <c r="L18" i="2" s="1"/>
  <c r="P28" i="2"/>
  <c r="J28" i="2"/>
  <c r="J30" i="2" s="1"/>
  <c r="C28" i="2"/>
  <c r="C30" i="2" s="1"/>
  <c r="G28" i="2"/>
  <c r="G30" i="2" s="1"/>
  <c r="I28" i="2"/>
  <c r="I30" i="2" s="1"/>
  <c r="E28" i="2"/>
  <c r="E30" i="2" s="1"/>
  <c r="H28" i="2"/>
  <c r="H30" i="2" s="1"/>
  <c r="D28" i="2"/>
  <c r="D30" i="2" s="1"/>
  <c r="F28" i="2"/>
  <c r="F30" i="2" s="1"/>
  <c r="R30" i="2"/>
  <c r="T28" i="2"/>
  <c r="S28" i="2"/>
  <c r="L24" i="2" l="1"/>
  <c r="L36" i="2" s="1"/>
  <c r="L35" i="2"/>
  <c r="N14" i="2"/>
  <c r="M17" i="2"/>
  <c r="M18" i="2" s="1"/>
  <c r="U14" i="2"/>
  <c r="N16" i="2"/>
  <c r="U16" i="2" s="1"/>
  <c r="M23" i="2"/>
  <c r="U21" i="2"/>
  <c r="U22" i="2"/>
  <c r="V32" i="2"/>
  <c r="V15" i="2" s="1"/>
  <c r="S30" i="2"/>
  <c r="T30" i="2"/>
  <c r="N23" i="2" l="1"/>
  <c r="W32" i="2"/>
  <c r="W15" i="2" s="1"/>
  <c r="M24" i="2"/>
  <c r="M36" i="2" s="1"/>
  <c r="M35" i="2"/>
  <c r="V16" i="2"/>
  <c r="U17" i="2"/>
  <c r="V14" i="2"/>
  <c r="N17" i="2"/>
  <c r="N18" i="2" s="1"/>
  <c r="U19" i="2"/>
  <c r="K23" i="2"/>
  <c r="K24" i="2" s="1"/>
  <c r="U20" i="2"/>
  <c r="W16" i="2" l="1"/>
  <c r="U23" i="2"/>
  <c r="N24" i="2"/>
  <c r="N36" i="2" s="1"/>
  <c r="N35" i="2"/>
  <c r="V17" i="2"/>
  <c r="V18" i="2" s="1"/>
  <c r="W14" i="2"/>
  <c r="X32" i="2"/>
  <c r="X15" i="2" s="1"/>
  <c r="K26" i="2"/>
  <c r="K36" i="2"/>
  <c r="V23" i="2"/>
  <c r="Y32" i="2" l="1"/>
  <c r="Y15" i="2" s="1"/>
  <c r="V35" i="2"/>
  <c r="V24" i="2"/>
  <c r="W17" i="2"/>
  <c r="W18" i="2" s="1"/>
  <c r="X14" i="2"/>
  <c r="X16" i="2"/>
  <c r="K28" i="2"/>
  <c r="W23" i="2"/>
  <c r="Y16" i="2" l="1"/>
  <c r="W35" i="2"/>
  <c r="W24" i="2"/>
  <c r="X17" i="2"/>
  <c r="X18" i="2" s="1"/>
  <c r="Y14" i="2"/>
  <c r="Y17" i="2" s="1"/>
  <c r="Y18" i="2" s="1"/>
  <c r="X23" i="2"/>
  <c r="L26" i="2"/>
  <c r="L28" i="2" s="1"/>
  <c r="L30" i="2" s="1"/>
  <c r="X35" i="2" l="1"/>
  <c r="X24" i="2"/>
  <c r="Y35" i="2"/>
  <c r="Y23" i="2"/>
  <c r="Y24" i="2" s="1"/>
  <c r="M25" i="2" l="1"/>
  <c r="M26" i="2" l="1"/>
  <c r="M27" i="2" s="1"/>
  <c r="M28" i="2" l="1"/>
  <c r="M30" i="2" l="1"/>
  <c r="M38" i="2"/>
  <c r="N25" i="2" l="1"/>
  <c r="U25" i="2" s="1"/>
  <c r="N26" i="2" l="1"/>
  <c r="N27" i="2" s="1"/>
  <c r="U27" i="2" s="1"/>
  <c r="N28" i="2" l="1"/>
  <c r="N30" i="2" l="1"/>
  <c r="N38" i="2"/>
  <c r="U38" i="2" s="1"/>
  <c r="V25" i="2" l="1"/>
  <c r="U18" i="2" l="1"/>
  <c r="U35" i="2" s="1"/>
  <c r="U24" i="2" l="1"/>
  <c r="U36" i="2" l="1"/>
  <c r="U26" i="2"/>
  <c r="U28" i="2" l="1"/>
  <c r="Y36" i="2"/>
  <c r="W36" i="2"/>
  <c r="U30" i="2" l="1"/>
  <c r="V26" i="2"/>
  <c r="V27" i="2" s="1"/>
  <c r="V36" i="2"/>
  <c r="X36" i="2"/>
  <c r="V28" i="2" l="1"/>
  <c r="V30" i="2" l="1"/>
  <c r="V38" i="2"/>
  <c r="W25" i="2" s="1"/>
  <c r="W26" i="2" s="1"/>
  <c r="W27" i="2" s="1"/>
  <c r="W28" i="2" l="1"/>
  <c r="W30" i="2" l="1"/>
  <c r="W38" i="2"/>
  <c r="X25" i="2" l="1"/>
  <c r="X26" i="2" s="1"/>
  <c r="X27" i="2" s="1"/>
  <c r="X28" i="2" l="1"/>
  <c r="X30" i="2" l="1"/>
  <c r="X38" i="2"/>
  <c r="Y25" i="2" l="1"/>
  <c r="Y26" i="2" s="1"/>
  <c r="Y27" i="2" s="1"/>
  <c r="Y28" i="2" l="1"/>
  <c r="Y30" i="2" l="1"/>
  <c r="Z28" i="2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EF28" i="2" s="1"/>
  <c r="EG28" i="2" s="1"/>
  <c r="EH28" i="2" s="1"/>
  <c r="EI28" i="2" s="1"/>
  <c r="EJ28" i="2" s="1"/>
  <c r="EK28" i="2" s="1"/>
  <c r="EL28" i="2" s="1"/>
  <c r="EM28" i="2" s="1"/>
  <c r="EN28" i="2" s="1"/>
  <c r="EO28" i="2" s="1"/>
  <c r="EP28" i="2" s="1"/>
  <c r="EQ28" i="2" s="1"/>
  <c r="ER28" i="2" s="1"/>
  <c r="ES28" i="2" s="1"/>
  <c r="ET28" i="2" s="1"/>
  <c r="EU28" i="2" s="1"/>
  <c r="EV28" i="2" s="1"/>
  <c r="EW28" i="2" s="1"/>
  <c r="EX28" i="2" s="1"/>
  <c r="EY28" i="2" s="1"/>
  <c r="EZ28" i="2" s="1"/>
  <c r="FA28" i="2" s="1"/>
  <c r="FB28" i="2" s="1"/>
  <c r="FC28" i="2" s="1"/>
  <c r="FD28" i="2" s="1"/>
  <c r="FE28" i="2" s="1"/>
  <c r="FF28" i="2" s="1"/>
  <c r="FG28" i="2" s="1"/>
  <c r="FH28" i="2" s="1"/>
  <c r="FI28" i="2" s="1"/>
  <c r="FJ28" i="2" s="1"/>
  <c r="FK28" i="2" s="1"/>
  <c r="FL28" i="2" s="1"/>
  <c r="FM28" i="2" s="1"/>
  <c r="FN28" i="2" s="1"/>
  <c r="FO28" i="2" s="1"/>
  <c r="Y38" i="2"/>
  <c r="Z62" i="2"/>
  <c r="AA62" i="2" l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Y62" i="2" s="1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BJ62" i="2" s="1"/>
  <c r="BK62" i="2" s="1"/>
  <c r="BL62" i="2" s="1"/>
  <c r="BM62" i="2" s="1"/>
  <c r="BN62" i="2" s="1"/>
  <c r="BO62" i="2" s="1"/>
  <c r="BP62" i="2" s="1"/>
  <c r="BQ62" i="2" s="1"/>
  <c r="BR62" i="2" s="1"/>
  <c r="BS62" i="2" s="1"/>
  <c r="BT62" i="2" s="1"/>
  <c r="BU62" i="2" s="1"/>
  <c r="BV62" i="2" s="1"/>
  <c r="BW62" i="2" s="1"/>
  <c r="BX62" i="2" s="1"/>
  <c r="BY62" i="2" s="1"/>
  <c r="BZ62" i="2" s="1"/>
  <c r="CA62" i="2" s="1"/>
  <c r="CB62" i="2" s="1"/>
  <c r="CC62" i="2" s="1"/>
  <c r="CD62" i="2" s="1"/>
  <c r="CE62" i="2" s="1"/>
  <c r="CF62" i="2" s="1"/>
  <c r="CG62" i="2" s="1"/>
  <c r="CH62" i="2" s="1"/>
  <c r="CI62" i="2" s="1"/>
  <c r="CJ62" i="2" s="1"/>
  <c r="CK62" i="2" s="1"/>
  <c r="CL62" i="2" s="1"/>
  <c r="CM62" i="2" s="1"/>
  <c r="CN62" i="2" s="1"/>
  <c r="CO62" i="2" s="1"/>
  <c r="CP62" i="2" s="1"/>
  <c r="CQ62" i="2" s="1"/>
  <c r="CR62" i="2" s="1"/>
  <c r="CS62" i="2" s="1"/>
  <c r="CT62" i="2" s="1"/>
  <c r="CU62" i="2" s="1"/>
  <c r="CV62" i="2" s="1"/>
  <c r="CW62" i="2" s="1"/>
  <c r="CX62" i="2" s="1"/>
  <c r="CY62" i="2" s="1"/>
  <c r="CZ62" i="2" s="1"/>
  <c r="DA62" i="2" s="1"/>
  <c r="DB62" i="2" s="1"/>
  <c r="DC62" i="2" s="1"/>
  <c r="DD62" i="2" s="1"/>
  <c r="DE62" i="2" s="1"/>
  <c r="DF62" i="2" s="1"/>
  <c r="DG62" i="2" s="1"/>
  <c r="DH62" i="2" s="1"/>
  <c r="DI62" i="2" s="1"/>
  <c r="DJ62" i="2" s="1"/>
  <c r="DK62" i="2" s="1"/>
  <c r="DL62" i="2" s="1"/>
  <c r="DM62" i="2" s="1"/>
  <c r="DN62" i="2" s="1"/>
  <c r="DO62" i="2" s="1"/>
  <c r="DP62" i="2" s="1"/>
  <c r="DQ62" i="2" s="1"/>
  <c r="DR62" i="2" s="1"/>
  <c r="DS62" i="2" s="1"/>
  <c r="DT62" i="2" s="1"/>
  <c r="DU62" i="2" s="1"/>
  <c r="DV62" i="2" s="1"/>
  <c r="DW62" i="2" s="1"/>
  <c r="DX62" i="2" s="1"/>
  <c r="DY62" i="2" s="1"/>
  <c r="DZ62" i="2" s="1"/>
  <c r="EA62" i="2" s="1"/>
  <c r="EB62" i="2" s="1"/>
  <c r="EC62" i="2" s="1"/>
  <c r="ED62" i="2" s="1"/>
  <c r="EE62" i="2" s="1"/>
  <c r="EF62" i="2" s="1"/>
  <c r="EG62" i="2" s="1"/>
  <c r="EH62" i="2" s="1"/>
  <c r="EI62" i="2" s="1"/>
  <c r="EJ62" i="2" s="1"/>
  <c r="EK62" i="2" s="1"/>
  <c r="EL62" i="2" s="1"/>
  <c r="EM62" i="2" s="1"/>
  <c r="EN62" i="2" s="1"/>
  <c r="EO62" i="2" s="1"/>
  <c r="EP62" i="2" s="1"/>
  <c r="EQ62" i="2" s="1"/>
  <c r="ER62" i="2" s="1"/>
  <c r="ES62" i="2" s="1"/>
  <c r="ET62" i="2" s="1"/>
  <c r="EU62" i="2" s="1"/>
  <c r="EV62" i="2" s="1"/>
  <c r="EW62" i="2" s="1"/>
  <c r="EX62" i="2" s="1"/>
  <c r="EY62" i="2" s="1"/>
  <c r="EZ62" i="2" s="1"/>
  <c r="FA62" i="2" s="1"/>
  <c r="FB62" i="2" s="1"/>
  <c r="FC62" i="2" s="1"/>
  <c r="FD62" i="2" s="1"/>
  <c r="FE62" i="2" s="1"/>
  <c r="FF62" i="2" s="1"/>
  <c r="FG62" i="2" s="1"/>
  <c r="FH62" i="2" s="1"/>
  <c r="FI62" i="2" s="1"/>
  <c r="FJ62" i="2" s="1"/>
  <c r="FK62" i="2" s="1"/>
  <c r="FL62" i="2" s="1"/>
  <c r="AB34" i="2" l="1"/>
  <c r="AB3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tc={E08E663B-E6FF-4519-ACCD-64D986B4295F}</author>
    <author>tc={719AD843-92C6-4077-8744-3F10069976E9}</author>
    <author>tc={313F7BFC-EC3B-4EE9-9785-28F2684B236B}</author>
    <author>tc={5294E4A3-2350-4371-8F01-98DE0F9E65EA}</author>
  </authors>
  <commentList>
    <comment ref="M14" authorId="0" shapeId="0" xr:uid="{E08E663B-E6FF-4519-ACCD-64D986B4295F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  <comment ref="U30" authorId="1" shapeId="0" xr:uid="{719AD843-92C6-4077-8744-3F10069976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5.00 guidance
</t>
      </text>
    </comment>
    <comment ref="U61" authorId="2" shapeId="0" xr:uid="{313F7BFC-EC3B-4EE9-9785-28F2684B236B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  <comment ref="U62" authorId="3" shapeId="0" xr:uid="{5294E4A3-2350-4371-8F01-98DE0F9E65EA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</commentList>
</comments>
</file>

<file path=xl/sharedStrings.xml><?xml version="1.0" encoding="utf-8"?>
<sst xmlns="http://schemas.openxmlformats.org/spreadsheetml/2006/main" count="94" uniqueCount="88">
  <si>
    <t>Price</t>
  </si>
  <si>
    <t>Shares</t>
  </si>
  <si>
    <t>MC</t>
  </si>
  <si>
    <t>Cash</t>
  </si>
  <si>
    <t>Debt</t>
  </si>
  <si>
    <t>EV</t>
  </si>
  <si>
    <t>EPS</t>
  </si>
  <si>
    <t>Q124</t>
  </si>
  <si>
    <t>Q224</t>
  </si>
  <si>
    <t>Q324</t>
  </si>
  <si>
    <t>Q424</t>
  </si>
  <si>
    <t>Q125</t>
  </si>
  <si>
    <t>Q225</t>
  </si>
  <si>
    <t>Revenue</t>
  </si>
  <si>
    <t>Transaction Expense</t>
  </si>
  <si>
    <t>S&amp;M</t>
  </si>
  <si>
    <t>R&amp;D</t>
  </si>
  <si>
    <t>G&amp;A</t>
  </si>
  <si>
    <t>Operating Income</t>
  </si>
  <si>
    <t>Pretax Income</t>
  </si>
  <si>
    <t>Tax</t>
  </si>
  <si>
    <t>Net Income</t>
  </si>
  <si>
    <t>Revenue Growth y/y</t>
  </si>
  <si>
    <t>Revenue Growth q/q</t>
  </si>
  <si>
    <t>Gross Margin</t>
  </si>
  <si>
    <t>Operating Margin</t>
  </si>
  <si>
    <t>CFFO</t>
  </si>
  <si>
    <t>CX</t>
  </si>
  <si>
    <t>FCF</t>
  </si>
  <si>
    <t>COGS</t>
  </si>
  <si>
    <t>Gross Profit</t>
  </si>
  <si>
    <t>Net Cash</t>
  </si>
  <si>
    <t>AP</t>
  </si>
  <si>
    <t>AR</t>
  </si>
  <si>
    <t>NPV</t>
  </si>
  <si>
    <t>Maturity</t>
  </si>
  <si>
    <t>Discount</t>
  </si>
  <si>
    <t>ROIC</t>
  </si>
  <si>
    <t>Q123</t>
  </si>
  <si>
    <t>Q223</t>
  </si>
  <si>
    <t>Q323</t>
  </si>
  <si>
    <t>Q423</t>
  </si>
  <si>
    <t>Support &amp; Operations</t>
  </si>
  <si>
    <t>Interest</t>
  </si>
  <si>
    <t>Q325</t>
  </si>
  <si>
    <t>Q425</t>
  </si>
  <si>
    <t>Questions</t>
  </si>
  <si>
    <t>Do they have an advantage in the payments industry or just a large moat of integrations?</t>
  </si>
  <si>
    <t>TPV</t>
  </si>
  <si>
    <t>Venmo TPV</t>
  </si>
  <si>
    <t>Transaction &amp; Credit Loss</t>
  </si>
  <si>
    <t>P2P TPV</t>
  </si>
  <si>
    <t>US TPV</t>
  </si>
  <si>
    <t>International TPV</t>
  </si>
  <si>
    <t>Total Take Rate</t>
  </si>
  <si>
    <t>Transaction Take Rate</t>
  </si>
  <si>
    <t>Main</t>
  </si>
  <si>
    <t>Share</t>
  </si>
  <si>
    <t>Loans</t>
  </si>
  <si>
    <t>Customer Acccounts</t>
  </si>
  <si>
    <t>Prepaids</t>
  </si>
  <si>
    <t>Investments</t>
  </si>
  <si>
    <t>PP&amp;E</t>
  </si>
  <si>
    <t>GW</t>
  </si>
  <si>
    <t>Intangible Assets</t>
  </si>
  <si>
    <t>Other Assets</t>
  </si>
  <si>
    <t>Assets</t>
  </si>
  <si>
    <t>Funds Payable</t>
  </si>
  <si>
    <t>Accrued Expenses</t>
  </si>
  <si>
    <t>OLTL</t>
  </si>
  <si>
    <t>Liabilities</t>
  </si>
  <si>
    <t>SE</t>
  </si>
  <si>
    <t>L+SE</t>
  </si>
  <si>
    <t>Other</t>
  </si>
  <si>
    <t>Operating Expenses</t>
  </si>
  <si>
    <t>PayPal partnering with LLMs for payment systems (perplexity)</t>
  </si>
  <si>
    <t xml:space="preserve">International is the growth factor US is stable </t>
  </si>
  <si>
    <t>PayPal moat consists of large integration and deals with many platforms and payment processing</t>
  </si>
  <si>
    <t>"pay with crypto take rate is quite attractive"</t>
  </si>
  <si>
    <t>Q225 conference call</t>
  </si>
  <si>
    <t>BNPL, pay w/crypto, venmo, paypal</t>
  </si>
  <si>
    <t>"we're really pushing on BNPL right now"</t>
  </si>
  <si>
    <t>"ping our API first and we will tell you exactly what this customer wants"</t>
  </si>
  <si>
    <t>"accelerate adoption in europe integrations"</t>
  </si>
  <si>
    <t>"continue to take share in europe"</t>
  </si>
  <si>
    <t>"accelerate rate of growth over next few quarters and years focus on branded checkout"</t>
  </si>
  <si>
    <t>"3 milliion since launch NFT tap to pay; reward system"</t>
  </si>
  <si>
    <t>offline and online expansion end-end full wallet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</si>
</sst>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3" fontId="5" fillId="0" borderId="0" xfId="0" applyNumberFormat="1" applyFont="1"/>
    <xf numFmtId="1" fontId="5" fillId="0" borderId="0" xfId="0" applyNumberFormat="1" applyFont="1"/>
    <xf numFmtId="3" fontId="6" fillId="0" borderId="0" xfId="0" applyNumberFormat="1" applyFont="1"/>
    <xf numFmtId="9" fontId="5" fillId="0" borderId="0" xfId="0" applyNumberFormat="1" applyFont="1"/>
    <xf numFmtId="4" fontId="5" fillId="0" borderId="0" xfId="0" applyNumberFormat="1" applyFont="1"/>
    <xf numFmtId="164" fontId="5" fillId="0" borderId="0" xfId="0" applyNumberFormat="1" applyFont="1"/>
    <xf numFmtId="9" fontId="6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7" fillId="0" borderId="0" xfId="0" applyFont="1"/>
    <xf numFmtId="3" fontId="3" fillId="0" borderId="0" xfId="0" applyNumberFormat="1" applyFont="1"/>
    <xf numFmtId="0" fontId="3" fillId="0" borderId="0" xfId="0" applyFont="1"/>
    <xf numFmtId="3" fontId="9" fillId="0" borderId="0" xfId="1" applyNumberFormat="1" applyFont="1"/>
    <xf numFmtId="14" fontId="3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605204</xdr:colOff>
      <xdr:row>0</xdr:row>
      <xdr:rowOff>0</xdr:rowOff>
    </xdr:from>
    <xdr:to>
      <xdr:col>12</xdr:col>
      <xdr:colOff>7327</xdr:colOff>
      <xdr:row>60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D7B2EEE-1EBF-8D54-931C-380CB534A122}"/>
            </a:ext>
          </a:extLst>
        </xdr:cNvPr>
        <xdr:cNvCxnSpPr/>
      </xdr:nvCxnSpPr>
      <xdr:spPr>
        <a:xfrm flipH="1">
          <a:off x="7902819" y="0"/>
          <a:ext cx="10258" cy="902676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600075</xdr:colOff>
      <xdr:row>1</xdr:row>
      <xdr:rowOff>0</xdr:rowOff>
    </xdr:from>
    <xdr:to>
      <xdr:col>20</xdr:col>
      <xdr:colOff>9525</xdr:colOff>
      <xdr:row>60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D065DD2-1077-48EE-AFF9-BEA29E8B2616}"/>
            </a:ext>
          </a:extLst>
        </xdr:cNvPr>
        <xdr:cNvCxnSpPr/>
      </xdr:nvCxnSpPr>
      <xdr:spPr>
        <a:xfrm flipH="1">
          <a:off x="12425729" y="0"/>
          <a:ext cx="17584" cy="886557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DCC0CF0B-BEE1-42A7-82C4-CB859031A168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4" dT="2025-08-15T00:45:21.66" personId="{DCC0CF0B-BEE1-42A7-82C4-CB859031A168}" id="{E08E663B-E6FF-4519-ACCD-64D986B4295F}">
    <text>guidance</text>
  </threadedComment>
  <threadedComment ref="U30" dT="2025-08-15T00:46:58.66" personId="{DCC0CF0B-BEE1-42A7-82C4-CB859031A168}" id="{719AD843-92C6-4077-8744-3F10069976E9}">
    <text xml:space="preserve">5.00 guidance
</text>
  </threadedComment>
  <threadedComment ref="U61" dT="2025-08-15T00:46:13.24" personId="{DCC0CF0B-BEE1-42A7-82C4-CB859031A168}" id="{313F7BFC-EC3B-4EE9-9785-28F2684B236B}">
    <text>guidance</text>
  </threadedComment>
  <threadedComment ref="U62" dT="2025-08-15T00:38:08.49" personId="{DCC0CF0B-BEE1-42A7-82C4-CB859031A168}" id="{5294E4A3-2350-4371-8F01-98DE0F9E65EA}">
    <text>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B345-9A71-4A10-9FCC-8B1DB985BF5A}">
  <dimension ref="A1:K25"/>
  <sheetViews>
    <sheetView zoomScale="115" zoomScaleNormal="115" workbookViewId="0">
      <selection activeCell="F14" sqref="F14"/>
    </sheetView>
  </sheetViews>
  <sheetFormatPr defaultRowHeight="12.75" x14ac:dyDescent="0.2"/>
  <cols>
    <col min="1" max="16384" width="9.140625" style="9"/>
  </cols>
  <sheetData>
    <row r="1" spans="1:11" x14ac:dyDescent="0.2">
      <c r="A1" s="8"/>
    </row>
    <row r="2" spans="1:11" x14ac:dyDescent="0.2">
      <c r="I2" s="9" t="s">
        <v>0</v>
      </c>
      <c r="J2" s="5">
        <v>69</v>
      </c>
    </row>
    <row r="3" spans="1:11" x14ac:dyDescent="0.2">
      <c r="I3" s="9" t="s">
        <v>1</v>
      </c>
      <c r="J3" s="1">
        <f>955.3784</f>
        <v>955.37840000000006</v>
      </c>
      <c r="K3" s="13" t="s">
        <v>12</v>
      </c>
    </row>
    <row r="4" spans="1:11" x14ac:dyDescent="0.2">
      <c r="I4" s="9" t="s">
        <v>2</v>
      </c>
      <c r="J4" s="1">
        <f>J3*J2</f>
        <v>65921.109600000011</v>
      </c>
    </row>
    <row r="5" spans="1:11" x14ac:dyDescent="0.2">
      <c r="I5" s="9" t="s">
        <v>3</v>
      </c>
      <c r="J5" s="1">
        <f>7449+3762</f>
        <v>11211</v>
      </c>
      <c r="K5" s="13" t="s">
        <v>12</v>
      </c>
    </row>
    <row r="6" spans="1:11" x14ac:dyDescent="0.2">
      <c r="I6" s="9" t="s">
        <v>4</v>
      </c>
      <c r="J6" s="1">
        <f>11417+2981</f>
        <v>14398</v>
      </c>
      <c r="K6" s="13" t="s">
        <v>12</v>
      </c>
    </row>
    <row r="7" spans="1:11" x14ac:dyDescent="0.2">
      <c r="I7" s="9" t="s">
        <v>5</v>
      </c>
      <c r="J7" s="1">
        <f>J4+J6-J5</f>
        <v>69108.109600000011</v>
      </c>
    </row>
    <row r="9" spans="1:11" x14ac:dyDescent="0.2">
      <c r="F9" s="11" t="s">
        <v>46</v>
      </c>
    </row>
    <row r="10" spans="1:11" x14ac:dyDescent="0.2">
      <c r="F10" s="10" t="s">
        <v>47</v>
      </c>
    </row>
    <row r="11" spans="1:11" x14ac:dyDescent="0.2">
      <c r="F11" s="13" t="s">
        <v>76</v>
      </c>
    </row>
    <row r="13" spans="1:11" x14ac:dyDescent="0.2">
      <c r="F13" s="13" t="s">
        <v>75</v>
      </c>
    </row>
    <row r="14" spans="1:11" x14ac:dyDescent="0.2">
      <c r="B14" s="13"/>
      <c r="F14" s="13" t="s">
        <v>77</v>
      </c>
    </row>
    <row r="15" spans="1:11" x14ac:dyDescent="0.2">
      <c r="F15" s="13" t="s">
        <v>80</v>
      </c>
    </row>
    <row r="17" spans="6:6" x14ac:dyDescent="0.2">
      <c r="F17" s="13" t="s">
        <v>79</v>
      </c>
    </row>
    <row r="18" spans="6:6" x14ac:dyDescent="0.2">
      <c r="F18" s="13" t="s">
        <v>78</v>
      </c>
    </row>
    <row r="19" spans="6:6" x14ac:dyDescent="0.2">
      <c r="F19" s="13" t="s">
        <v>81</v>
      </c>
    </row>
    <row r="20" spans="6:6" x14ac:dyDescent="0.2">
      <c r="F20" s="13" t="s">
        <v>82</v>
      </c>
    </row>
    <row r="21" spans="6:6" x14ac:dyDescent="0.2">
      <c r="F21" s="13" t="s">
        <v>83</v>
      </c>
    </row>
    <row r="22" spans="6:6" x14ac:dyDescent="0.2">
      <c r="F22" s="13" t="s">
        <v>84</v>
      </c>
    </row>
    <row r="23" spans="6:6" x14ac:dyDescent="0.2">
      <c r="F23" s="13" t="s">
        <v>85</v>
      </c>
    </row>
    <row r="24" spans="6:6" x14ac:dyDescent="0.2">
      <c r="F24" s="13" t="s">
        <v>86</v>
      </c>
    </row>
    <row r="25" spans="6:6" x14ac:dyDescent="0.2">
      <c r="F25" s="13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E4BD-0CCB-4B4B-8440-0A8537A331C4}">
  <dimension ref="A1:FO62"/>
  <sheetViews>
    <sheetView tabSelected="1" zoomScale="130" zoomScaleNormal="130" workbookViewId="0">
      <pane xSplit="2" ySplit="2" topLeftCell="S12" activePane="bottomRight" state="frozen"/>
      <selection pane="topRight" activeCell="B1" sqref="B1"/>
      <selection pane="bottomLeft" activeCell="A2" sqref="A2"/>
      <selection pane="bottomRight" activeCell="AB33" sqref="AB33"/>
    </sheetView>
  </sheetViews>
  <sheetFormatPr defaultRowHeight="12.75" x14ac:dyDescent="0.2"/>
  <cols>
    <col min="1" max="1" width="5" style="1" bestFit="1" customWidth="1"/>
    <col min="2" max="2" width="22.85546875" style="1" bestFit="1" customWidth="1"/>
    <col min="3" max="9" width="9.140625" style="1"/>
    <col min="10" max="10" width="9.140625" style="1" customWidth="1"/>
    <col min="11" max="12" width="9.140625" style="1"/>
    <col min="13" max="13" width="10.140625" style="1" bestFit="1" customWidth="1"/>
    <col min="14" max="28" width="9.140625" style="1"/>
    <col min="29" max="29" width="9.85546875" style="1" bestFit="1" customWidth="1"/>
    <col min="30" max="16384" width="9.140625" style="1"/>
  </cols>
  <sheetData>
    <row r="1" spans="1:27" x14ac:dyDescent="0.2">
      <c r="A1" s="14" t="s">
        <v>56</v>
      </c>
      <c r="M1" s="15">
        <v>45958</v>
      </c>
    </row>
    <row r="2" spans="1:27" x14ac:dyDescent="0.2">
      <c r="C2" s="1" t="s">
        <v>38</v>
      </c>
      <c r="D2" s="1" t="s">
        <v>39</v>
      </c>
      <c r="E2" s="1" t="s">
        <v>40</v>
      </c>
      <c r="F2" s="1" t="s">
        <v>41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44</v>
      </c>
      <c r="N2" s="1" t="s">
        <v>45</v>
      </c>
      <c r="P2" s="2">
        <v>2020</v>
      </c>
      <c r="Q2" s="2">
        <f>P2+1</f>
        <v>2021</v>
      </c>
      <c r="R2" s="2">
        <f t="shared" ref="R2:Y2" si="0">Q2+1</f>
        <v>2022</v>
      </c>
      <c r="S2" s="2">
        <f t="shared" si="0"/>
        <v>2023</v>
      </c>
      <c r="T2" s="2">
        <f t="shared" si="0"/>
        <v>2024</v>
      </c>
      <c r="U2" s="2">
        <f t="shared" si="0"/>
        <v>2025</v>
      </c>
      <c r="V2" s="2">
        <f t="shared" si="0"/>
        <v>2026</v>
      </c>
      <c r="W2" s="2">
        <f t="shared" si="0"/>
        <v>2027</v>
      </c>
      <c r="X2" s="2">
        <f t="shared" si="0"/>
        <v>2028</v>
      </c>
      <c r="Y2" s="2">
        <f t="shared" si="0"/>
        <v>2029</v>
      </c>
    </row>
    <row r="3" spans="1:27" x14ac:dyDescent="0.2">
      <c r="B3" s="12" t="s">
        <v>52</v>
      </c>
      <c r="G3" s="1">
        <v>259190</v>
      </c>
      <c r="H3" s="1">
        <v>265526</v>
      </c>
      <c r="I3" s="1">
        <v>265706</v>
      </c>
      <c r="J3" s="1">
        <v>275911</v>
      </c>
      <c r="K3" s="1">
        <v>269916</v>
      </c>
      <c r="L3" s="1">
        <v>276778</v>
      </c>
      <c r="M3" s="4"/>
      <c r="P3" s="2"/>
      <c r="Q3" s="2"/>
      <c r="R3" s="2"/>
      <c r="S3" s="2"/>
      <c r="T3" s="1">
        <f>SUM(G3:J3)</f>
        <v>1066333</v>
      </c>
      <c r="V3" s="2"/>
      <c r="W3" s="2"/>
      <c r="X3" s="2"/>
      <c r="Y3" s="2"/>
    </row>
    <row r="4" spans="1:27" x14ac:dyDescent="0.2">
      <c r="B4" s="12" t="s">
        <v>53</v>
      </c>
      <c r="G4" s="1">
        <v>144671</v>
      </c>
      <c r="H4" s="1">
        <v>151288</v>
      </c>
      <c r="I4" s="1">
        <v>156934</v>
      </c>
      <c r="J4" s="1">
        <v>161925</v>
      </c>
      <c r="K4" s="1">
        <v>147293</v>
      </c>
      <c r="L4" s="1">
        <v>166768</v>
      </c>
      <c r="M4" s="4"/>
      <c r="P4" s="2"/>
      <c r="Q4" s="2"/>
      <c r="R4" s="2"/>
      <c r="S4" s="2"/>
      <c r="T4" s="1">
        <f>SUM(G4:J4)</f>
        <v>614818</v>
      </c>
      <c r="V4" s="2"/>
      <c r="W4" s="2"/>
      <c r="X4" s="2"/>
      <c r="Y4" s="2"/>
    </row>
    <row r="5" spans="1:27" x14ac:dyDescent="0.2">
      <c r="B5" s="12" t="s">
        <v>48</v>
      </c>
      <c r="F5" s="1">
        <v>409832</v>
      </c>
      <c r="G5" s="1">
        <f>SUM(G3:G4)</f>
        <v>403861</v>
      </c>
      <c r="H5" s="1">
        <f t="shared" ref="H5:L5" si="1">SUM(H3:H4)</f>
        <v>416814</v>
      </c>
      <c r="I5" s="1">
        <f t="shared" si="1"/>
        <v>422640</v>
      </c>
      <c r="J5" s="1">
        <f t="shared" si="1"/>
        <v>437836</v>
      </c>
      <c r="K5" s="1">
        <f t="shared" si="1"/>
        <v>417209</v>
      </c>
      <c r="L5" s="1">
        <f t="shared" si="1"/>
        <v>443546</v>
      </c>
      <c r="M5" s="1">
        <f>M13/M10</f>
        <v>449296.84210526315</v>
      </c>
      <c r="N5" s="1">
        <f>N13/N10</f>
        <v>462775.74736842106</v>
      </c>
      <c r="P5" s="2"/>
      <c r="Q5" s="2"/>
      <c r="R5" s="2"/>
      <c r="S5" s="2"/>
      <c r="T5" s="1">
        <f>SUM(G5:J5)</f>
        <v>1681151</v>
      </c>
      <c r="U5" s="1">
        <f>SUM(H5:K5)</f>
        <v>1694499</v>
      </c>
      <c r="V5" s="2"/>
      <c r="W5" s="2"/>
      <c r="X5" s="2"/>
      <c r="Y5" s="2"/>
    </row>
    <row r="6" spans="1:27" x14ac:dyDescent="0.2">
      <c r="B6" s="12"/>
      <c r="J6" s="4"/>
      <c r="K6" s="4"/>
      <c r="L6" s="4"/>
      <c r="M6" s="4"/>
      <c r="N6" s="4"/>
      <c r="P6" s="2"/>
      <c r="Q6" s="2"/>
      <c r="R6" s="2"/>
      <c r="S6" s="2"/>
      <c r="T6" s="2"/>
      <c r="U6" s="4"/>
      <c r="V6" s="2"/>
      <c r="W6" s="2"/>
      <c r="X6" s="2"/>
      <c r="Y6" s="2"/>
    </row>
    <row r="7" spans="1:27" x14ac:dyDescent="0.2">
      <c r="B7" s="12" t="s">
        <v>51</v>
      </c>
      <c r="G7" s="1">
        <v>96361</v>
      </c>
      <c r="H7" s="1">
        <v>100802</v>
      </c>
      <c r="I7" s="1">
        <v>102353</v>
      </c>
      <c r="J7" s="1">
        <v>102663</v>
      </c>
      <c r="K7" s="1">
        <v>101383</v>
      </c>
      <c r="L7" s="1">
        <v>108442</v>
      </c>
      <c r="P7" s="2"/>
      <c r="Q7" s="2"/>
      <c r="R7" s="2"/>
      <c r="S7" s="2"/>
      <c r="T7" s="1">
        <f>SUM(G7:J7)</f>
        <v>402179</v>
      </c>
      <c r="U7" s="2"/>
      <c r="V7" s="2"/>
      <c r="W7" s="2"/>
      <c r="X7" s="2"/>
      <c r="Y7" s="2"/>
    </row>
    <row r="8" spans="1:27" x14ac:dyDescent="0.2">
      <c r="B8" s="12" t="s">
        <v>49</v>
      </c>
      <c r="G8" s="1">
        <v>69265</v>
      </c>
      <c r="H8" s="1">
        <v>73290</v>
      </c>
      <c r="I8" s="1">
        <v>74848</v>
      </c>
      <c r="J8" s="1">
        <v>75610</v>
      </c>
      <c r="K8" s="1">
        <v>75942</v>
      </c>
      <c r="L8" s="1">
        <v>81976</v>
      </c>
      <c r="P8" s="2"/>
      <c r="Q8" s="2"/>
      <c r="R8" s="2"/>
      <c r="S8" s="2"/>
      <c r="T8" s="1">
        <f>SUM(G8:J8)</f>
        <v>293013</v>
      </c>
      <c r="U8" s="2"/>
      <c r="V8" s="2"/>
      <c r="W8" s="2"/>
      <c r="X8" s="2"/>
      <c r="Y8" s="2"/>
    </row>
    <row r="9" spans="1:27" x14ac:dyDescent="0.2">
      <c r="B9" s="12"/>
      <c r="K9" s="4"/>
      <c r="L9" s="4"/>
      <c r="M9" s="4"/>
      <c r="N9" s="4"/>
      <c r="P9" s="2"/>
      <c r="Q9" s="2"/>
      <c r="R9" s="2"/>
      <c r="S9" s="2"/>
      <c r="T9" s="4"/>
      <c r="U9" s="2"/>
      <c r="V9" s="2"/>
      <c r="W9" s="2"/>
      <c r="X9" s="2"/>
      <c r="Y9" s="2"/>
    </row>
    <row r="10" spans="1:27" x14ac:dyDescent="0.2">
      <c r="B10" s="12" t="s">
        <v>54</v>
      </c>
      <c r="G10" s="6">
        <v>1.9099999999999999E-2</v>
      </c>
      <c r="H10" s="6">
        <v>1.89E-2</v>
      </c>
      <c r="I10" s="6">
        <v>1.8599999999999998E-2</v>
      </c>
      <c r="J10" s="6">
        <v>1.9099999999999999E-2</v>
      </c>
      <c r="K10" s="6">
        <v>1.8700000000000001E-2</v>
      </c>
      <c r="L10" s="6">
        <v>1.8700000000000001E-2</v>
      </c>
      <c r="M10" s="6">
        <v>1.9E-2</v>
      </c>
      <c r="N10" s="6">
        <v>1.9E-2</v>
      </c>
      <c r="P10" s="2"/>
      <c r="Q10" s="2"/>
      <c r="R10" s="2"/>
      <c r="S10" s="2"/>
      <c r="T10" s="6">
        <f>AVERAGE(G10:J10)</f>
        <v>1.8924999999999997E-2</v>
      </c>
      <c r="U10" s="2"/>
      <c r="V10" s="2"/>
      <c r="W10" s="2"/>
      <c r="X10" s="2"/>
      <c r="Y10" s="2"/>
    </row>
    <row r="11" spans="1:27" x14ac:dyDescent="0.2">
      <c r="B11" s="12" t="s">
        <v>55</v>
      </c>
      <c r="G11" s="6">
        <v>1.7399999999999999E-2</v>
      </c>
      <c r="H11" s="6">
        <v>1.72E-2</v>
      </c>
      <c r="I11" s="6">
        <v>1.67E-2</v>
      </c>
      <c r="J11" s="6">
        <v>1.7299999999999999E-2</v>
      </c>
      <c r="K11" s="6">
        <v>1.6799999999999999E-2</v>
      </c>
      <c r="L11" s="6">
        <v>1.6799999999999999E-2</v>
      </c>
      <c r="M11" s="6">
        <v>1.72E-2</v>
      </c>
      <c r="N11" s="6">
        <v>1.72E-2</v>
      </c>
      <c r="P11" s="2"/>
      <c r="Q11" s="2"/>
      <c r="R11" s="2"/>
      <c r="S11" s="2"/>
      <c r="T11" s="6">
        <f>AVERAGE(G11:J11)</f>
        <v>1.7149999999999999E-2</v>
      </c>
      <c r="U11" s="2"/>
      <c r="V11" s="2"/>
      <c r="W11" s="2"/>
      <c r="X11" s="2"/>
      <c r="Y11" s="2"/>
    </row>
    <row r="12" spans="1:27" x14ac:dyDescent="0.2">
      <c r="P12" s="2"/>
      <c r="Q12" s="2"/>
      <c r="R12" s="2"/>
      <c r="S12" s="4"/>
      <c r="T12" s="2"/>
      <c r="U12" s="2"/>
      <c r="V12" s="2"/>
      <c r="W12" s="2"/>
      <c r="X12" s="2"/>
      <c r="Y12" s="2"/>
    </row>
    <row r="13" spans="1:27" s="3" customFormat="1" x14ac:dyDescent="0.2">
      <c r="B13" s="3" t="s">
        <v>13</v>
      </c>
      <c r="C13" s="3">
        <v>7040</v>
      </c>
      <c r="D13" s="3">
        <v>7287</v>
      </c>
      <c r="E13" s="3">
        <v>7418</v>
      </c>
      <c r="F13" s="3">
        <v>8026</v>
      </c>
      <c r="G13" s="3">
        <v>7699</v>
      </c>
      <c r="H13" s="3">
        <v>7885</v>
      </c>
      <c r="I13" s="3">
        <v>7847</v>
      </c>
      <c r="J13" s="3">
        <v>8366</v>
      </c>
      <c r="K13" s="3">
        <v>7791</v>
      </c>
      <c r="L13" s="3">
        <v>8288</v>
      </c>
      <c r="M13" s="3">
        <f>L13*1.03</f>
        <v>8536.64</v>
      </c>
      <c r="N13" s="3">
        <f>M13*1.03</f>
        <v>8792.7392</v>
      </c>
      <c r="R13" s="3">
        <v>27518</v>
      </c>
      <c r="S13" s="3">
        <v>29771</v>
      </c>
      <c r="T13" s="3">
        <v>31797</v>
      </c>
      <c r="U13" s="3">
        <f>SUM(K13:N13)</f>
        <v>33408.379199999996</v>
      </c>
      <c r="V13" s="3">
        <f>U13*1.05</f>
        <v>35078.798159999998</v>
      </c>
      <c r="W13" s="3">
        <f t="shared" ref="W13:Y13" si="2">V13*1.05</f>
        <v>36832.738067999999</v>
      </c>
      <c r="X13" s="3">
        <f t="shared" si="2"/>
        <v>38674.374971400001</v>
      </c>
      <c r="Y13" s="3">
        <f t="shared" si="2"/>
        <v>40608.093719970006</v>
      </c>
      <c r="AA13" s="7"/>
    </row>
    <row r="14" spans="1:27" x14ac:dyDescent="0.2">
      <c r="B14" s="1" t="s">
        <v>14</v>
      </c>
      <c r="C14" s="1">
        <v>3283</v>
      </c>
      <c r="D14" s="1">
        <v>3541</v>
      </c>
      <c r="E14" s="1">
        <v>3603</v>
      </c>
      <c r="F14" s="1">
        <v>3958</v>
      </c>
      <c r="G14" s="1">
        <v>3917</v>
      </c>
      <c r="H14" s="1">
        <v>3942</v>
      </c>
      <c r="I14" s="1">
        <v>3841</v>
      </c>
      <c r="J14" s="1">
        <v>3997</v>
      </c>
      <c r="K14" s="1">
        <v>3704</v>
      </c>
      <c r="L14" s="1">
        <v>3968</v>
      </c>
      <c r="M14" s="1">
        <v>3800</v>
      </c>
      <c r="N14" s="1">
        <f t="shared" ref="N14" si="3">M14*(1+N33)</f>
        <v>3914</v>
      </c>
      <c r="R14" s="1">
        <v>12173</v>
      </c>
      <c r="S14" s="1">
        <v>14385</v>
      </c>
      <c r="T14" s="1">
        <v>15697</v>
      </c>
      <c r="U14" s="1">
        <f>SUM(K14:N14)</f>
        <v>15386</v>
      </c>
      <c r="V14" s="1">
        <f t="shared" ref="V14:Y14" si="4">U14*(1+V32)</f>
        <v>16155.300000000001</v>
      </c>
      <c r="W14" s="1">
        <f t="shared" si="4"/>
        <v>16963.065000000002</v>
      </c>
      <c r="X14" s="1">
        <f t="shared" si="4"/>
        <v>17811.218250000002</v>
      </c>
      <c r="Y14" s="1">
        <f t="shared" si="4"/>
        <v>18701.779162500003</v>
      </c>
      <c r="Z14" s="4"/>
    </row>
    <row r="15" spans="1:27" x14ac:dyDescent="0.2">
      <c r="B15" s="12" t="s">
        <v>50</v>
      </c>
      <c r="C15" s="1">
        <v>442</v>
      </c>
      <c r="D15" s="1">
        <v>398</v>
      </c>
      <c r="E15" s="1">
        <v>446</v>
      </c>
      <c r="F15" s="1">
        <v>396</v>
      </c>
      <c r="G15" s="1">
        <v>321</v>
      </c>
      <c r="H15" s="1">
        <v>335</v>
      </c>
      <c r="I15" s="1">
        <v>352</v>
      </c>
      <c r="J15" s="1">
        <v>434</v>
      </c>
      <c r="K15" s="1">
        <v>371</v>
      </c>
      <c r="L15" s="1">
        <v>476</v>
      </c>
      <c r="M15" s="1">
        <f t="shared" ref="M15:N15" si="5">L15*(1+M33)</f>
        <v>490.28000000000003</v>
      </c>
      <c r="N15" s="1">
        <f t="shared" si="5"/>
        <v>504.98840000000007</v>
      </c>
      <c r="R15" s="1">
        <v>1572</v>
      </c>
      <c r="S15" s="1">
        <v>1682</v>
      </c>
      <c r="T15" s="1">
        <v>1442</v>
      </c>
      <c r="U15" s="1">
        <f>SUM(K15:N15)</f>
        <v>1842.2683999999999</v>
      </c>
      <c r="V15" s="1">
        <f t="shared" ref="V15:Y15" si="6">U15*(1+V32)</f>
        <v>1934.3818200000001</v>
      </c>
      <c r="W15" s="1">
        <f t="shared" si="6"/>
        <v>2031.1009110000002</v>
      </c>
      <c r="X15" s="1">
        <f t="shared" si="6"/>
        <v>2132.6559565500002</v>
      </c>
      <c r="Y15" s="1">
        <f t="shared" si="6"/>
        <v>2239.2887543775005</v>
      </c>
    </row>
    <row r="16" spans="1:27" x14ac:dyDescent="0.2">
      <c r="B16" s="1" t="s">
        <v>42</v>
      </c>
      <c r="C16" s="1">
        <v>488</v>
      </c>
      <c r="D16" s="1">
        <v>492</v>
      </c>
      <c r="E16" s="1">
        <v>474</v>
      </c>
      <c r="F16" s="1">
        <v>465</v>
      </c>
      <c r="G16" s="1">
        <v>454</v>
      </c>
      <c r="H16" s="1">
        <v>436</v>
      </c>
      <c r="I16" s="1">
        <v>427</v>
      </c>
      <c r="J16" s="1">
        <v>451</v>
      </c>
      <c r="K16" s="1">
        <v>398</v>
      </c>
      <c r="L16" s="1">
        <v>413</v>
      </c>
      <c r="M16" s="1">
        <f t="shared" ref="M16:N16" si="7">L16*(1+M33)</f>
        <v>425.39</v>
      </c>
      <c r="N16" s="1">
        <f t="shared" si="7"/>
        <v>438.15170000000001</v>
      </c>
      <c r="R16" s="1">
        <v>2120</v>
      </c>
      <c r="S16" s="1">
        <v>1919</v>
      </c>
      <c r="T16" s="1">
        <v>1768</v>
      </c>
      <c r="U16" s="1">
        <f>SUM(K16:N16)</f>
        <v>1674.5416999999998</v>
      </c>
      <c r="V16" s="1">
        <f t="shared" ref="V16:Y16" si="8">U16*(1+V32)</f>
        <v>1758.2687849999998</v>
      </c>
      <c r="W16" s="1">
        <f t="shared" si="8"/>
        <v>1846.1822242499998</v>
      </c>
      <c r="X16" s="1">
        <f t="shared" si="8"/>
        <v>1938.4913354624998</v>
      </c>
      <c r="Y16" s="1">
        <f t="shared" si="8"/>
        <v>2035.4159022356248</v>
      </c>
    </row>
    <row r="17" spans="1:171" x14ac:dyDescent="0.2">
      <c r="B17" s="1" t="s">
        <v>29</v>
      </c>
      <c r="C17" s="1">
        <f>SUM(C14:C16)</f>
        <v>4213</v>
      </c>
      <c r="D17" s="1">
        <f>SUM(D14:D16)</f>
        <v>4431</v>
      </c>
      <c r="E17" s="1">
        <f>SUM(E14:E16)</f>
        <v>4523</v>
      </c>
      <c r="F17" s="1">
        <f t="shared" ref="F17:L17" si="9">SUM(F14:F16)</f>
        <v>4819</v>
      </c>
      <c r="G17" s="1">
        <f t="shared" si="9"/>
        <v>4692</v>
      </c>
      <c r="H17" s="1">
        <f t="shared" si="9"/>
        <v>4713</v>
      </c>
      <c r="I17" s="1">
        <f t="shared" si="9"/>
        <v>4620</v>
      </c>
      <c r="J17" s="1">
        <f t="shared" si="9"/>
        <v>4882</v>
      </c>
      <c r="K17" s="1">
        <f t="shared" si="9"/>
        <v>4473</v>
      </c>
      <c r="L17" s="1">
        <f t="shared" si="9"/>
        <v>4857</v>
      </c>
      <c r="M17" s="1">
        <f t="shared" ref="M17" si="10">SUM(M14:M16)</f>
        <v>4715.67</v>
      </c>
      <c r="N17" s="1">
        <f t="shared" ref="N17:Q17" si="11">SUM(N14:N16)</f>
        <v>4857.1401000000005</v>
      </c>
      <c r="P17" s="1">
        <f t="shared" si="11"/>
        <v>0</v>
      </c>
      <c r="Q17" s="1">
        <f t="shared" si="11"/>
        <v>0</v>
      </c>
      <c r="R17" s="1">
        <f>SUM(R14:R16)</f>
        <v>15865</v>
      </c>
      <c r="S17" s="1">
        <f>SUM(S14:S16)</f>
        <v>17986</v>
      </c>
      <c r="T17" s="1">
        <f>SUM(T14:T16)</f>
        <v>18907</v>
      </c>
      <c r="U17" s="1">
        <f>SUM(U14:U16)</f>
        <v>18902.810100000002</v>
      </c>
      <c r="V17" s="1">
        <f t="shared" ref="V17:Y17" si="12">SUM(V14:V16)</f>
        <v>19847.950605000002</v>
      </c>
      <c r="W17" s="1">
        <f t="shared" si="12"/>
        <v>20840.348135250002</v>
      </c>
      <c r="X17" s="1">
        <f t="shared" si="12"/>
        <v>21882.3655420125</v>
      </c>
      <c r="Y17" s="1">
        <f t="shared" si="12"/>
        <v>22976.483819113128</v>
      </c>
    </row>
    <row r="18" spans="1:171" x14ac:dyDescent="0.2">
      <c r="B18" s="1" t="s">
        <v>30</v>
      </c>
      <c r="C18" s="1">
        <f>C13-C17</f>
        <v>2827</v>
      </c>
      <c r="D18" s="1">
        <f>D13-D17</f>
        <v>2856</v>
      </c>
      <c r="E18" s="1">
        <f>E13-E17</f>
        <v>2895</v>
      </c>
      <c r="F18" s="1">
        <f t="shared" ref="F18:L18" si="13">F13-F17</f>
        <v>3207</v>
      </c>
      <c r="G18" s="1">
        <f t="shared" si="13"/>
        <v>3007</v>
      </c>
      <c r="H18" s="1">
        <f t="shared" si="13"/>
        <v>3172</v>
      </c>
      <c r="I18" s="1">
        <f t="shared" si="13"/>
        <v>3227</v>
      </c>
      <c r="J18" s="1">
        <f t="shared" si="13"/>
        <v>3484</v>
      </c>
      <c r="K18" s="1">
        <f t="shared" si="13"/>
        <v>3318</v>
      </c>
      <c r="L18" s="1">
        <f t="shared" si="13"/>
        <v>3431</v>
      </c>
      <c r="M18" s="1">
        <f t="shared" ref="M18" si="14">M13-M17</f>
        <v>3820.9699999999993</v>
      </c>
      <c r="N18" s="1">
        <f t="shared" ref="N18:Q18" si="15">N13-N17</f>
        <v>3935.5990999999995</v>
      </c>
      <c r="P18" s="1">
        <f t="shared" si="15"/>
        <v>0</v>
      </c>
      <c r="Q18" s="1">
        <f t="shared" si="15"/>
        <v>0</v>
      </c>
      <c r="R18" s="1">
        <f>R13-R17</f>
        <v>11653</v>
      </c>
      <c r="S18" s="1">
        <f t="shared" ref="S18:Y18" si="16">S13-S17</f>
        <v>11785</v>
      </c>
      <c r="T18" s="1">
        <f t="shared" si="16"/>
        <v>12890</v>
      </c>
      <c r="U18" s="1">
        <f t="shared" si="16"/>
        <v>14505.569099999993</v>
      </c>
      <c r="V18" s="1">
        <f t="shared" si="16"/>
        <v>15230.847554999997</v>
      </c>
      <c r="W18" s="1">
        <f t="shared" si="16"/>
        <v>15992.389932749997</v>
      </c>
      <c r="X18" s="1">
        <f t="shared" si="16"/>
        <v>16792.009429387501</v>
      </c>
      <c r="Y18" s="1">
        <f t="shared" si="16"/>
        <v>17631.609900856878</v>
      </c>
    </row>
    <row r="19" spans="1:171" x14ac:dyDescent="0.2">
      <c r="B19" s="1" t="s">
        <v>15</v>
      </c>
      <c r="C19" s="1">
        <v>436</v>
      </c>
      <c r="D19" s="1">
        <v>465</v>
      </c>
      <c r="E19" s="1">
        <v>442</v>
      </c>
      <c r="F19" s="1">
        <v>466</v>
      </c>
      <c r="G19" s="1">
        <v>421</v>
      </c>
      <c r="H19" s="1">
        <v>446</v>
      </c>
      <c r="I19" s="1">
        <v>508</v>
      </c>
      <c r="J19" s="1">
        <v>626</v>
      </c>
      <c r="K19" s="1">
        <v>488</v>
      </c>
      <c r="L19" s="1">
        <v>583</v>
      </c>
      <c r="M19" s="1">
        <f>L19*1.04</f>
        <v>606.32000000000005</v>
      </c>
      <c r="N19" s="1">
        <f>M19*1.04</f>
        <v>630.57280000000003</v>
      </c>
      <c r="R19" s="1">
        <v>2257</v>
      </c>
      <c r="S19" s="1">
        <v>1809</v>
      </c>
      <c r="T19" s="1">
        <v>2001</v>
      </c>
      <c r="U19" s="1">
        <f>SUM(K19:N19)</f>
        <v>2307.8928000000001</v>
      </c>
      <c r="V19" s="1">
        <f>U19*1.05</f>
        <v>2423.2874400000001</v>
      </c>
      <c r="W19" s="1">
        <f t="shared" ref="W19:Y19" si="17">V19*1.05</f>
        <v>2544.4518120000002</v>
      </c>
      <c r="X19" s="1">
        <f t="shared" si="17"/>
        <v>2671.6744026000006</v>
      </c>
      <c r="Y19" s="1">
        <f t="shared" si="17"/>
        <v>2805.2581227300007</v>
      </c>
    </row>
    <row r="20" spans="1:171" x14ac:dyDescent="0.2">
      <c r="B20" s="1" t="s">
        <v>16</v>
      </c>
      <c r="C20" s="1">
        <v>721</v>
      </c>
      <c r="D20" s="1">
        <v>743</v>
      </c>
      <c r="E20" s="1">
        <v>739</v>
      </c>
      <c r="F20" s="1">
        <v>770</v>
      </c>
      <c r="G20" s="1">
        <v>742</v>
      </c>
      <c r="H20" s="1">
        <v>718</v>
      </c>
      <c r="I20" s="1">
        <v>746</v>
      </c>
      <c r="J20" s="1">
        <v>773</v>
      </c>
      <c r="K20" s="1">
        <v>731</v>
      </c>
      <c r="L20" s="1">
        <v>767</v>
      </c>
      <c r="M20" s="1">
        <f>L20*1.04</f>
        <v>797.68000000000006</v>
      </c>
      <c r="N20" s="1">
        <f>M20*1.04</f>
        <v>829.58720000000005</v>
      </c>
      <c r="R20" s="1">
        <v>3253</v>
      </c>
      <c r="S20" s="1">
        <v>2973</v>
      </c>
      <c r="T20" s="1">
        <v>2979</v>
      </c>
      <c r="U20" s="1">
        <f>SUM(K20:N20)</f>
        <v>3125.2672000000002</v>
      </c>
      <c r="V20" s="1">
        <f t="shared" ref="V20:Y22" si="18">U20*1.05</f>
        <v>3281.5305600000006</v>
      </c>
      <c r="W20" s="1">
        <f t="shared" si="18"/>
        <v>3445.6070880000007</v>
      </c>
      <c r="X20" s="1">
        <f t="shared" si="18"/>
        <v>3617.887442400001</v>
      </c>
      <c r="Y20" s="1">
        <f t="shared" si="18"/>
        <v>3798.7818145200013</v>
      </c>
    </row>
    <row r="21" spans="1:171" x14ac:dyDescent="0.2">
      <c r="B21" s="1" t="s">
        <v>17</v>
      </c>
      <c r="C21" s="1">
        <v>507</v>
      </c>
      <c r="D21" s="1">
        <v>491</v>
      </c>
      <c r="E21" s="1">
        <v>507</v>
      </c>
      <c r="F21" s="1">
        <v>554</v>
      </c>
      <c r="G21" s="1">
        <v>464</v>
      </c>
      <c r="H21" s="1">
        <v>570</v>
      </c>
      <c r="I21" s="1">
        <v>519</v>
      </c>
      <c r="J21" s="1">
        <v>594</v>
      </c>
      <c r="K21" s="1">
        <v>503</v>
      </c>
      <c r="L21" s="1">
        <v>461</v>
      </c>
      <c r="M21" s="1">
        <f>L21*1.04</f>
        <v>479.44</v>
      </c>
      <c r="N21" s="1">
        <f>M21*1.04</f>
        <v>498.61760000000004</v>
      </c>
      <c r="R21" s="1">
        <v>2099</v>
      </c>
      <c r="S21" s="1">
        <v>2059</v>
      </c>
      <c r="T21" s="1">
        <v>2147</v>
      </c>
      <c r="U21" s="1">
        <f>SUM(K21:N21)</f>
        <v>1942.0576000000001</v>
      </c>
      <c r="V21" s="1">
        <f t="shared" si="18"/>
        <v>2039.1604800000002</v>
      </c>
      <c r="W21" s="1">
        <f t="shared" si="18"/>
        <v>2141.1185040000005</v>
      </c>
      <c r="X21" s="1">
        <f t="shared" si="18"/>
        <v>2248.1744292000008</v>
      </c>
      <c r="Y21" s="1">
        <f t="shared" si="18"/>
        <v>2360.5831506600007</v>
      </c>
    </row>
    <row r="22" spans="1:171" x14ac:dyDescent="0.2">
      <c r="B22" s="12" t="s">
        <v>73</v>
      </c>
      <c r="C22" s="1">
        <v>164</v>
      </c>
      <c r="D22" s="1">
        <v>24</v>
      </c>
      <c r="E22" s="1">
        <v>39</v>
      </c>
      <c r="F22" s="1">
        <v>-311</v>
      </c>
      <c r="G22" s="1">
        <v>212</v>
      </c>
      <c r="H22" s="1">
        <v>113</v>
      </c>
      <c r="I22" s="1">
        <v>63</v>
      </c>
      <c r="J22" s="1">
        <v>50</v>
      </c>
      <c r="K22" s="1">
        <v>66</v>
      </c>
      <c r="L22" s="1">
        <v>116</v>
      </c>
      <c r="M22" s="1">
        <f>L22*1.04</f>
        <v>120.64</v>
      </c>
      <c r="N22" s="1">
        <f>M22*1.04</f>
        <v>125.46560000000001</v>
      </c>
      <c r="R22" s="1">
        <v>207</v>
      </c>
      <c r="S22" s="1">
        <v>-84</v>
      </c>
      <c r="T22" s="1">
        <v>438</v>
      </c>
      <c r="U22" s="1">
        <f>SUM(K22:N22)</f>
        <v>428.10559999999998</v>
      </c>
      <c r="V22" s="1">
        <f t="shared" si="18"/>
        <v>449.51087999999999</v>
      </c>
      <c r="W22" s="1">
        <f t="shared" si="18"/>
        <v>471.986424</v>
      </c>
      <c r="X22" s="1">
        <f t="shared" si="18"/>
        <v>495.58574520000002</v>
      </c>
      <c r="Y22" s="1">
        <f t="shared" si="18"/>
        <v>520.36503246000007</v>
      </c>
    </row>
    <row r="23" spans="1:171" x14ac:dyDescent="0.2">
      <c r="B23" s="12" t="s">
        <v>74</v>
      </c>
      <c r="C23" s="1">
        <f>SUM(C19:C22)</f>
        <v>1828</v>
      </c>
      <c r="D23" s="1">
        <f t="shared" ref="D23:L23" si="19">SUM(D19:D22)</f>
        <v>1723</v>
      </c>
      <c r="E23" s="1">
        <f t="shared" si="19"/>
        <v>1727</v>
      </c>
      <c r="F23" s="1">
        <f t="shared" si="19"/>
        <v>1479</v>
      </c>
      <c r="G23" s="1">
        <f t="shared" si="19"/>
        <v>1839</v>
      </c>
      <c r="H23" s="1">
        <f t="shared" si="19"/>
        <v>1847</v>
      </c>
      <c r="I23" s="1">
        <f t="shared" si="19"/>
        <v>1836</v>
      </c>
      <c r="J23" s="1">
        <f t="shared" si="19"/>
        <v>2043</v>
      </c>
      <c r="K23" s="1">
        <f t="shared" si="19"/>
        <v>1788</v>
      </c>
      <c r="L23" s="1">
        <f t="shared" si="19"/>
        <v>1927</v>
      </c>
      <c r="M23" s="1">
        <f t="shared" ref="M23" si="20">SUM(M19:M22)</f>
        <v>2004.0800000000002</v>
      </c>
      <c r="N23" s="1">
        <f t="shared" ref="N23:Q23" si="21">SUM(N19:N22)</f>
        <v>2084.2432000000003</v>
      </c>
      <c r="P23" s="1">
        <f t="shared" si="21"/>
        <v>0</v>
      </c>
      <c r="Q23" s="1">
        <f t="shared" si="21"/>
        <v>0</v>
      </c>
      <c r="R23" s="1">
        <f>SUM(R19:R22)</f>
        <v>7816</v>
      </c>
      <c r="S23" s="1">
        <f t="shared" ref="S23:Y23" si="22">SUM(S19:S22)</f>
        <v>6757</v>
      </c>
      <c r="T23" s="1">
        <f t="shared" si="22"/>
        <v>7565</v>
      </c>
      <c r="U23" s="1">
        <f t="shared" si="22"/>
        <v>7803.3231999999998</v>
      </c>
      <c r="V23" s="1">
        <f t="shared" si="22"/>
        <v>8193.4893600000014</v>
      </c>
      <c r="W23" s="1">
        <f t="shared" si="22"/>
        <v>8603.1638280000025</v>
      </c>
      <c r="X23" s="1">
        <f t="shared" si="22"/>
        <v>9033.3220194000023</v>
      </c>
      <c r="Y23" s="1">
        <f t="shared" si="22"/>
        <v>9484.9881203700024</v>
      </c>
    </row>
    <row r="24" spans="1:171" s="12" customFormat="1" x14ac:dyDescent="0.2">
      <c r="A24" s="3"/>
      <c r="B24" s="12" t="s">
        <v>18</v>
      </c>
      <c r="C24" s="12">
        <f>C18-C23</f>
        <v>999</v>
      </c>
      <c r="D24" s="12">
        <f t="shared" ref="D24:L24" si="23">D18-D23</f>
        <v>1133</v>
      </c>
      <c r="E24" s="12">
        <f t="shared" si="23"/>
        <v>1168</v>
      </c>
      <c r="F24" s="12">
        <f t="shared" si="23"/>
        <v>1728</v>
      </c>
      <c r="G24" s="12">
        <f t="shared" si="23"/>
        <v>1168</v>
      </c>
      <c r="H24" s="12">
        <f t="shared" si="23"/>
        <v>1325</v>
      </c>
      <c r="I24" s="12">
        <f t="shared" si="23"/>
        <v>1391</v>
      </c>
      <c r="J24" s="12">
        <f t="shared" si="23"/>
        <v>1441</v>
      </c>
      <c r="K24" s="12">
        <f t="shared" si="23"/>
        <v>1530</v>
      </c>
      <c r="L24" s="12">
        <f t="shared" si="23"/>
        <v>1504</v>
      </c>
      <c r="M24" s="12">
        <f t="shared" ref="M24" si="24">M18-M23</f>
        <v>1816.8899999999992</v>
      </c>
      <c r="N24" s="12">
        <f t="shared" ref="N24:Q24" si="25">N18-N23</f>
        <v>1851.3558999999991</v>
      </c>
      <c r="P24" s="12">
        <f t="shared" si="25"/>
        <v>0</v>
      </c>
      <c r="Q24" s="12">
        <f t="shared" si="25"/>
        <v>0</v>
      </c>
      <c r="R24" s="12">
        <f>R18-R23</f>
        <v>3837</v>
      </c>
      <c r="S24" s="12">
        <f t="shared" ref="S24:T24" si="26">S18-S23</f>
        <v>5028</v>
      </c>
      <c r="T24" s="12">
        <f t="shared" si="26"/>
        <v>5325</v>
      </c>
      <c r="U24" s="12">
        <f t="shared" ref="U24:Y24" si="27">U18-U23</f>
        <v>6702.2458999999935</v>
      </c>
      <c r="V24" s="12">
        <f t="shared" si="27"/>
        <v>7037.3581949999952</v>
      </c>
      <c r="W24" s="12">
        <f t="shared" si="27"/>
        <v>7389.2261047499942</v>
      </c>
      <c r="X24" s="12">
        <f t="shared" si="27"/>
        <v>7758.6874099874985</v>
      </c>
      <c r="Y24" s="12">
        <f t="shared" si="27"/>
        <v>8146.6217804868757</v>
      </c>
    </row>
    <row r="25" spans="1:171" x14ac:dyDescent="0.2">
      <c r="B25" s="1" t="s">
        <v>43</v>
      </c>
      <c r="C25" s="1">
        <v>75</v>
      </c>
      <c r="D25" s="1">
        <v>170</v>
      </c>
      <c r="E25" s="1">
        <v>73</v>
      </c>
      <c r="F25" s="1">
        <v>65</v>
      </c>
      <c r="G25" s="1">
        <v>41</v>
      </c>
      <c r="H25" s="1">
        <v>74</v>
      </c>
      <c r="I25" s="1">
        <v>-80</v>
      </c>
      <c r="J25" s="1">
        <v>-31</v>
      </c>
      <c r="K25" s="1">
        <v>73</v>
      </c>
      <c r="L25" s="1">
        <v>25</v>
      </c>
      <c r="M25" s="1">
        <f>L38*$AB$30/4</f>
        <v>11.785</v>
      </c>
      <c r="N25" s="1">
        <f>M38*$AB$30/4</f>
        <v>19.191133749999999</v>
      </c>
      <c r="R25" s="1">
        <v>-471</v>
      </c>
      <c r="S25" s="1">
        <v>383</v>
      </c>
      <c r="T25" s="1">
        <v>4</v>
      </c>
      <c r="U25" s="1">
        <f>SUM(K25:N25)</f>
        <v>128.97613375</v>
      </c>
      <c r="V25" s="1">
        <f>U38*$AB$30</f>
        <v>107.06739694674998</v>
      </c>
      <c r="W25" s="1">
        <f>V38*$AB$30</f>
        <v>219.94932129950857</v>
      </c>
      <c r="X25" s="1">
        <f>W38*$AB$30</f>
        <v>340.17429303109071</v>
      </c>
      <c r="Y25" s="1">
        <f>X38*$AB$30</f>
        <v>468.13630793878446</v>
      </c>
    </row>
    <row r="26" spans="1:171" x14ac:dyDescent="0.2">
      <c r="B26" s="1" t="s">
        <v>19</v>
      </c>
      <c r="C26" s="1">
        <f>C24+C25</f>
        <v>1074</v>
      </c>
      <c r="D26" s="1">
        <f t="shared" ref="D26:L26" si="28">D24+D25</f>
        <v>1303</v>
      </c>
      <c r="E26" s="1">
        <f t="shared" si="28"/>
        <v>1241</v>
      </c>
      <c r="F26" s="1">
        <f t="shared" si="28"/>
        <v>1793</v>
      </c>
      <c r="G26" s="1">
        <f t="shared" si="28"/>
        <v>1209</v>
      </c>
      <c r="H26" s="1">
        <f t="shared" si="28"/>
        <v>1399</v>
      </c>
      <c r="I26" s="1">
        <f t="shared" si="28"/>
        <v>1311</v>
      </c>
      <c r="J26" s="1">
        <f t="shared" si="28"/>
        <v>1410</v>
      </c>
      <c r="K26" s="1">
        <f t="shared" si="28"/>
        <v>1603</v>
      </c>
      <c r="L26" s="1">
        <f t="shared" si="28"/>
        <v>1529</v>
      </c>
      <c r="M26" s="1">
        <f t="shared" ref="M26" si="29">M24+M25</f>
        <v>1828.6749999999993</v>
      </c>
      <c r="N26" s="1">
        <f t="shared" ref="N26:Q26" si="30">N24+N25</f>
        <v>1870.5470337499992</v>
      </c>
      <c r="P26" s="1">
        <f t="shared" si="30"/>
        <v>0</v>
      </c>
      <c r="Q26" s="1">
        <f t="shared" si="30"/>
        <v>0</v>
      </c>
      <c r="R26" s="1">
        <f>R24+R25</f>
        <v>3366</v>
      </c>
      <c r="S26" s="1">
        <f t="shared" ref="S26:T26" si="31">S24+S25</f>
        <v>5411</v>
      </c>
      <c r="T26" s="1">
        <f t="shared" si="31"/>
        <v>5329</v>
      </c>
      <c r="U26" s="1">
        <f t="shared" ref="U26" si="32">U24+U25</f>
        <v>6831.2220337499939</v>
      </c>
      <c r="V26" s="1">
        <f t="shared" ref="V26" si="33">V24+V25</f>
        <v>7144.425591946745</v>
      </c>
      <c r="W26" s="1">
        <f t="shared" ref="W26" si="34">W24+W25</f>
        <v>7609.1754260495027</v>
      </c>
      <c r="X26" s="1">
        <f t="shared" ref="X26" si="35">X24+X25</f>
        <v>8098.8617030185897</v>
      </c>
      <c r="Y26" s="1">
        <f t="shared" ref="Y26" si="36">Y24+Y25</f>
        <v>8614.7580884256604</v>
      </c>
    </row>
    <row r="27" spans="1:171" x14ac:dyDescent="0.2">
      <c r="B27" s="1" t="s">
        <v>20</v>
      </c>
      <c r="C27" s="1">
        <v>279</v>
      </c>
      <c r="D27" s="1">
        <v>274</v>
      </c>
      <c r="E27" s="1">
        <v>221</v>
      </c>
      <c r="F27" s="1">
        <v>391</v>
      </c>
      <c r="G27" s="1">
        <v>321</v>
      </c>
      <c r="H27" s="1">
        <v>271</v>
      </c>
      <c r="I27" s="1">
        <v>301</v>
      </c>
      <c r="J27" s="1">
        <v>289</v>
      </c>
      <c r="K27" s="1">
        <v>316</v>
      </c>
      <c r="L27" s="1">
        <v>268</v>
      </c>
      <c r="M27" s="1">
        <f>M26*0.19</f>
        <v>347.44824999999986</v>
      </c>
      <c r="N27" s="1">
        <f>N26*0.19</f>
        <v>355.40393641249983</v>
      </c>
      <c r="R27" s="1">
        <v>947</v>
      </c>
      <c r="S27" s="1">
        <v>1165</v>
      </c>
      <c r="T27" s="1">
        <v>1182</v>
      </c>
      <c r="U27" s="1">
        <f>SUM(K27:N27)</f>
        <v>1286.8521864124998</v>
      </c>
      <c r="V27" s="1">
        <f>V26*0.21</f>
        <v>1500.3293743088163</v>
      </c>
      <c r="W27" s="1">
        <f t="shared" ref="W27:Y27" si="37">W26*0.21</f>
        <v>1597.9268394703954</v>
      </c>
      <c r="X27" s="1">
        <f t="shared" si="37"/>
        <v>1700.7609576339037</v>
      </c>
      <c r="Y27" s="1">
        <f t="shared" si="37"/>
        <v>1809.0991985693886</v>
      </c>
    </row>
    <row r="28" spans="1:171" s="12" customFormat="1" x14ac:dyDescent="0.2">
      <c r="A28" s="3"/>
      <c r="B28" s="12" t="s">
        <v>21</v>
      </c>
      <c r="C28" s="12">
        <f>C26-C27</f>
        <v>795</v>
      </c>
      <c r="D28" s="12">
        <f t="shared" ref="D28:K28" si="38">D26-D27</f>
        <v>1029</v>
      </c>
      <c r="E28" s="12">
        <f t="shared" si="38"/>
        <v>1020</v>
      </c>
      <c r="F28" s="12">
        <f t="shared" si="38"/>
        <v>1402</v>
      </c>
      <c r="G28" s="12">
        <f t="shared" si="38"/>
        <v>888</v>
      </c>
      <c r="H28" s="12">
        <f t="shared" si="38"/>
        <v>1128</v>
      </c>
      <c r="I28" s="12">
        <f t="shared" si="38"/>
        <v>1010</v>
      </c>
      <c r="J28" s="12">
        <f t="shared" si="38"/>
        <v>1121</v>
      </c>
      <c r="K28" s="12">
        <f t="shared" si="38"/>
        <v>1287</v>
      </c>
      <c r="L28" s="12">
        <f t="shared" ref="L28:M28" si="39">L26-L27</f>
        <v>1261</v>
      </c>
      <c r="M28" s="12">
        <f t="shared" si="39"/>
        <v>1481.2267499999994</v>
      </c>
      <c r="N28" s="12">
        <f t="shared" ref="N28:Q28" si="40">N26-N27</f>
        <v>1515.1430973374993</v>
      </c>
      <c r="P28" s="12">
        <f t="shared" si="40"/>
        <v>0</v>
      </c>
      <c r="Q28" s="12">
        <f t="shared" si="40"/>
        <v>0</v>
      </c>
      <c r="R28" s="12">
        <f>R26-R27</f>
        <v>2419</v>
      </c>
      <c r="S28" s="12">
        <f t="shared" ref="S28:T28" si="41">S26-S27</f>
        <v>4246</v>
      </c>
      <c r="T28" s="12">
        <f t="shared" si="41"/>
        <v>4147</v>
      </c>
      <c r="U28" s="12">
        <f t="shared" ref="U28" si="42">U26-U27</f>
        <v>5544.3698473374943</v>
      </c>
      <c r="V28" s="12">
        <f t="shared" ref="V28" si="43">V26-V27</f>
        <v>5644.0962176379289</v>
      </c>
      <c r="W28" s="12">
        <f t="shared" ref="W28" si="44">W26-W27</f>
        <v>6011.2485865791077</v>
      </c>
      <c r="X28" s="12">
        <f t="shared" ref="X28" si="45">X26-X27</f>
        <v>6398.100745384686</v>
      </c>
      <c r="Y28" s="12">
        <f t="shared" ref="Y28" si="46">Y26-Y27</f>
        <v>6805.6588898562713</v>
      </c>
      <c r="Z28" s="12">
        <f t="shared" ref="Z28:BE28" si="47">Y28*(1+$AB$31)</f>
        <v>6873.7154787548343</v>
      </c>
      <c r="AA28" s="12">
        <f t="shared" si="47"/>
        <v>6942.4526335423825</v>
      </c>
      <c r="AB28" s="12">
        <f t="shared" si="47"/>
        <v>7011.8771598778067</v>
      </c>
      <c r="AC28" s="12">
        <f t="shared" si="47"/>
        <v>7081.9959314765847</v>
      </c>
      <c r="AD28" s="12">
        <f t="shared" si="47"/>
        <v>7152.8158907913503</v>
      </c>
      <c r="AE28" s="12">
        <f t="shared" si="47"/>
        <v>7224.3440496992635</v>
      </c>
      <c r="AF28" s="12">
        <f t="shared" si="47"/>
        <v>7296.5874901962561</v>
      </c>
      <c r="AG28" s="12">
        <f t="shared" si="47"/>
        <v>7369.5533650982188</v>
      </c>
      <c r="AH28" s="12">
        <f t="shared" si="47"/>
        <v>7443.2488987492006</v>
      </c>
      <c r="AI28" s="12">
        <f t="shared" si="47"/>
        <v>7517.6813877366931</v>
      </c>
      <c r="AJ28" s="12">
        <f t="shared" si="47"/>
        <v>7592.8582016140599</v>
      </c>
      <c r="AK28" s="12">
        <f t="shared" si="47"/>
        <v>7668.7867836302003</v>
      </c>
      <c r="AL28" s="12">
        <f t="shared" si="47"/>
        <v>7745.4746514665021</v>
      </c>
      <c r="AM28" s="12">
        <f t="shared" si="47"/>
        <v>7822.9293979811673</v>
      </c>
      <c r="AN28" s="12">
        <f t="shared" si="47"/>
        <v>7901.158691960979</v>
      </c>
      <c r="AO28" s="12">
        <f t="shared" si="47"/>
        <v>7980.1702788805887</v>
      </c>
      <c r="AP28" s="12">
        <f t="shared" si="47"/>
        <v>8059.9719816693951</v>
      </c>
      <c r="AQ28" s="12">
        <f t="shared" si="47"/>
        <v>8140.5717014860893</v>
      </c>
      <c r="AR28" s="12">
        <f t="shared" si="47"/>
        <v>8221.9774185009501</v>
      </c>
      <c r="AS28" s="12">
        <f t="shared" si="47"/>
        <v>8304.1971926859605</v>
      </c>
      <c r="AT28" s="12">
        <f t="shared" si="47"/>
        <v>8387.2391646128199</v>
      </c>
      <c r="AU28" s="12">
        <f t="shared" si="47"/>
        <v>8471.1115562589475</v>
      </c>
      <c r="AV28" s="12">
        <f t="shared" si="47"/>
        <v>8555.8226718215374</v>
      </c>
      <c r="AW28" s="12">
        <f t="shared" si="47"/>
        <v>8641.3808985397536</v>
      </c>
      <c r="AX28" s="12">
        <f t="shared" si="47"/>
        <v>8727.7947075251504</v>
      </c>
      <c r="AY28" s="12">
        <f t="shared" si="47"/>
        <v>8815.0726546004025</v>
      </c>
      <c r="AZ28" s="12">
        <f t="shared" si="47"/>
        <v>8903.2233811464066</v>
      </c>
      <c r="BA28" s="12">
        <f t="shared" si="47"/>
        <v>8992.2556149578704</v>
      </c>
      <c r="BB28" s="12">
        <f t="shared" si="47"/>
        <v>9082.1781711074491</v>
      </c>
      <c r="BC28" s="12">
        <f t="shared" si="47"/>
        <v>9172.9999528185235</v>
      </c>
      <c r="BD28" s="12">
        <f t="shared" si="47"/>
        <v>9264.7299523467082</v>
      </c>
      <c r="BE28" s="12">
        <f t="shared" si="47"/>
        <v>9357.3772518701753</v>
      </c>
      <c r="BF28" s="12">
        <f t="shared" ref="BF28:CK28" si="48">BE28*(1+$AB$31)</f>
        <v>9450.9510243888762</v>
      </c>
      <c r="BG28" s="12">
        <f t="shared" si="48"/>
        <v>9545.4605346327644</v>
      </c>
      <c r="BH28" s="12">
        <f t="shared" si="48"/>
        <v>9640.9151399790917</v>
      </c>
      <c r="BI28" s="12">
        <f t="shared" si="48"/>
        <v>9737.3242913788836</v>
      </c>
      <c r="BJ28" s="12">
        <f t="shared" si="48"/>
        <v>9834.6975342926726</v>
      </c>
      <c r="BK28" s="12">
        <f t="shared" si="48"/>
        <v>9933.0445096355998</v>
      </c>
      <c r="BL28" s="12">
        <f t="shared" si="48"/>
        <v>10032.374954731957</v>
      </c>
      <c r="BM28" s="12">
        <f t="shared" si="48"/>
        <v>10132.698704279277</v>
      </c>
      <c r="BN28" s="12">
        <f t="shared" si="48"/>
        <v>10234.025691322069</v>
      </c>
      <c r="BO28" s="12">
        <f t="shared" si="48"/>
        <v>10336.36594823529</v>
      </c>
      <c r="BP28" s="12">
        <f t="shared" si="48"/>
        <v>10439.729607717643</v>
      </c>
      <c r="BQ28" s="12">
        <f t="shared" si="48"/>
        <v>10544.12690379482</v>
      </c>
      <c r="BR28" s="12">
        <f t="shared" si="48"/>
        <v>10649.568172832769</v>
      </c>
      <c r="BS28" s="12">
        <f t="shared" si="48"/>
        <v>10756.063854561096</v>
      </c>
      <c r="BT28" s="12">
        <f t="shared" si="48"/>
        <v>10863.624493106707</v>
      </c>
      <c r="BU28" s="12">
        <f t="shared" si="48"/>
        <v>10972.260738037774</v>
      </c>
      <c r="BV28" s="12">
        <f t="shared" si="48"/>
        <v>11081.983345418152</v>
      </c>
      <c r="BW28" s="12">
        <f t="shared" si="48"/>
        <v>11192.803178872333</v>
      </c>
      <c r="BX28" s="12">
        <f t="shared" si="48"/>
        <v>11304.731210661057</v>
      </c>
      <c r="BY28" s="12">
        <f t="shared" si="48"/>
        <v>11417.778522767669</v>
      </c>
      <c r="BZ28" s="12">
        <f t="shared" si="48"/>
        <v>11531.956307995346</v>
      </c>
      <c r="CA28" s="12">
        <f t="shared" si="48"/>
        <v>11647.275871075299</v>
      </c>
      <c r="CB28" s="12">
        <f t="shared" si="48"/>
        <v>11763.748629786052</v>
      </c>
      <c r="CC28" s="12">
        <f t="shared" si="48"/>
        <v>11881.386116083913</v>
      </c>
      <c r="CD28" s="12">
        <f t="shared" si="48"/>
        <v>12000.199977244753</v>
      </c>
      <c r="CE28" s="12">
        <f t="shared" si="48"/>
        <v>12120.201977017201</v>
      </c>
      <c r="CF28" s="12">
        <f t="shared" si="48"/>
        <v>12241.403996787372</v>
      </c>
      <c r="CG28" s="12">
        <f t="shared" si="48"/>
        <v>12363.818036755247</v>
      </c>
      <c r="CH28" s="12">
        <f t="shared" si="48"/>
        <v>12487.456217122799</v>
      </c>
      <c r="CI28" s="12">
        <f t="shared" si="48"/>
        <v>12612.330779294027</v>
      </c>
      <c r="CJ28" s="12">
        <f t="shared" si="48"/>
        <v>12738.454087086968</v>
      </c>
      <c r="CK28" s="12">
        <f t="shared" si="48"/>
        <v>12865.838627957837</v>
      </c>
      <c r="CL28" s="12">
        <f t="shared" ref="CL28:DQ28" si="49">CK28*(1+$AB$31)</f>
        <v>12994.497014237415</v>
      </c>
      <c r="CM28" s="12">
        <f t="shared" si="49"/>
        <v>13124.44198437979</v>
      </c>
      <c r="CN28" s="12">
        <f t="shared" si="49"/>
        <v>13255.686404223588</v>
      </c>
      <c r="CO28" s="12">
        <f t="shared" si="49"/>
        <v>13388.243268265824</v>
      </c>
      <c r="CP28" s="12">
        <f t="shared" si="49"/>
        <v>13522.125700948482</v>
      </c>
      <c r="CQ28" s="12">
        <f t="shared" si="49"/>
        <v>13657.346957957967</v>
      </c>
      <c r="CR28" s="12">
        <f t="shared" si="49"/>
        <v>13793.920427537547</v>
      </c>
      <c r="CS28" s="12">
        <f t="shared" si="49"/>
        <v>13931.859631812922</v>
      </c>
      <c r="CT28" s="12">
        <f t="shared" si="49"/>
        <v>14071.178228131052</v>
      </c>
      <c r="CU28" s="12">
        <f t="shared" si="49"/>
        <v>14211.890010412362</v>
      </c>
      <c r="CV28" s="12">
        <f t="shared" si="49"/>
        <v>14354.008910516486</v>
      </c>
      <c r="CW28" s="12">
        <f t="shared" si="49"/>
        <v>14497.548999621651</v>
      </c>
      <c r="CX28" s="12">
        <f t="shared" si="49"/>
        <v>14642.524489617868</v>
      </c>
      <c r="CY28" s="12">
        <f t="shared" si="49"/>
        <v>14788.949734514048</v>
      </c>
      <c r="CZ28" s="12">
        <f t="shared" si="49"/>
        <v>14936.839231859189</v>
      </c>
      <c r="DA28" s="12">
        <f t="shared" si="49"/>
        <v>15086.207624177781</v>
      </c>
      <c r="DB28" s="12">
        <f t="shared" si="49"/>
        <v>15237.069700419559</v>
      </c>
      <c r="DC28" s="12">
        <f t="shared" si="49"/>
        <v>15389.440397423754</v>
      </c>
      <c r="DD28" s="12">
        <f t="shared" si="49"/>
        <v>15543.334801397992</v>
      </c>
      <c r="DE28" s="12">
        <f t="shared" si="49"/>
        <v>15698.768149411972</v>
      </c>
      <c r="DF28" s="12">
        <f t="shared" si="49"/>
        <v>15855.755830906091</v>
      </c>
      <c r="DG28" s="12">
        <f t="shared" si="49"/>
        <v>16014.313389215153</v>
      </c>
      <c r="DH28" s="12">
        <f t="shared" si="49"/>
        <v>16174.456523107305</v>
      </c>
      <c r="DI28" s="12">
        <f t="shared" si="49"/>
        <v>16336.201088338377</v>
      </c>
      <c r="DJ28" s="12">
        <f t="shared" si="49"/>
        <v>16499.563099221763</v>
      </c>
      <c r="DK28" s="12">
        <f t="shared" si="49"/>
        <v>16664.558730213979</v>
      </c>
      <c r="DL28" s="12">
        <f t="shared" si="49"/>
        <v>16831.20431751612</v>
      </c>
      <c r="DM28" s="12">
        <f t="shared" si="49"/>
        <v>16999.516360691283</v>
      </c>
      <c r="DN28" s="12">
        <f t="shared" si="49"/>
        <v>17169.511524298196</v>
      </c>
      <c r="DO28" s="12">
        <f t="shared" si="49"/>
        <v>17341.206639541178</v>
      </c>
      <c r="DP28" s="12">
        <f t="shared" si="49"/>
        <v>17514.618705936591</v>
      </c>
      <c r="DQ28" s="12">
        <f t="shared" si="49"/>
        <v>17689.764892995958</v>
      </c>
      <c r="DR28" s="12">
        <f t="shared" ref="DR28:EW28" si="50">DQ28*(1+$AB$31)</f>
        <v>17866.662541925918</v>
      </c>
      <c r="DS28" s="12">
        <f t="shared" si="50"/>
        <v>18045.329167345179</v>
      </c>
      <c r="DT28" s="12">
        <f t="shared" si="50"/>
        <v>18225.782459018632</v>
      </c>
      <c r="DU28" s="12">
        <f t="shared" si="50"/>
        <v>18408.040283608818</v>
      </c>
      <c r="DV28" s="12">
        <f t="shared" si="50"/>
        <v>18592.120686444905</v>
      </c>
      <c r="DW28" s="12">
        <f t="shared" si="50"/>
        <v>18778.041893309353</v>
      </c>
      <c r="DX28" s="12">
        <f t="shared" si="50"/>
        <v>18965.822312242446</v>
      </c>
      <c r="DY28" s="12">
        <f t="shared" si="50"/>
        <v>19155.48053536487</v>
      </c>
      <c r="DZ28" s="12">
        <f t="shared" si="50"/>
        <v>19347.035340718518</v>
      </c>
      <c r="EA28" s="12">
        <f t="shared" si="50"/>
        <v>19540.505694125703</v>
      </c>
      <c r="EB28" s="12">
        <f t="shared" si="50"/>
        <v>19735.91075106696</v>
      </c>
      <c r="EC28" s="12">
        <f t="shared" si="50"/>
        <v>19933.269858577631</v>
      </c>
      <c r="ED28" s="12">
        <f t="shared" si="50"/>
        <v>20132.602557163405</v>
      </c>
      <c r="EE28" s="12">
        <f t="shared" si="50"/>
        <v>20333.92858273504</v>
      </c>
      <c r="EF28" s="12">
        <f t="shared" si="50"/>
        <v>20537.267868562391</v>
      </c>
      <c r="EG28" s="12">
        <f t="shared" si="50"/>
        <v>20742.640547248015</v>
      </c>
      <c r="EH28" s="12">
        <f t="shared" si="50"/>
        <v>20950.066952720495</v>
      </c>
      <c r="EI28" s="12">
        <f t="shared" si="50"/>
        <v>21159.567622247701</v>
      </c>
      <c r="EJ28" s="12">
        <f t="shared" si="50"/>
        <v>21371.163298470179</v>
      </c>
      <c r="EK28" s="12">
        <f t="shared" si="50"/>
        <v>21584.87493145488</v>
      </c>
      <c r="EL28" s="12">
        <f t="shared" si="50"/>
        <v>21800.723680769428</v>
      </c>
      <c r="EM28" s="12">
        <f t="shared" si="50"/>
        <v>22018.730917577122</v>
      </c>
      <c r="EN28" s="12">
        <f t="shared" si="50"/>
        <v>22238.918226752892</v>
      </c>
      <c r="EO28" s="12">
        <f t="shared" si="50"/>
        <v>22461.307409020421</v>
      </c>
      <c r="EP28" s="12">
        <f t="shared" si="50"/>
        <v>22685.920483110625</v>
      </c>
      <c r="EQ28" s="12">
        <f t="shared" si="50"/>
        <v>22912.779687941733</v>
      </c>
      <c r="ER28" s="12">
        <f t="shared" si="50"/>
        <v>23141.907484821149</v>
      </c>
      <c r="ES28" s="12">
        <f t="shared" si="50"/>
        <v>23373.32655966936</v>
      </c>
      <c r="ET28" s="12">
        <f t="shared" si="50"/>
        <v>23607.059825266053</v>
      </c>
      <c r="EU28" s="12">
        <f t="shared" si="50"/>
        <v>23843.130423518713</v>
      </c>
      <c r="EV28" s="12">
        <f t="shared" si="50"/>
        <v>24081.561727753899</v>
      </c>
      <c r="EW28" s="12">
        <f t="shared" si="50"/>
        <v>24322.377345031437</v>
      </c>
      <c r="EX28" s="12">
        <f t="shared" ref="EX28:FO28" si="51">EW28*(1+$AB$31)</f>
        <v>24565.601118481751</v>
      </c>
      <c r="EY28" s="12">
        <f t="shared" si="51"/>
        <v>24811.25712966657</v>
      </c>
      <c r="EZ28" s="12">
        <f t="shared" si="51"/>
        <v>25059.369700963238</v>
      </c>
      <c r="FA28" s="12">
        <f t="shared" si="51"/>
        <v>25309.963397972871</v>
      </c>
      <c r="FB28" s="12">
        <f t="shared" si="51"/>
        <v>25563.063031952599</v>
      </c>
      <c r="FC28" s="12">
        <f t="shared" si="51"/>
        <v>25818.693662272126</v>
      </c>
      <c r="FD28" s="12">
        <f t="shared" si="51"/>
        <v>26076.880598894848</v>
      </c>
      <c r="FE28" s="12">
        <f t="shared" si="51"/>
        <v>26337.649404883796</v>
      </c>
      <c r="FF28" s="12">
        <f t="shared" si="51"/>
        <v>26601.025898932636</v>
      </c>
      <c r="FG28" s="12">
        <f t="shared" si="51"/>
        <v>26867.036157921961</v>
      </c>
      <c r="FH28" s="12">
        <f t="shared" si="51"/>
        <v>27135.706519501182</v>
      </c>
      <c r="FI28" s="12">
        <f t="shared" si="51"/>
        <v>27407.063584696192</v>
      </c>
      <c r="FJ28" s="12">
        <f t="shared" si="51"/>
        <v>27681.134220543154</v>
      </c>
      <c r="FK28" s="12">
        <f t="shared" si="51"/>
        <v>27957.945562748584</v>
      </c>
      <c r="FL28" s="12">
        <f t="shared" si="51"/>
        <v>28237.525018376069</v>
      </c>
      <c r="FM28" s="12">
        <f t="shared" si="51"/>
        <v>28519.900268559832</v>
      </c>
      <c r="FN28" s="12">
        <f t="shared" si="51"/>
        <v>28805.099271245432</v>
      </c>
      <c r="FO28" s="12">
        <f t="shared" si="51"/>
        <v>29093.150263957887</v>
      </c>
    </row>
    <row r="29" spans="1:171" x14ac:dyDescent="0.2">
      <c r="B29" s="1" t="s">
        <v>1</v>
      </c>
      <c r="C29" s="1">
        <v>1134</v>
      </c>
      <c r="D29" s="1">
        <v>1114</v>
      </c>
      <c r="E29" s="1">
        <v>1098</v>
      </c>
      <c r="F29" s="1">
        <v>1084</v>
      </c>
      <c r="G29" s="1">
        <v>1072</v>
      </c>
      <c r="H29" s="1">
        <v>1047</v>
      </c>
      <c r="I29" s="1">
        <v>1024</v>
      </c>
      <c r="J29" s="1">
        <v>1014</v>
      </c>
      <c r="K29" s="1">
        <v>986</v>
      </c>
      <c r="L29" s="1">
        <v>969</v>
      </c>
      <c r="M29" s="1">
        <v>923</v>
      </c>
      <c r="N29" s="1">
        <v>891</v>
      </c>
      <c r="O29" s="4"/>
      <c r="R29" s="1">
        <v>1158</v>
      </c>
      <c r="S29" s="1">
        <v>1107</v>
      </c>
      <c r="T29" s="1">
        <v>1039</v>
      </c>
      <c r="U29" s="1">
        <f>N29</f>
        <v>891</v>
      </c>
      <c r="V29" s="1">
        <f>U29*0.94</f>
        <v>837.54</v>
      </c>
      <c r="W29" s="1">
        <f t="shared" ref="W29:Y29" si="52">V29*0.94</f>
        <v>787.28759999999988</v>
      </c>
      <c r="X29" s="1">
        <f t="shared" si="52"/>
        <v>740.05034399999988</v>
      </c>
      <c r="Y29" s="1">
        <f t="shared" si="52"/>
        <v>695.64732335999986</v>
      </c>
    </row>
    <row r="30" spans="1:171" x14ac:dyDescent="0.2">
      <c r="B30" s="1" t="s">
        <v>6</v>
      </c>
      <c r="C30" s="5">
        <f t="shared" ref="C30:J30" si="53">C28/C29</f>
        <v>0.70105820105820105</v>
      </c>
      <c r="D30" s="5">
        <f t="shared" si="53"/>
        <v>0.92369838420107719</v>
      </c>
      <c r="E30" s="5">
        <f t="shared" si="53"/>
        <v>0.92896174863387981</v>
      </c>
      <c r="F30" s="5">
        <f t="shared" si="53"/>
        <v>1.2933579335793357</v>
      </c>
      <c r="G30" s="5">
        <f t="shared" si="53"/>
        <v>0.82835820895522383</v>
      </c>
      <c r="H30" s="5">
        <f t="shared" si="53"/>
        <v>1.0773638968481376</v>
      </c>
      <c r="I30" s="5">
        <f t="shared" si="53"/>
        <v>0.986328125</v>
      </c>
      <c r="J30" s="5">
        <f t="shared" si="53"/>
        <v>1.1055226824457594</v>
      </c>
      <c r="K30" s="5">
        <v>1.1299999999999999</v>
      </c>
      <c r="L30" s="5">
        <f>L28/L29</f>
        <v>1.3013415892672859</v>
      </c>
      <c r="M30" s="5">
        <f t="shared" ref="M30:N30" si="54">M28/M29</f>
        <v>1.6047960455037913</v>
      </c>
      <c r="N30" s="5">
        <f t="shared" si="54"/>
        <v>1.70049730340909</v>
      </c>
      <c r="R30" s="5">
        <f>R28/R29</f>
        <v>2.0889464594127807</v>
      </c>
      <c r="S30" s="5">
        <f>S28/S29</f>
        <v>3.8355916892502258</v>
      </c>
      <c r="T30" s="5">
        <f>T28/T29</f>
        <v>3.991337824831569</v>
      </c>
      <c r="U30" s="5">
        <f t="shared" ref="U30:Y30" si="55">U28/U29</f>
        <v>6.2226373146324292</v>
      </c>
      <c r="V30" s="5">
        <f t="shared" si="55"/>
        <v>6.7388975065524379</v>
      </c>
      <c r="W30" s="5">
        <f t="shared" si="55"/>
        <v>7.6353909125192736</v>
      </c>
      <c r="X30" s="5">
        <f t="shared" si="55"/>
        <v>8.645493914377111</v>
      </c>
      <c r="Y30" s="5">
        <f t="shared" si="55"/>
        <v>9.7832028692135413</v>
      </c>
      <c r="AA30" s="1" t="s">
        <v>37</v>
      </c>
      <c r="AB30" s="4">
        <v>0.02</v>
      </c>
    </row>
    <row r="31" spans="1:171" x14ac:dyDescent="0.2">
      <c r="G31" s="4"/>
      <c r="J31" s="6"/>
      <c r="U31" s="4"/>
      <c r="AA31" s="1" t="s">
        <v>35</v>
      </c>
      <c r="AB31" s="4">
        <v>0.01</v>
      </c>
    </row>
    <row r="32" spans="1:171" s="3" customFormat="1" x14ac:dyDescent="0.2">
      <c r="B32" s="3" t="s">
        <v>22</v>
      </c>
      <c r="C32" s="7"/>
      <c r="D32" s="7"/>
      <c r="E32" s="7"/>
      <c r="F32" s="7"/>
      <c r="G32" s="7">
        <f t="shared" ref="G32:N32" si="56">G13/C13-1</f>
        <v>9.3607954545454453E-2</v>
      </c>
      <c r="H32" s="7">
        <f t="shared" si="56"/>
        <v>8.2063949499108002E-2</v>
      </c>
      <c r="I32" s="7">
        <f t="shared" si="56"/>
        <v>5.7832299811269916E-2</v>
      </c>
      <c r="J32" s="7">
        <f t="shared" si="56"/>
        <v>4.2362322452030865E-2</v>
      </c>
      <c r="K32" s="7">
        <f t="shared" si="56"/>
        <v>1.1949603844655154E-2</v>
      </c>
      <c r="L32" s="7">
        <f t="shared" si="56"/>
        <v>5.1109701965757814E-2</v>
      </c>
      <c r="M32" s="7">
        <f t="shared" si="56"/>
        <v>8.7885816235503844E-2</v>
      </c>
      <c r="N32" s="7">
        <f t="shared" si="56"/>
        <v>5.1008749701171308E-2</v>
      </c>
      <c r="O32" s="7"/>
      <c r="P32" s="7" t="e">
        <f>P13/O13-1</f>
        <v>#DIV/0!</v>
      </c>
      <c r="Q32" s="7" t="e">
        <f t="shared" ref="Q32:R32" si="57">Q13/P13-1</f>
        <v>#DIV/0!</v>
      </c>
      <c r="R32" s="7" t="e">
        <f t="shared" si="57"/>
        <v>#DIV/0!</v>
      </c>
      <c r="S32" s="7">
        <f>S13/R13-1</f>
        <v>8.1873682680427384E-2</v>
      </c>
      <c r="T32" s="7">
        <f>T13/S13-1</f>
        <v>6.8052803063383793E-2</v>
      </c>
      <c r="U32" s="7">
        <f t="shared" ref="U32:Y32" si="58">U13/T13-1</f>
        <v>5.06770827436549E-2</v>
      </c>
      <c r="V32" s="7">
        <f t="shared" si="58"/>
        <v>5.0000000000000044E-2</v>
      </c>
      <c r="W32" s="7">
        <f t="shared" si="58"/>
        <v>5.0000000000000044E-2</v>
      </c>
      <c r="X32" s="7">
        <f t="shared" si="58"/>
        <v>5.0000000000000044E-2</v>
      </c>
      <c r="Y32" s="7">
        <f t="shared" si="58"/>
        <v>5.0000000000000044E-2</v>
      </c>
      <c r="AA32" s="1" t="s">
        <v>36</v>
      </c>
      <c r="AB32" s="4">
        <v>0.08</v>
      </c>
    </row>
    <row r="33" spans="2:29" x14ac:dyDescent="0.2">
      <c r="B33" s="1" t="s">
        <v>23</v>
      </c>
      <c r="D33" s="4">
        <f t="shared" ref="D33:N33" si="59">D13/C13-1</f>
        <v>3.5085227272727337E-2</v>
      </c>
      <c r="E33" s="4">
        <f t="shared" si="59"/>
        <v>1.7977219706326375E-2</v>
      </c>
      <c r="F33" s="4">
        <f t="shared" si="59"/>
        <v>8.1962793205715867E-2</v>
      </c>
      <c r="G33" s="4">
        <f t="shared" si="59"/>
        <v>-4.0742586593570884E-2</v>
      </c>
      <c r="H33" s="4">
        <f t="shared" si="59"/>
        <v>2.4158981685933334E-2</v>
      </c>
      <c r="I33" s="4">
        <f t="shared" si="59"/>
        <v>-4.8192771084337727E-3</v>
      </c>
      <c r="J33" s="4">
        <f t="shared" si="59"/>
        <v>6.6139926086402401E-2</v>
      </c>
      <c r="K33" s="4">
        <f t="shared" si="59"/>
        <v>-6.8730576141525224E-2</v>
      </c>
      <c r="L33" s="4">
        <f t="shared" si="59"/>
        <v>6.3791554357591984E-2</v>
      </c>
      <c r="M33" s="4">
        <f t="shared" si="59"/>
        <v>3.0000000000000027E-2</v>
      </c>
      <c r="N33" s="4">
        <f t="shared" si="59"/>
        <v>3.0000000000000027E-2</v>
      </c>
      <c r="AA33" s="1" t="s">
        <v>34</v>
      </c>
      <c r="AB33" s="16">
        <f>NPV(AB32,U62:FL62)+Main!J5-Main!J6</f>
        <v>92599.553979617034</v>
      </c>
    </row>
    <row r="34" spans="2:29" x14ac:dyDescent="0.2">
      <c r="AA34" s="12" t="s">
        <v>57</v>
      </c>
      <c r="AB34" s="5">
        <f>AB33/Main!J3</f>
        <v>96.924479326324558</v>
      </c>
      <c r="AC34" s="17"/>
    </row>
    <row r="35" spans="2:29" s="3" customFormat="1" x14ac:dyDescent="0.2">
      <c r="B35" s="3" t="s">
        <v>24</v>
      </c>
      <c r="C35" s="7">
        <f t="shared" ref="C35:N35" si="60">C18/C13</f>
        <v>0.40156249999999999</v>
      </c>
      <c r="D35" s="7">
        <f t="shared" si="60"/>
        <v>0.39193083573487031</v>
      </c>
      <c r="E35" s="7">
        <f t="shared" si="60"/>
        <v>0.39026691830682125</v>
      </c>
      <c r="F35" s="7">
        <f t="shared" si="60"/>
        <v>0.39957637677547969</v>
      </c>
      <c r="G35" s="7">
        <f t="shared" si="60"/>
        <v>0.39057020392258734</v>
      </c>
      <c r="H35" s="7">
        <f t="shared" si="60"/>
        <v>0.40228281547241596</v>
      </c>
      <c r="I35" s="7">
        <f t="shared" si="60"/>
        <v>0.41123996431757359</v>
      </c>
      <c r="J35" s="7">
        <f t="shared" si="60"/>
        <v>0.41644752569925891</v>
      </c>
      <c r="K35" s="7">
        <f t="shared" si="60"/>
        <v>0.42587601078167114</v>
      </c>
      <c r="L35" s="7">
        <f t="shared" si="60"/>
        <v>0.41397200772200771</v>
      </c>
      <c r="M35" s="7">
        <f t="shared" si="60"/>
        <v>0.44759647823968207</v>
      </c>
      <c r="N35" s="7">
        <f t="shared" si="60"/>
        <v>0.44759647823968207</v>
      </c>
      <c r="P35" s="7" t="e">
        <f t="shared" ref="P35:Y35" si="61">P18/P13</f>
        <v>#DIV/0!</v>
      </c>
      <c r="Q35" s="7" t="e">
        <f t="shared" si="61"/>
        <v>#DIV/0!</v>
      </c>
      <c r="R35" s="7">
        <f t="shared" si="61"/>
        <v>0.42346827531070574</v>
      </c>
      <c r="S35" s="7">
        <f t="shared" si="61"/>
        <v>0.39585502670383932</v>
      </c>
      <c r="T35" s="7">
        <f t="shared" si="61"/>
        <v>0.40538415573796271</v>
      </c>
      <c r="U35" s="7">
        <f t="shared" si="61"/>
        <v>0.43418954906977336</v>
      </c>
      <c r="V35" s="7">
        <f t="shared" si="61"/>
        <v>0.43418954906977342</v>
      </c>
      <c r="W35" s="7">
        <f t="shared" si="61"/>
        <v>0.43418954906977342</v>
      </c>
      <c r="X35" s="7">
        <f t="shared" si="61"/>
        <v>0.43418954906977353</v>
      </c>
      <c r="Y35" s="7">
        <f t="shared" si="61"/>
        <v>0.43418954906977353</v>
      </c>
      <c r="AA35" s="1"/>
      <c r="AB35" s="4">
        <f>AB34/Main!J2-1</f>
        <v>0.40470259893223992</v>
      </c>
    </row>
    <row r="36" spans="2:29" x14ac:dyDescent="0.2">
      <c r="B36" s="1" t="s">
        <v>25</v>
      </c>
      <c r="C36" s="4">
        <f t="shared" ref="C36:N36" si="62">C24/C13</f>
        <v>0.14190340909090909</v>
      </c>
      <c r="D36" s="4">
        <f t="shared" si="62"/>
        <v>0.15548236585700562</v>
      </c>
      <c r="E36" s="4">
        <f t="shared" si="62"/>
        <v>0.15745483957940146</v>
      </c>
      <c r="F36" s="4">
        <f t="shared" si="62"/>
        <v>0.21530027410914529</v>
      </c>
      <c r="G36" s="4">
        <f t="shared" si="62"/>
        <v>0.15170801402779582</v>
      </c>
      <c r="H36" s="4">
        <f t="shared" si="62"/>
        <v>0.16804058338617628</v>
      </c>
      <c r="I36" s="4">
        <f t="shared" si="62"/>
        <v>0.17726519689053141</v>
      </c>
      <c r="J36" s="4">
        <f t="shared" si="62"/>
        <v>0.17224480038250059</v>
      </c>
      <c r="K36" s="4">
        <f t="shared" si="62"/>
        <v>0.19638043896804006</v>
      </c>
      <c r="L36" s="4">
        <f t="shared" si="62"/>
        <v>0.18146718146718147</v>
      </c>
      <c r="M36" s="4">
        <f t="shared" si="62"/>
        <v>0.21283432357461476</v>
      </c>
      <c r="N36" s="4">
        <f t="shared" si="62"/>
        <v>0.21055507935456555</v>
      </c>
      <c r="P36" s="4" t="e">
        <f t="shared" ref="P36:Y36" si="63">P24/P13</f>
        <v>#DIV/0!</v>
      </c>
      <c r="Q36" s="4" t="e">
        <f t="shared" si="63"/>
        <v>#DIV/0!</v>
      </c>
      <c r="R36" s="4">
        <f t="shared" si="63"/>
        <v>0.13943600552365723</v>
      </c>
      <c r="S36" s="4">
        <f t="shared" si="63"/>
        <v>0.16888918746431092</v>
      </c>
      <c r="T36" s="4">
        <f t="shared" si="63"/>
        <v>0.16746862911595434</v>
      </c>
      <c r="U36" s="4">
        <f t="shared" si="63"/>
        <v>0.20061571559269162</v>
      </c>
      <c r="V36" s="4">
        <f t="shared" si="63"/>
        <v>0.20061571559269167</v>
      </c>
      <c r="W36" s="4">
        <f t="shared" si="63"/>
        <v>0.20061571559269165</v>
      </c>
      <c r="X36" s="4">
        <f t="shared" si="63"/>
        <v>0.20061571559269176</v>
      </c>
      <c r="Y36" s="4">
        <f t="shared" si="63"/>
        <v>0.20061571559269178</v>
      </c>
    </row>
    <row r="37" spans="2:29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P37" s="4"/>
      <c r="Q37" s="4"/>
      <c r="R37" s="4"/>
      <c r="S37" s="4"/>
      <c r="T37" s="4"/>
      <c r="U37" s="4"/>
      <c r="V37" s="4"/>
      <c r="W37" s="4"/>
      <c r="X37" s="4"/>
      <c r="Y37" s="4"/>
      <c r="AB37" s="4"/>
    </row>
    <row r="38" spans="2:29" x14ac:dyDescent="0.2">
      <c r="B38" s="1" t="s">
        <v>31</v>
      </c>
      <c r="L38" s="1">
        <f>L39+L44-L55</f>
        <v>2357</v>
      </c>
      <c r="M38" s="1">
        <f>L38+M28</f>
        <v>3838.2267499999994</v>
      </c>
      <c r="N38" s="1">
        <f>M38+N28</f>
        <v>5353.3698473374989</v>
      </c>
      <c r="U38" s="1">
        <f>N38</f>
        <v>5353.3698473374989</v>
      </c>
      <c r="V38" s="1">
        <f>U38+V28</f>
        <v>10997.466064975428</v>
      </c>
      <c r="W38" s="1">
        <f>V38+W28</f>
        <v>17008.714651554536</v>
      </c>
      <c r="X38" s="1">
        <f>W38+X28</f>
        <v>23406.815396939222</v>
      </c>
      <c r="Y38" s="1">
        <f>X38+Y28</f>
        <v>30212.474286795492</v>
      </c>
    </row>
    <row r="39" spans="2:29" x14ac:dyDescent="0.2">
      <c r="B39" s="12" t="s">
        <v>3</v>
      </c>
      <c r="L39" s="1">
        <f>6688+3320</f>
        <v>10008</v>
      </c>
    </row>
    <row r="40" spans="2:29" x14ac:dyDescent="0.2">
      <c r="B40" s="12" t="s">
        <v>33</v>
      </c>
      <c r="L40" s="1">
        <v>1099</v>
      </c>
    </row>
    <row r="41" spans="2:29" x14ac:dyDescent="0.2">
      <c r="B41" s="12" t="s">
        <v>58</v>
      </c>
      <c r="L41" s="1">
        <f>817+6938</f>
        <v>7755</v>
      </c>
    </row>
    <row r="42" spans="2:29" x14ac:dyDescent="0.2">
      <c r="B42" s="12" t="s">
        <v>59</v>
      </c>
      <c r="L42" s="1">
        <v>38923</v>
      </c>
    </row>
    <row r="43" spans="2:29" x14ac:dyDescent="0.2">
      <c r="B43" s="12" t="s">
        <v>60</v>
      </c>
      <c r="L43" s="1">
        <v>2094</v>
      </c>
    </row>
    <row r="44" spans="2:29" x14ac:dyDescent="0.2">
      <c r="B44" s="12" t="s">
        <v>61</v>
      </c>
      <c r="L44" s="1">
        <v>3645</v>
      </c>
    </row>
    <row r="45" spans="2:29" x14ac:dyDescent="0.2">
      <c r="B45" s="12" t="s">
        <v>62</v>
      </c>
      <c r="L45" s="1">
        <v>1625</v>
      </c>
      <c r="R45" s="4"/>
      <c r="S45" s="4"/>
      <c r="T45" s="4"/>
      <c r="U45" s="4"/>
      <c r="V45" s="4"/>
      <c r="W45" s="4"/>
      <c r="X45" s="4"/>
      <c r="Y45" s="4"/>
    </row>
    <row r="46" spans="2:29" x14ac:dyDescent="0.2">
      <c r="B46" s="12" t="s">
        <v>63</v>
      </c>
      <c r="L46" s="1">
        <v>10976</v>
      </c>
      <c r="R46" s="4"/>
      <c r="S46" s="4"/>
      <c r="T46" s="4"/>
      <c r="U46" s="4"/>
      <c r="V46" s="4"/>
      <c r="W46" s="4"/>
      <c r="X46" s="4"/>
      <c r="Y46" s="4"/>
    </row>
    <row r="47" spans="2:29" x14ac:dyDescent="0.2">
      <c r="B47" s="12" t="s">
        <v>64</v>
      </c>
      <c r="L47" s="1">
        <v>271</v>
      </c>
      <c r="R47" s="4"/>
      <c r="S47" s="4"/>
      <c r="T47" s="4"/>
      <c r="U47" s="4"/>
      <c r="V47" s="4"/>
      <c r="W47" s="4"/>
      <c r="X47" s="4"/>
      <c r="Y47" s="4"/>
    </row>
    <row r="48" spans="2:29" x14ac:dyDescent="0.2">
      <c r="B48" s="12" t="s">
        <v>65</v>
      </c>
      <c r="L48" s="1">
        <v>3381</v>
      </c>
      <c r="R48" s="4"/>
      <c r="S48" s="4"/>
      <c r="T48" s="4"/>
      <c r="U48" s="4"/>
      <c r="V48" s="4"/>
      <c r="W48" s="4"/>
      <c r="X48" s="4"/>
      <c r="Y48" s="4"/>
    </row>
    <row r="49" spans="2:168" x14ac:dyDescent="0.2">
      <c r="B49" s="12" t="s">
        <v>66</v>
      </c>
      <c r="L49" s="1">
        <f>SUM(L39:L48)</f>
        <v>79777</v>
      </c>
      <c r="R49" s="4"/>
      <c r="S49" s="4"/>
      <c r="T49" s="4"/>
      <c r="U49" s="4"/>
      <c r="V49" s="4"/>
      <c r="W49" s="4"/>
      <c r="X49" s="4"/>
      <c r="Y49" s="4"/>
    </row>
    <row r="50" spans="2:168" x14ac:dyDescent="0.2">
      <c r="B50" s="12"/>
      <c r="R50" s="4"/>
      <c r="S50" s="4"/>
      <c r="T50" s="4"/>
      <c r="U50" s="4"/>
      <c r="V50" s="4"/>
      <c r="W50" s="4"/>
      <c r="X50" s="4"/>
      <c r="Y50" s="4"/>
    </row>
    <row r="51" spans="2:168" x14ac:dyDescent="0.2">
      <c r="B51" s="12" t="s">
        <v>32</v>
      </c>
      <c r="L51" s="1">
        <v>221</v>
      </c>
      <c r="R51" s="4"/>
      <c r="S51" s="4"/>
      <c r="T51" s="4"/>
      <c r="U51" s="4"/>
      <c r="V51" s="4"/>
      <c r="W51" s="4"/>
      <c r="X51" s="4"/>
      <c r="Y51" s="4"/>
    </row>
    <row r="52" spans="2:168" x14ac:dyDescent="0.2">
      <c r="B52" s="12" t="s">
        <v>67</v>
      </c>
      <c r="L52" s="1">
        <v>40923</v>
      </c>
      <c r="R52" s="4"/>
      <c r="S52" s="4"/>
      <c r="T52" s="4"/>
      <c r="U52" s="4"/>
      <c r="V52" s="4"/>
      <c r="W52" s="4"/>
      <c r="X52" s="4"/>
      <c r="Y52" s="4"/>
    </row>
    <row r="53" spans="2:168" x14ac:dyDescent="0.2">
      <c r="B53" s="12" t="s">
        <v>68</v>
      </c>
      <c r="L53" s="1">
        <v>3906</v>
      </c>
      <c r="R53" s="4"/>
      <c r="S53" s="4"/>
      <c r="T53" s="4"/>
      <c r="U53" s="4"/>
      <c r="V53" s="4"/>
      <c r="W53" s="4"/>
      <c r="X53" s="4"/>
      <c r="Y53" s="4"/>
    </row>
    <row r="54" spans="2:168" x14ac:dyDescent="0.2">
      <c r="B54" s="12" t="s">
        <v>69</v>
      </c>
      <c r="L54" s="1">
        <v>3230</v>
      </c>
      <c r="R54" s="4"/>
      <c r="S54" s="4"/>
      <c r="T54" s="4"/>
      <c r="U54" s="4"/>
      <c r="V54" s="4"/>
      <c r="W54" s="4"/>
      <c r="X54" s="4"/>
      <c r="Y54" s="4"/>
    </row>
    <row r="55" spans="2:168" x14ac:dyDescent="0.2">
      <c r="B55" s="12" t="s">
        <v>4</v>
      </c>
      <c r="L55" s="1">
        <v>11296</v>
      </c>
      <c r="R55" s="4"/>
      <c r="S55" s="4"/>
      <c r="T55" s="4"/>
      <c r="U55" s="4"/>
      <c r="V55" s="4"/>
      <c r="W55" s="4"/>
      <c r="X55" s="4"/>
      <c r="Y55" s="4"/>
    </row>
    <row r="56" spans="2:168" x14ac:dyDescent="0.2">
      <c r="B56" s="12" t="s">
        <v>70</v>
      </c>
      <c r="L56" s="1">
        <f>SUM(L51:L55)</f>
        <v>59576</v>
      </c>
      <c r="R56" s="4"/>
      <c r="S56" s="4"/>
      <c r="T56" s="4"/>
      <c r="U56" s="4"/>
      <c r="V56" s="4"/>
      <c r="W56" s="4"/>
      <c r="X56" s="4"/>
      <c r="Y56" s="4"/>
    </row>
    <row r="57" spans="2:168" x14ac:dyDescent="0.2">
      <c r="B57" s="12" t="s">
        <v>71</v>
      </c>
      <c r="L57" s="1">
        <f>L49-L56</f>
        <v>20201</v>
      </c>
      <c r="R57" s="4"/>
      <c r="S57" s="4"/>
      <c r="T57" s="4"/>
      <c r="U57" s="4"/>
      <c r="V57" s="4"/>
      <c r="W57" s="4"/>
      <c r="X57" s="4"/>
      <c r="Y57" s="4"/>
    </row>
    <row r="58" spans="2:168" x14ac:dyDescent="0.2">
      <c r="B58" s="12" t="s">
        <v>72</v>
      </c>
      <c r="L58" s="1">
        <f>L57+L56</f>
        <v>79777</v>
      </c>
      <c r="R58" s="4"/>
      <c r="S58" s="4"/>
      <c r="T58" s="4"/>
      <c r="U58" s="4"/>
      <c r="V58" s="4"/>
      <c r="W58" s="4"/>
      <c r="X58" s="4"/>
      <c r="Y58" s="4"/>
    </row>
    <row r="59" spans="2:168" x14ac:dyDescent="0.2">
      <c r="B59" s="12"/>
      <c r="R59" s="4"/>
      <c r="S59" s="4"/>
      <c r="T59" s="4"/>
      <c r="U59" s="4"/>
      <c r="V59" s="5"/>
      <c r="W59" s="5"/>
      <c r="X59" s="4"/>
      <c r="Y59" s="4"/>
    </row>
    <row r="60" spans="2:168" x14ac:dyDescent="0.2">
      <c r="B60" s="1" t="s">
        <v>26</v>
      </c>
      <c r="R60" s="1">
        <v>5813</v>
      </c>
      <c r="S60" s="1">
        <v>4843</v>
      </c>
      <c r="T60" s="1">
        <v>7450</v>
      </c>
      <c r="U60" s="1">
        <v>7500</v>
      </c>
      <c r="V60" s="1">
        <f>U60*1.05</f>
        <v>7875</v>
      </c>
      <c r="W60" s="1">
        <f t="shared" ref="W60:Y61" si="64">V60*1.05</f>
        <v>8268.75</v>
      </c>
      <c r="X60" s="1">
        <f t="shared" si="64"/>
        <v>8682.1875</v>
      </c>
      <c r="Y60" s="1">
        <f t="shared" si="64"/>
        <v>9116.296875</v>
      </c>
      <c r="AC60" s="5"/>
    </row>
    <row r="61" spans="2:168" x14ac:dyDescent="0.2">
      <c r="B61" s="1" t="s">
        <v>27</v>
      </c>
      <c r="R61" s="1">
        <v>-3328</v>
      </c>
      <c r="S61" s="1">
        <v>-752</v>
      </c>
      <c r="T61" s="1">
        <v>-1589</v>
      </c>
      <c r="U61" s="1">
        <v>-1000</v>
      </c>
      <c r="V61" s="1">
        <v>-1750</v>
      </c>
      <c r="W61" s="1">
        <f t="shared" si="64"/>
        <v>-1837.5</v>
      </c>
      <c r="X61" s="1">
        <f t="shared" si="64"/>
        <v>-1929.375</v>
      </c>
      <c r="Y61" s="1">
        <f t="shared" si="64"/>
        <v>-2025.84375</v>
      </c>
      <c r="AC61" s="5"/>
    </row>
    <row r="62" spans="2:168" x14ac:dyDescent="0.2">
      <c r="B62" s="3" t="s">
        <v>28</v>
      </c>
      <c r="C62" s="3">
        <f>C60-C61</f>
        <v>0</v>
      </c>
      <c r="D62" s="3"/>
      <c r="E62" s="3"/>
      <c r="F62" s="3"/>
      <c r="G62" s="3">
        <v>1856</v>
      </c>
      <c r="H62" s="3">
        <v>1140</v>
      </c>
      <c r="I62" s="3">
        <v>1540</v>
      </c>
      <c r="J62" s="3">
        <v>2098</v>
      </c>
      <c r="K62" s="3">
        <v>1381</v>
      </c>
      <c r="L62" s="3">
        <v>656</v>
      </c>
      <c r="M62" s="3">
        <v>2232</v>
      </c>
      <c r="N62" s="3">
        <v>2232</v>
      </c>
      <c r="O62" s="3"/>
      <c r="P62" s="3"/>
      <c r="Q62" s="3"/>
      <c r="R62" s="3">
        <f>R60+R61</f>
        <v>2485</v>
      </c>
      <c r="S62" s="3">
        <f t="shared" ref="S62:T62" si="65">S60+S61</f>
        <v>4091</v>
      </c>
      <c r="T62" s="3">
        <f t="shared" si="65"/>
        <v>5861</v>
      </c>
      <c r="U62" s="3">
        <f>U60+U61</f>
        <v>6500</v>
      </c>
      <c r="V62" s="3">
        <f>V60+V61</f>
        <v>6125</v>
      </c>
      <c r="W62" s="3">
        <f t="shared" ref="W62:Y62" si="66">W60+W61</f>
        <v>6431.25</v>
      </c>
      <c r="X62" s="3">
        <f t="shared" si="66"/>
        <v>6752.8125</v>
      </c>
      <c r="Y62" s="3">
        <f t="shared" si="66"/>
        <v>7090.453125</v>
      </c>
      <c r="Z62" s="3">
        <f t="shared" ref="Z62:BE62" si="67">Y62*(1+$AB$31)</f>
        <v>7161.3576562500002</v>
      </c>
      <c r="AA62" s="3">
        <f t="shared" si="67"/>
        <v>7232.9712328125006</v>
      </c>
      <c r="AB62" s="3">
        <f t="shared" si="67"/>
        <v>7305.300945140626</v>
      </c>
      <c r="AC62" s="3">
        <f t="shared" si="67"/>
        <v>7378.3539545920321</v>
      </c>
      <c r="AD62" s="3">
        <f t="shared" si="67"/>
        <v>7452.1374941379527</v>
      </c>
      <c r="AE62" s="3">
        <f t="shared" si="67"/>
        <v>7526.6588690793324</v>
      </c>
      <c r="AF62" s="3">
        <f t="shared" si="67"/>
        <v>7601.9254577701258</v>
      </c>
      <c r="AG62" s="3">
        <f t="shared" si="67"/>
        <v>7677.9447123478276</v>
      </c>
      <c r="AH62" s="3">
        <f t="shared" si="67"/>
        <v>7754.7241594713059</v>
      </c>
      <c r="AI62" s="3">
        <f t="shared" si="67"/>
        <v>7832.2714010660193</v>
      </c>
      <c r="AJ62" s="3">
        <f t="shared" si="67"/>
        <v>7910.5941150766794</v>
      </c>
      <c r="AK62" s="3">
        <f t="shared" si="67"/>
        <v>7989.7000562274461</v>
      </c>
      <c r="AL62" s="3">
        <f t="shared" si="67"/>
        <v>8069.5970567897202</v>
      </c>
      <c r="AM62" s="3">
        <f t="shared" si="67"/>
        <v>8150.2930273576176</v>
      </c>
      <c r="AN62" s="3">
        <f t="shared" si="67"/>
        <v>8231.7959576311932</v>
      </c>
      <c r="AO62" s="3">
        <f t="shared" si="67"/>
        <v>8314.1139172075054</v>
      </c>
      <c r="AP62" s="3">
        <f t="shared" si="67"/>
        <v>8397.2550563795812</v>
      </c>
      <c r="AQ62" s="3">
        <f t="shared" si="67"/>
        <v>8481.2276069433774</v>
      </c>
      <c r="AR62" s="3">
        <f t="shared" si="67"/>
        <v>8566.0398830128106</v>
      </c>
      <c r="AS62" s="3">
        <f t="shared" si="67"/>
        <v>8651.7002818429391</v>
      </c>
      <c r="AT62" s="3">
        <f t="shared" si="67"/>
        <v>8738.2172846613685</v>
      </c>
      <c r="AU62" s="3">
        <f t="shared" si="67"/>
        <v>8825.5994575079822</v>
      </c>
      <c r="AV62" s="3">
        <f t="shared" si="67"/>
        <v>8913.8554520830621</v>
      </c>
      <c r="AW62" s="3">
        <f t="shared" si="67"/>
        <v>9002.9940066038926</v>
      </c>
      <c r="AX62" s="3">
        <f t="shared" si="67"/>
        <v>9093.0239466699313</v>
      </c>
      <c r="AY62" s="3">
        <f t="shared" si="67"/>
        <v>9183.9541861366306</v>
      </c>
      <c r="AZ62" s="3">
        <f t="shared" si="67"/>
        <v>9275.7937279979978</v>
      </c>
      <c r="BA62" s="3">
        <f t="shared" si="67"/>
        <v>9368.551665277977</v>
      </c>
      <c r="BB62" s="3">
        <f t="shared" si="67"/>
        <v>9462.2371819307573</v>
      </c>
      <c r="BC62" s="3">
        <f t="shared" si="67"/>
        <v>9556.8595537500642</v>
      </c>
      <c r="BD62" s="3">
        <f t="shared" si="67"/>
        <v>9652.4281492875652</v>
      </c>
      <c r="BE62" s="3">
        <f t="shared" si="67"/>
        <v>9748.9524307804404</v>
      </c>
      <c r="BF62" s="3">
        <f t="shared" ref="BF62:CK62" si="68">BE62*(1+$AB$31)</f>
        <v>9846.4419550882449</v>
      </c>
      <c r="BG62" s="3">
        <f t="shared" si="68"/>
        <v>9944.9063746391275</v>
      </c>
      <c r="BH62" s="3">
        <f t="shared" si="68"/>
        <v>10044.355438385519</v>
      </c>
      <c r="BI62" s="3">
        <f t="shared" si="68"/>
        <v>10144.798992769374</v>
      </c>
      <c r="BJ62" s="3">
        <f t="shared" si="68"/>
        <v>10246.246982697068</v>
      </c>
      <c r="BK62" s="3">
        <f t="shared" si="68"/>
        <v>10348.709452524039</v>
      </c>
      <c r="BL62" s="3">
        <f t="shared" si="68"/>
        <v>10452.19654704928</v>
      </c>
      <c r="BM62" s="3">
        <f t="shared" si="68"/>
        <v>10556.718512519772</v>
      </c>
      <c r="BN62" s="3">
        <f t="shared" si="68"/>
        <v>10662.285697644969</v>
      </c>
      <c r="BO62" s="3">
        <f t="shared" si="68"/>
        <v>10768.908554621419</v>
      </c>
      <c r="BP62" s="3">
        <f t="shared" si="68"/>
        <v>10876.597640167633</v>
      </c>
      <c r="BQ62" s="3">
        <f t="shared" si="68"/>
        <v>10985.36361656931</v>
      </c>
      <c r="BR62" s="3">
        <f t="shared" si="68"/>
        <v>11095.217252735003</v>
      </c>
      <c r="BS62" s="3">
        <f t="shared" si="68"/>
        <v>11206.169425262353</v>
      </c>
      <c r="BT62" s="3">
        <f t="shared" si="68"/>
        <v>11318.231119514976</v>
      </c>
      <c r="BU62" s="3">
        <f t="shared" si="68"/>
        <v>11431.413430710127</v>
      </c>
      <c r="BV62" s="3">
        <f t="shared" si="68"/>
        <v>11545.727565017229</v>
      </c>
      <c r="BW62" s="3">
        <f t="shared" si="68"/>
        <v>11661.184840667402</v>
      </c>
      <c r="BX62" s="3">
        <f t="shared" si="68"/>
        <v>11777.796689074075</v>
      </c>
      <c r="BY62" s="3">
        <f t="shared" si="68"/>
        <v>11895.574655964816</v>
      </c>
      <c r="BZ62" s="3">
        <f t="shared" si="68"/>
        <v>12014.530402524464</v>
      </c>
      <c r="CA62" s="3">
        <f t="shared" si="68"/>
        <v>12134.67570654971</v>
      </c>
      <c r="CB62" s="3">
        <f t="shared" si="68"/>
        <v>12256.022463615207</v>
      </c>
      <c r="CC62" s="3">
        <f t="shared" si="68"/>
        <v>12378.582688251359</v>
      </c>
      <c r="CD62" s="3">
        <f t="shared" si="68"/>
        <v>12502.368515133872</v>
      </c>
      <c r="CE62" s="3">
        <f t="shared" si="68"/>
        <v>12627.39220028521</v>
      </c>
      <c r="CF62" s="3">
        <f t="shared" si="68"/>
        <v>12753.666122288063</v>
      </c>
      <c r="CG62" s="3">
        <f t="shared" si="68"/>
        <v>12881.202783510944</v>
      </c>
      <c r="CH62" s="3">
        <f t="shared" si="68"/>
        <v>13010.014811346053</v>
      </c>
      <c r="CI62" s="3">
        <f t="shared" si="68"/>
        <v>13140.114959459514</v>
      </c>
      <c r="CJ62" s="3">
        <f t="shared" si="68"/>
        <v>13271.51610905411</v>
      </c>
      <c r="CK62" s="3">
        <f t="shared" si="68"/>
        <v>13404.231270144652</v>
      </c>
      <c r="CL62" s="3">
        <f t="shared" ref="CL62:DQ62" si="69">CK62*(1+$AB$31)</f>
        <v>13538.273582846099</v>
      </c>
      <c r="CM62" s="3">
        <f t="shared" si="69"/>
        <v>13673.656318674561</v>
      </c>
      <c r="CN62" s="3">
        <f t="shared" si="69"/>
        <v>13810.392881861306</v>
      </c>
      <c r="CO62" s="3">
        <f t="shared" si="69"/>
        <v>13948.496810679919</v>
      </c>
      <c r="CP62" s="3">
        <f t="shared" si="69"/>
        <v>14087.981778786718</v>
      </c>
      <c r="CQ62" s="3">
        <f t="shared" si="69"/>
        <v>14228.861596574585</v>
      </c>
      <c r="CR62" s="3">
        <f t="shared" si="69"/>
        <v>14371.150212540331</v>
      </c>
      <c r="CS62" s="3">
        <f t="shared" si="69"/>
        <v>14514.861714665734</v>
      </c>
      <c r="CT62" s="3">
        <f t="shared" si="69"/>
        <v>14660.010331812391</v>
      </c>
      <c r="CU62" s="3">
        <f t="shared" si="69"/>
        <v>14806.610435130515</v>
      </c>
      <c r="CV62" s="3">
        <f t="shared" si="69"/>
        <v>14954.676539481819</v>
      </c>
      <c r="CW62" s="3">
        <f t="shared" si="69"/>
        <v>15104.223304876637</v>
      </c>
      <c r="CX62" s="3">
        <f t="shared" si="69"/>
        <v>15255.265537925405</v>
      </c>
      <c r="CY62" s="3">
        <f t="shared" si="69"/>
        <v>15407.818193304658</v>
      </c>
      <c r="CZ62" s="3">
        <f t="shared" si="69"/>
        <v>15561.896375237704</v>
      </c>
      <c r="DA62" s="3">
        <f t="shared" si="69"/>
        <v>15717.515338990081</v>
      </c>
      <c r="DB62" s="3">
        <f t="shared" si="69"/>
        <v>15874.690492379981</v>
      </c>
      <c r="DC62" s="3">
        <f t="shared" si="69"/>
        <v>16033.437397303782</v>
      </c>
      <c r="DD62" s="3">
        <f t="shared" si="69"/>
        <v>16193.771771276819</v>
      </c>
      <c r="DE62" s="3">
        <f t="shared" si="69"/>
        <v>16355.709488989587</v>
      </c>
      <c r="DF62" s="3">
        <f t="shared" si="69"/>
        <v>16519.266583879482</v>
      </c>
      <c r="DG62" s="3">
        <f t="shared" si="69"/>
        <v>16684.459249718278</v>
      </c>
      <c r="DH62" s="3">
        <f t="shared" si="69"/>
        <v>16851.30384221546</v>
      </c>
      <c r="DI62" s="3">
        <f t="shared" si="69"/>
        <v>17019.816880637616</v>
      </c>
      <c r="DJ62" s="3">
        <f t="shared" si="69"/>
        <v>17190.015049443991</v>
      </c>
      <c r="DK62" s="3">
        <f t="shared" si="69"/>
        <v>17361.91519993843</v>
      </c>
      <c r="DL62" s="3">
        <f t="shared" si="69"/>
        <v>17535.534351937815</v>
      </c>
      <c r="DM62" s="3">
        <f t="shared" si="69"/>
        <v>17710.889695457194</v>
      </c>
      <c r="DN62" s="3">
        <f t="shared" si="69"/>
        <v>17887.998592411765</v>
      </c>
      <c r="DO62" s="3">
        <f t="shared" si="69"/>
        <v>18066.878578335884</v>
      </c>
      <c r="DP62" s="3">
        <f t="shared" si="69"/>
        <v>18247.547364119244</v>
      </c>
      <c r="DQ62" s="3">
        <f t="shared" si="69"/>
        <v>18430.022837760436</v>
      </c>
      <c r="DR62" s="3">
        <f t="shared" ref="DR62:EW62" si="70">DQ62*(1+$AB$31)</f>
        <v>18614.32306613804</v>
      </c>
      <c r="DS62" s="3">
        <f t="shared" si="70"/>
        <v>18800.466296799419</v>
      </c>
      <c r="DT62" s="3">
        <f t="shared" si="70"/>
        <v>18988.470959767412</v>
      </c>
      <c r="DU62" s="3">
        <f t="shared" si="70"/>
        <v>19178.355669365086</v>
      </c>
      <c r="DV62" s="3">
        <f t="shared" si="70"/>
        <v>19370.139226058738</v>
      </c>
      <c r="DW62" s="3">
        <f t="shared" si="70"/>
        <v>19563.840618319326</v>
      </c>
      <c r="DX62" s="3">
        <f t="shared" si="70"/>
        <v>19759.479024502518</v>
      </c>
      <c r="DY62" s="3">
        <f t="shared" si="70"/>
        <v>19957.073814747542</v>
      </c>
      <c r="DZ62" s="3">
        <f t="shared" si="70"/>
        <v>20156.644552895017</v>
      </c>
      <c r="EA62" s="3">
        <f t="shared" si="70"/>
        <v>20358.210998423969</v>
      </c>
      <c r="EB62" s="3">
        <f t="shared" si="70"/>
        <v>20561.793108408208</v>
      </c>
      <c r="EC62" s="3">
        <f t="shared" si="70"/>
        <v>20767.41103949229</v>
      </c>
      <c r="ED62" s="3">
        <f t="shared" si="70"/>
        <v>20975.085149887214</v>
      </c>
      <c r="EE62" s="3">
        <f t="shared" si="70"/>
        <v>21184.836001386087</v>
      </c>
      <c r="EF62" s="3">
        <f t="shared" si="70"/>
        <v>21396.684361399948</v>
      </c>
      <c r="EG62" s="3">
        <f t="shared" si="70"/>
        <v>21610.651205013946</v>
      </c>
      <c r="EH62" s="3">
        <f t="shared" si="70"/>
        <v>21826.757717064087</v>
      </c>
      <c r="EI62" s="3">
        <f t="shared" si="70"/>
        <v>22045.025294234729</v>
      </c>
      <c r="EJ62" s="3">
        <f t="shared" si="70"/>
        <v>22265.475547177077</v>
      </c>
      <c r="EK62" s="3">
        <f t="shared" si="70"/>
        <v>22488.130302648849</v>
      </c>
      <c r="EL62" s="3">
        <f t="shared" si="70"/>
        <v>22713.01160567534</v>
      </c>
      <c r="EM62" s="3">
        <f t="shared" si="70"/>
        <v>22940.141721732092</v>
      </c>
      <c r="EN62" s="3">
        <f t="shared" si="70"/>
        <v>23169.543138949415</v>
      </c>
      <c r="EO62" s="3">
        <f t="shared" si="70"/>
        <v>23401.238570338908</v>
      </c>
      <c r="EP62" s="3">
        <f t="shared" si="70"/>
        <v>23635.250956042299</v>
      </c>
      <c r="EQ62" s="3">
        <f t="shared" si="70"/>
        <v>23871.603465602722</v>
      </c>
      <c r="ER62" s="3">
        <f t="shared" si="70"/>
        <v>24110.319500258749</v>
      </c>
      <c r="ES62" s="3">
        <f t="shared" si="70"/>
        <v>24351.422695261335</v>
      </c>
      <c r="ET62" s="3">
        <f t="shared" si="70"/>
        <v>24594.93692221395</v>
      </c>
      <c r="EU62" s="3">
        <f t="shared" si="70"/>
        <v>24840.886291436091</v>
      </c>
      <c r="EV62" s="3">
        <f t="shared" si="70"/>
        <v>25089.295154350453</v>
      </c>
      <c r="EW62" s="3">
        <f t="shared" si="70"/>
        <v>25340.188105893958</v>
      </c>
      <c r="EX62" s="3">
        <f t="shared" ref="EX62:FL62" si="71">EW62*(1+$AB$31)</f>
        <v>25593.589986952898</v>
      </c>
      <c r="EY62" s="3">
        <f t="shared" si="71"/>
        <v>25849.525886822426</v>
      </c>
      <c r="EZ62" s="3">
        <f t="shared" si="71"/>
        <v>26108.021145690651</v>
      </c>
      <c r="FA62" s="3">
        <f t="shared" si="71"/>
        <v>26369.101357147556</v>
      </c>
      <c r="FB62" s="3">
        <f t="shared" si="71"/>
        <v>26632.792370719031</v>
      </c>
      <c r="FC62" s="3">
        <f t="shared" si="71"/>
        <v>26899.120294426222</v>
      </c>
      <c r="FD62" s="3">
        <f t="shared" si="71"/>
        <v>27168.111497370486</v>
      </c>
      <c r="FE62" s="3">
        <f t="shared" si="71"/>
        <v>27439.79261234419</v>
      </c>
      <c r="FF62" s="3">
        <f t="shared" si="71"/>
        <v>27714.190538467632</v>
      </c>
      <c r="FG62" s="3">
        <f t="shared" si="71"/>
        <v>27991.332443852309</v>
      </c>
      <c r="FH62" s="3">
        <f t="shared" si="71"/>
        <v>28271.245768290832</v>
      </c>
      <c r="FI62" s="3">
        <f t="shared" si="71"/>
        <v>28553.95822597374</v>
      </c>
      <c r="FJ62" s="3">
        <f t="shared" si="71"/>
        <v>28839.497808233478</v>
      </c>
      <c r="FK62" s="3">
        <f t="shared" si="71"/>
        <v>29127.892786315813</v>
      </c>
      <c r="FL62" s="3">
        <f t="shared" si="71"/>
        <v>29419.17171417897</v>
      </c>
    </row>
  </sheetData>
  <hyperlinks>
    <hyperlink ref="A1" location="Main!A1" display="Main" xr:uid="{21B57FA8-EA8B-4177-9C6F-64392625FC85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2025-04-07T03:20:45Z</dcterms:created>
  <dcterms:modified xsi:type="dcterms:W3CDTF">2025-08-24T11:49:44Z</dcterms:modified>
</cp:coreProperties>
</file>