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D1F81DB-82EC-43B0-8130-AAD1FD8FF035}" xr6:coauthVersionLast="47" xr6:coauthVersionMax="47" xr10:uidLastSave="{00000000-0000-0000-0000-000000000000}"/>
  <bookViews>
    <workbookView xWindow="780" yWindow="780" windowWidth="22200" windowHeight="14805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6" i="2" l="1"/>
  <c r="U37" i="2"/>
  <c r="J58" i="2"/>
  <c r="V51" i="2"/>
  <c r="V45" i="2"/>
  <c r="L37" i="2"/>
  <c r="V29" i="2"/>
  <c r="U29" i="2"/>
  <c r="V34" i="2"/>
  <c r="U34" i="2"/>
  <c r="T58" i="2"/>
  <c r="S58" i="2"/>
  <c r="I58" i="2"/>
  <c r="T72" i="2"/>
  <c r="S72" i="2"/>
  <c r="W20" i="2"/>
  <c r="X20" i="2" s="1"/>
  <c r="Y20" i="2" s="1"/>
  <c r="Z20" i="2" s="1"/>
  <c r="W93" i="2"/>
  <c r="X93" i="2" s="1"/>
  <c r="Y93" i="2" s="1"/>
  <c r="Z93" i="2" s="1"/>
  <c r="W90" i="2"/>
  <c r="X90" i="2" s="1"/>
  <c r="Y90" i="2" s="1"/>
  <c r="Z90" i="2" s="1"/>
  <c r="G102" i="2"/>
  <c r="H102" i="2"/>
  <c r="U101" i="2"/>
  <c r="U100" i="2"/>
  <c r="U99" i="2"/>
  <c r="W91" i="2"/>
  <c r="X91" i="2" s="1"/>
  <c r="Y91" i="2" s="1"/>
  <c r="Z91" i="2" s="1"/>
  <c r="W92" i="2"/>
  <c r="X92" i="2" s="1"/>
  <c r="Y92" i="2" s="1"/>
  <c r="Z92" i="2" s="1"/>
  <c r="V8" i="2"/>
  <c r="V7" i="2"/>
  <c r="D39" i="2"/>
  <c r="E39" i="2"/>
  <c r="F39" i="2"/>
  <c r="D43" i="2"/>
  <c r="E43" i="2"/>
  <c r="F43" i="2"/>
  <c r="C43" i="2"/>
  <c r="C39" i="2"/>
  <c r="J23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M37" i="2" l="1"/>
  <c r="N37" i="2" s="1"/>
  <c r="C44" i="2"/>
  <c r="C47" i="2" s="1"/>
  <c r="C49" i="2" s="1"/>
  <c r="C50" i="2" s="1"/>
  <c r="F44" i="2"/>
  <c r="F47" i="2" s="1"/>
  <c r="F49" i="2" s="1"/>
  <c r="F50" i="2" s="1"/>
  <c r="E44" i="2"/>
  <c r="E47" i="2" s="1"/>
  <c r="E49" i="2" s="1"/>
  <c r="E50" i="2" s="1"/>
  <c r="D44" i="2"/>
  <c r="D47" i="2" s="1"/>
  <c r="D49" i="2" s="1"/>
  <c r="D50" i="2" s="1"/>
  <c r="W16" i="2"/>
  <c r="Z16" i="2"/>
  <c r="Y16" i="2"/>
  <c r="X16" i="2"/>
  <c r="U51" i="2"/>
  <c r="U69" i="2"/>
  <c r="U70" i="2"/>
  <c r="U71" i="2"/>
  <c r="U72" i="2"/>
  <c r="U73" i="2"/>
  <c r="U74" i="2"/>
  <c r="U75" i="2"/>
  <c r="U68" i="2"/>
  <c r="U60" i="2"/>
  <c r="U61" i="2"/>
  <c r="U62" i="2"/>
  <c r="U63" i="2"/>
  <c r="U64" i="2"/>
  <c r="U65" i="2"/>
  <c r="U59" i="2"/>
  <c r="U45" i="2"/>
  <c r="I54" i="2"/>
  <c r="N5" i="1"/>
  <c r="E27" i="2"/>
  <c r="H27" i="2"/>
  <c r="E102" i="2"/>
  <c r="F102" i="2"/>
  <c r="I102" i="2"/>
  <c r="K102" i="2"/>
  <c r="L102" i="2"/>
  <c r="M102" i="2"/>
  <c r="N102" i="2"/>
  <c r="D98" i="2"/>
  <c r="E98" i="2"/>
  <c r="F98" i="2"/>
  <c r="G98" i="2"/>
  <c r="H98" i="2"/>
  <c r="C98" i="2"/>
  <c r="I98" i="2"/>
  <c r="D80" i="2"/>
  <c r="E80" i="2"/>
  <c r="F80" i="2"/>
  <c r="G80" i="2"/>
  <c r="H80" i="2"/>
  <c r="I80" i="2"/>
  <c r="J80" i="2"/>
  <c r="C80" i="2"/>
  <c r="S102" i="2"/>
  <c r="T102" i="2"/>
  <c r="R102" i="2"/>
  <c r="S98" i="2"/>
  <c r="T98" i="2"/>
  <c r="R98" i="2"/>
  <c r="Q80" i="2"/>
  <c r="R80" i="2"/>
  <c r="P80" i="2"/>
  <c r="T80" i="2"/>
  <c r="S80" i="2"/>
  <c r="Q66" i="2"/>
  <c r="R66" i="2"/>
  <c r="S66" i="2"/>
  <c r="T66" i="2"/>
  <c r="V66" i="2"/>
  <c r="W66" i="2"/>
  <c r="X66" i="2"/>
  <c r="Y66" i="2"/>
  <c r="Z66" i="2"/>
  <c r="Q76" i="2"/>
  <c r="R76" i="2"/>
  <c r="S76" i="2"/>
  <c r="T76" i="2"/>
  <c r="V76" i="2"/>
  <c r="W76" i="2"/>
  <c r="X76" i="2"/>
  <c r="Y76" i="2"/>
  <c r="Z76" i="2"/>
  <c r="P76" i="2"/>
  <c r="P66" i="2"/>
  <c r="D66" i="2"/>
  <c r="E66" i="2"/>
  <c r="F66" i="2"/>
  <c r="G66" i="2"/>
  <c r="H66" i="2"/>
  <c r="I66" i="2"/>
  <c r="J66" i="2"/>
  <c r="K66" i="2"/>
  <c r="L66" i="2"/>
  <c r="M66" i="2"/>
  <c r="N66" i="2"/>
  <c r="D76" i="2"/>
  <c r="E76" i="2"/>
  <c r="F76" i="2"/>
  <c r="G76" i="2"/>
  <c r="H76" i="2"/>
  <c r="I76" i="2"/>
  <c r="J76" i="2"/>
  <c r="K76" i="2"/>
  <c r="L76" i="2"/>
  <c r="M76" i="2"/>
  <c r="N76" i="2"/>
  <c r="C66" i="2"/>
  <c r="C76" i="2"/>
  <c r="Q39" i="2"/>
  <c r="R39" i="2"/>
  <c r="Q43" i="2"/>
  <c r="R43" i="2"/>
  <c r="P43" i="2"/>
  <c r="P39" i="2"/>
  <c r="P56" i="2" s="1"/>
  <c r="R53" i="2"/>
  <c r="S53" i="2"/>
  <c r="Q53" i="2"/>
  <c r="C56" i="2"/>
  <c r="D56" i="2"/>
  <c r="E56" i="2"/>
  <c r="F56" i="2"/>
  <c r="D54" i="2"/>
  <c r="E54" i="2"/>
  <c r="F54" i="2"/>
  <c r="G54" i="2"/>
  <c r="G53" i="2"/>
  <c r="H53" i="2"/>
  <c r="I53" i="2"/>
  <c r="J53" i="2"/>
  <c r="H54" i="2"/>
  <c r="T53" i="2"/>
  <c r="S43" i="2"/>
  <c r="S39" i="2"/>
  <c r="S56" i="2" s="1"/>
  <c r="T39" i="2"/>
  <c r="T56" i="2" s="1"/>
  <c r="T43" i="2"/>
  <c r="G43" i="2"/>
  <c r="G39" i="2"/>
  <c r="G56" i="2" s="1"/>
  <c r="H43" i="2"/>
  <c r="H39" i="2"/>
  <c r="H56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V37" i="2" l="1"/>
  <c r="U35" i="2"/>
  <c r="U30" i="2" s="1"/>
  <c r="C82" i="2"/>
  <c r="F82" i="2"/>
  <c r="D82" i="2"/>
  <c r="E82" i="2"/>
  <c r="L80" i="2"/>
  <c r="U22" i="2"/>
  <c r="N8" i="1"/>
  <c r="F103" i="2"/>
  <c r="E103" i="2"/>
  <c r="D103" i="2"/>
  <c r="P77" i="2"/>
  <c r="P78" i="2" s="1"/>
  <c r="U76" i="2"/>
  <c r="U66" i="2"/>
  <c r="U80" i="2"/>
  <c r="G103" i="2"/>
  <c r="H103" i="2"/>
  <c r="N77" i="2"/>
  <c r="N78" i="2" s="1"/>
  <c r="M77" i="2"/>
  <c r="M78" i="2" s="1"/>
  <c r="I103" i="2"/>
  <c r="C103" i="2"/>
  <c r="L77" i="2"/>
  <c r="L78" i="2" s="1"/>
  <c r="Z77" i="2"/>
  <c r="Z78" i="2" s="1"/>
  <c r="K80" i="2"/>
  <c r="K77" i="2"/>
  <c r="K78" i="2" s="1"/>
  <c r="Y77" i="2"/>
  <c r="Y78" i="2" s="1"/>
  <c r="Q77" i="2"/>
  <c r="Q78" i="2" s="1"/>
  <c r="S103" i="2"/>
  <c r="J77" i="2"/>
  <c r="J78" i="2" s="1"/>
  <c r="X77" i="2"/>
  <c r="X78" i="2" s="1"/>
  <c r="R103" i="2"/>
  <c r="T103" i="2"/>
  <c r="W77" i="2"/>
  <c r="W78" i="2" s="1"/>
  <c r="I77" i="2"/>
  <c r="I78" i="2" s="1"/>
  <c r="E77" i="2"/>
  <c r="E78" i="2" s="1"/>
  <c r="R77" i="2"/>
  <c r="R78" i="2" s="1"/>
  <c r="C77" i="2"/>
  <c r="C78" i="2" s="1"/>
  <c r="T77" i="2"/>
  <c r="T78" i="2" s="1"/>
  <c r="S77" i="2"/>
  <c r="S78" i="2" s="1"/>
  <c r="V77" i="2"/>
  <c r="V78" i="2" s="1"/>
  <c r="H77" i="2"/>
  <c r="H78" i="2" s="1"/>
  <c r="G77" i="2"/>
  <c r="G78" i="2" s="1"/>
  <c r="F77" i="2"/>
  <c r="F78" i="2" s="1"/>
  <c r="D77" i="2"/>
  <c r="D78" i="2" s="1"/>
  <c r="L38" i="2"/>
  <c r="R44" i="2"/>
  <c r="R47" i="2" s="1"/>
  <c r="R49" i="2" s="1"/>
  <c r="Q44" i="2"/>
  <c r="Q47" i="2" s="1"/>
  <c r="Q49" i="2" s="1"/>
  <c r="Q56" i="2"/>
  <c r="R56" i="2"/>
  <c r="K38" i="2"/>
  <c r="P44" i="2"/>
  <c r="S44" i="2"/>
  <c r="G44" i="2"/>
  <c r="T44" i="2"/>
  <c r="H44" i="2"/>
  <c r="W37" i="2" l="1"/>
  <c r="V35" i="2"/>
  <c r="V30" i="2" s="1"/>
  <c r="V53" i="2"/>
  <c r="V22" i="2"/>
  <c r="U77" i="2"/>
  <c r="U78" i="2" s="1"/>
  <c r="M80" i="2"/>
  <c r="V80" i="2"/>
  <c r="R82" i="2"/>
  <c r="M38" i="2"/>
  <c r="M39" i="2" s="1"/>
  <c r="M53" i="2"/>
  <c r="M54" i="2"/>
  <c r="N80" i="2"/>
  <c r="Q50" i="2"/>
  <c r="R50" i="2"/>
  <c r="P47" i="2"/>
  <c r="P49" i="2" s="1"/>
  <c r="P50" i="2" s="1"/>
  <c r="I39" i="2"/>
  <c r="I56" i="2" s="1"/>
  <c r="H47" i="2"/>
  <c r="H49" i="2" s="1"/>
  <c r="H82" i="2" s="1"/>
  <c r="G47" i="2"/>
  <c r="G49" i="2" s="1"/>
  <c r="S47" i="2"/>
  <c r="S49" i="2" s="1"/>
  <c r="J54" i="2"/>
  <c r="T47" i="2"/>
  <c r="T49" i="2" s="1"/>
  <c r="T82" i="2" s="1"/>
  <c r="X37" i="2" l="1"/>
  <c r="W53" i="2"/>
  <c r="W38" i="2"/>
  <c r="W39" i="2" s="1"/>
  <c r="J40" i="2"/>
  <c r="U40" i="2" s="1"/>
  <c r="J89" i="2"/>
  <c r="U89" i="2" s="1"/>
  <c r="V89" i="2" s="1"/>
  <c r="J88" i="2"/>
  <c r="U88" i="2" s="1"/>
  <c r="V88" i="2" s="1"/>
  <c r="W88" i="2" s="1"/>
  <c r="X88" i="2" s="1"/>
  <c r="Y88" i="2" s="1"/>
  <c r="Z88" i="2" s="1"/>
  <c r="J95" i="2"/>
  <c r="U95" i="2" s="1"/>
  <c r="W95" i="2" s="1"/>
  <c r="X95" i="2" s="1"/>
  <c r="Y95" i="2" s="1"/>
  <c r="Z95" i="2" s="1"/>
  <c r="J92" i="2"/>
  <c r="U92" i="2" s="1"/>
  <c r="J87" i="2"/>
  <c r="U87" i="2" s="1"/>
  <c r="V87" i="2" s="1"/>
  <c r="W87" i="2" s="1"/>
  <c r="X87" i="2" s="1"/>
  <c r="Y87" i="2" s="1"/>
  <c r="Z87" i="2" s="1"/>
  <c r="J84" i="2"/>
  <c r="U84" i="2" s="1"/>
  <c r="V84" i="2" s="1"/>
  <c r="W84" i="2" s="1"/>
  <c r="X84" i="2" s="1"/>
  <c r="Y84" i="2" s="1"/>
  <c r="Z84" i="2" s="1"/>
  <c r="J97" i="2"/>
  <c r="U97" i="2" s="1"/>
  <c r="V97" i="2" s="1"/>
  <c r="W97" i="2" s="1"/>
  <c r="X97" i="2" s="1"/>
  <c r="Y97" i="2" s="1"/>
  <c r="Z97" i="2" s="1"/>
  <c r="J96" i="2"/>
  <c r="U96" i="2" s="1"/>
  <c r="W96" i="2" s="1"/>
  <c r="X96" i="2" s="1"/>
  <c r="Y96" i="2" s="1"/>
  <c r="Z96" i="2" s="1"/>
  <c r="J93" i="2"/>
  <c r="U93" i="2" s="1"/>
  <c r="J91" i="2"/>
  <c r="U91" i="2" s="1"/>
  <c r="J86" i="2"/>
  <c r="U86" i="2" s="1"/>
  <c r="V86" i="2" s="1"/>
  <c r="W86" i="2" s="1"/>
  <c r="X86" i="2" s="1"/>
  <c r="Y86" i="2" s="1"/>
  <c r="Z86" i="2" s="1"/>
  <c r="J85" i="2"/>
  <c r="U85" i="2" s="1"/>
  <c r="V85" i="2" s="1"/>
  <c r="W85" i="2" s="1"/>
  <c r="X85" i="2" s="1"/>
  <c r="Y85" i="2" s="1"/>
  <c r="Z85" i="2" s="1"/>
  <c r="J94" i="2"/>
  <c r="U94" i="2" s="1"/>
  <c r="V94" i="2" s="1"/>
  <c r="W94" i="2" s="1"/>
  <c r="X94" i="2" s="1"/>
  <c r="Y94" i="2" s="1"/>
  <c r="Z94" i="2" s="1"/>
  <c r="J90" i="2"/>
  <c r="U90" i="2" s="1"/>
  <c r="G50" i="2"/>
  <c r="G82" i="2"/>
  <c r="S50" i="2"/>
  <c r="S82" i="2"/>
  <c r="N38" i="2"/>
  <c r="N39" i="2" s="1"/>
  <c r="N53" i="2"/>
  <c r="N54" i="2"/>
  <c r="H50" i="2"/>
  <c r="J42" i="2"/>
  <c r="U42" i="2" s="1"/>
  <c r="I43" i="2"/>
  <c r="J41" i="2"/>
  <c r="U41" i="2" s="1"/>
  <c r="T50" i="2"/>
  <c r="K53" i="2"/>
  <c r="K54" i="2"/>
  <c r="Y37" i="2" l="1"/>
  <c r="X38" i="2"/>
  <c r="X39" i="2" s="1"/>
  <c r="X53" i="2"/>
  <c r="K40" i="2"/>
  <c r="V38" i="2"/>
  <c r="I44" i="2"/>
  <c r="U43" i="2"/>
  <c r="U53" i="2"/>
  <c r="K41" i="2"/>
  <c r="J43" i="2"/>
  <c r="K39" i="2"/>
  <c r="K42" i="2"/>
  <c r="L53" i="2"/>
  <c r="L54" i="2"/>
  <c r="Z37" i="2" l="1"/>
  <c r="Y53" i="2"/>
  <c r="Y38" i="2"/>
  <c r="Y39" i="2" s="1"/>
  <c r="L40" i="2"/>
  <c r="M40" i="2" s="1"/>
  <c r="N40" i="2" s="1"/>
  <c r="V40" i="2"/>
  <c r="W40" i="2" s="1"/>
  <c r="X40" i="2" s="1"/>
  <c r="V99" i="2"/>
  <c r="U102" i="2"/>
  <c r="I47" i="2"/>
  <c r="I49" i="2" s="1"/>
  <c r="I50" i="2" s="1"/>
  <c r="L42" i="2"/>
  <c r="M42" i="2" s="1"/>
  <c r="N42" i="2" s="1"/>
  <c r="L41" i="2"/>
  <c r="M41" i="2" s="1"/>
  <c r="K43" i="2"/>
  <c r="L39" i="2"/>
  <c r="V39" i="2" s="1"/>
  <c r="Z53" i="2" l="1"/>
  <c r="V42" i="2"/>
  <c r="Y40" i="2"/>
  <c r="W99" i="2"/>
  <c r="V102" i="2"/>
  <c r="K44" i="2"/>
  <c r="J46" i="2"/>
  <c r="U46" i="2" s="1"/>
  <c r="I82" i="2"/>
  <c r="N41" i="2"/>
  <c r="N43" i="2" s="1"/>
  <c r="M43" i="2"/>
  <c r="L43" i="2"/>
  <c r="V41" i="2" l="1"/>
  <c r="V43" i="2" s="1"/>
  <c r="Z40" i="2"/>
  <c r="X99" i="2"/>
  <c r="W102" i="2"/>
  <c r="L44" i="2"/>
  <c r="M44" i="2"/>
  <c r="N44" i="2"/>
  <c r="Y99" i="2" l="1"/>
  <c r="X102" i="2"/>
  <c r="Z99" i="2" l="1"/>
  <c r="Z102" i="2" s="1"/>
  <c r="Y102" i="2"/>
  <c r="V44" i="2" l="1"/>
  <c r="W41" i="2" l="1"/>
  <c r="W22" i="2"/>
  <c r="W80" i="2"/>
  <c r="X80" i="2"/>
  <c r="X22" i="2" l="1"/>
  <c r="Y80" i="2"/>
  <c r="W42" i="2"/>
  <c r="W43" i="2" s="1"/>
  <c r="Y22" i="2"/>
  <c r="X41" i="2"/>
  <c r="Y41" i="2" l="1"/>
  <c r="Z22" i="2"/>
  <c r="Z80" i="2"/>
  <c r="Z41" i="2"/>
  <c r="X42" i="2"/>
  <c r="Y42" i="2" s="1"/>
  <c r="Z42" i="2" s="1"/>
  <c r="X43" i="2" l="1"/>
  <c r="Z43" i="2"/>
  <c r="Y43" i="2"/>
  <c r="W44" i="2"/>
  <c r="X44" i="2" l="1"/>
  <c r="Y44" i="2" l="1"/>
  <c r="W89" i="2" l="1"/>
  <c r="X89" i="2" s="1"/>
  <c r="Y89" i="2" l="1"/>
  <c r="Z89" i="2" l="1"/>
  <c r="K46" i="2"/>
  <c r="K47" i="2" s="1"/>
  <c r="K48" i="2" s="1"/>
  <c r="U58" i="2"/>
  <c r="K49" i="2" l="1"/>
  <c r="K58" i="2" l="1"/>
  <c r="K50" i="2"/>
  <c r="K82" i="2"/>
  <c r="K98" i="2" s="1"/>
  <c r="K103" i="2" s="1"/>
  <c r="L46" i="2" l="1"/>
  <c r="L47" i="2" l="1"/>
  <c r="L48" i="2" l="1"/>
  <c r="L49" i="2" s="1"/>
  <c r="L82" i="2" l="1"/>
  <c r="L98" i="2" s="1"/>
  <c r="L103" i="2" s="1"/>
  <c r="L50" i="2"/>
  <c r="L58" i="2"/>
  <c r="M46" i="2" l="1"/>
  <c r="M47" i="2" l="1"/>
  <c r="M48" i="2" l="1"/>
  <c r="M49" i="2"/>
  <c r="M50" i="2" l="1"/>
  <c r="M82" i="2"/>
  <c r="M98" i="2" s="1"/>
  <c r="M103" i="2" s="1"/>
  <c r="M58" i="2"/>
  <c r="N46" i="2" l="1"/>
  <c r="N47" i="2" l="1"/>
  <c r="V46" i="2"/>
  <c r="V47" i="2" s="1"/>
  <c r="N48" i="2" l="1"/>
  <c r="V48" i="2" s="1"/>
  <c r="V49" i="2" s="1"/>
  <c r="N49" i="2"/>
  <c r="V82" i="2" l="1"/>
  <c r="V98" i="2" s="1"/>
  <c r="V103" i="2" s="1"/>
  <c r="V50" i="2"/>
  <c r="N82" i="2"/>
  <c r="N98" i="2" s="1"/>
  <c r="N103" i="2" s="1"/>
  <c r="N50" i="2"/>
  <c r="N58" i="2"/>
  <c r="V58" i="2" s="1"/>
  <c r="W46" i="2" l="1"/>
  <c r="W47" i="2" s="1"/>
  <c r="W48" i="2" l="1"/>
  <c r="W49" i="2"/>
  <c r="W82" i="2" l="1"/>
  <c r="W98" i="2" s="1"/>
  <c r="W103" i="2" s="1"/>
  <c r="W50" i="2"/>
  <c r="W58" i="2"/>
  <c r="X46" i="2" l="1"/>
  <c r="X47" i="2" s="1"/>
  <c r="X48" i="2" l="1"/>
  <c r="X49" i="2" s="1"/>
  <c r="X82" i="2" l="1"/>
  <c r="X98" i="2" s="1"/>
  <c r="X103" i="2" s="1"/>
  <c r="X50" i="2"/>
  <c r="X58" i="2"/>
  <c r="Y46" i="2" l="1"/>
  <c r="Y47" i="2" s="1"/>
  <c r="Y48" i="2" l="1"/>
  <c r="Y49" i="2" s="1"/>
  <c r="Y82" i="2" l="1"/>
  <c r="Y98" i="2" s="1"/>
  <c r="Y103" i="2" s="1"/>
  <c r="Y50" i="2"/>
  <c r="Y58" i="2"/>
  <c r="Z46" i="2" l="1"/>
  <c r="Z38" i="2"/>
  <c r="Z39" i="2" s="1"/>
  <c r="Z44" i="2" s="1"/>
  <c r="Z47" i="2" s="1"/>
  <c r="Z48" i="2" l="1"/>
  <c r="Z49" i="2" s="1"/>
  <c r="Z50" i="2" l="1"/>
  <c r="Z58" i="2"/>
  <c r="AA49" i="2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Z82" i="2"/>
  <c r="Z98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AC54" i="2" l="1"/>
  <c r="AC55" i="2" s="1"/>
  <c r="AC56" i="2" s="1"/>
  <c r="U48" i="2" l="1"/>
  <c r="J48" i="2"/>
  <c r="J50" i="2"/>
  <c r="J98" i="2"/>
  <c r="J103" i="2"/>
  <c r="U103" i="2"/>
  <c r="J44" i="2"/>
  <c r="J47" i="2"/>
  <c r="J49" i="2"/>
  <c r="J82" i="2"/>
  <c r="U83" i="2"/>
  <c r="U98" i="2"/>
  <c r="U56" i="2"/>
  <c r="U50" i="2"/>
  <c r="J39" i="2"/>
  <c r="J56" i="2"/>
  <c r="J38" i="2"/>
  <c r="U38" i="2"/>
  <c r="U39" i="2"/>
  <c r="U44" i="2"/>
  <c r="U47" i="2"/>
  <c r="U49" i="2"/>
  <c r="U8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tc={0B6543D7-8349-4811-861E-C0B9D944AF98}</author>
    <author>tc={F2FEB8A9-AB5D-4787-9460-AE116AE11E92}</author>
    <author>tc={DEC1EFA7-08CE-407F-80BC-3BD72A054B95}</author>
    <author>tc={518D6400-4738-48D4-8A7C-6A58D2E68831}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U31" authorId="2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1" authorId="3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7" authorId="4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1" authorId="5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102" authorId="6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<sst xmlns="http://schemas.openxmlformats.org/spreadsheetml/2006/main" count="155" uniqueCount="142">
  <si>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</si>
  <si>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</si>
  <si>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</si>
  <si>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</si>
  <si>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</si>
  <si>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</si>
  <si>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</si>
  <si>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</si>
  <si>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</si>
  <si>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</si>
  <si>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</si>
  <si>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</si>
  <si>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</si>
  <si>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</si>
  <si>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</si>
  <si>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</si>
  <si>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</si>
  <si>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</si>
  <si>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</si>
  <si>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</si>
  <si>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</si>
  <si>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</si>
  <si>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</si>
  <si>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</si>
  <si>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</si>
  <si>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</si>
  <si>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</si>
  <si>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</si>
  <si>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EPS</t>
  </si>
  <si>
    <t>Other Income</t>
  </si>
  <si>
    <t>Q126</t>
  </si>
  <si>
    <t>Q226</t>
  </si>
  <si>
    <t>notes: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</si>
  <si>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</si>
  <si>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</si>
  <si>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</si>
  <si>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</si>
  <si>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</si>
  <si>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</si>
  <si>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</si>
  <si>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</si>
  <si>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</si>
  <si>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</si>
  <si>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</si>
  <si>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</si>
  <si>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</si>
  <si>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</si>
  <si>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</si>
  <si>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</si>
  <si>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</si>
  <si>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</si>
  <si>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</si>
  <si>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</si>
  <si>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</si>
  <si>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</si>
  <si>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</si>
  <si>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</si>
  <si>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</si>
  <si>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</si>
  <si>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</si>
  <si>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</si>
  <si>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</si>
  <si>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</si>
  <si>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</si>
  <si>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</si>
  <si>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</si>
  <si>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</si>
  <si>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</si>
  <si>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</si>
  <si>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</si>
  <si>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</si>
  <si>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</si>
  <si>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</si>
  <si>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</si>
  <si>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</si>
  <si>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</si>
  <si>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</si>
  <si>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</si>
  <si>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</si>
  <si>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</si>
  <si>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</si>
  <si>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</si>
  <si>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</si>
  <si>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</si>
  <si>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</si>
  <si>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</si>
  <si>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</si>
  <si>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</si>
  <si>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</si>
  <si>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</si>
  <si>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</si>
  <si>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</si>
  <si>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</si>
  <si>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</si>
  <si>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</si>
  <si>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</si>
  <si>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</si>
  <si>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</si>
  <si>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</si>
  <si>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</si>
  <si>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</si>
  <si>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</si>
  <si>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</si>
  <si>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</si>
  <si>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</si>
  <si>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</si>
  <si>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</si>
  <si>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</si>
  <si>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</si>
  <si>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</si>
  <si>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</si>
  <si>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</si>
  <si>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</si>
  <si>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</si>
  <si>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</si>
  <si>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</si>
  <si>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</si>
  <si>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</si>
  <si>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</si>
  <si>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</si>
  <si>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</si>
  <si>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</si>
  <si>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</si>
  <si>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</si>
  <si>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</si>
  <si>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</si>
  <si>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</si>
  <si>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</si>
  <si>
    <t>"grow 65% AT LEAST fy26, very conservative"</t>
  </si>
  <si>
    <t>"production capacity USA only 55% taiwan only 60%, malaysia 1%"</t>
  </si>
  <si>
    <t>"large backlog and increasing GB200, B200 Blackwell"</t>
  </si>
  <si>
    <t>"what will the competition deliver is a big indicator of the margins"</t>
  </si>
  <si>
    <t>H100</t>
  </si>
  <si>
    <t>(2023 margins was because H100 SMCI was ahead and this year is the same opportunity but add with liquid cooling)</t>
  </si>
  <si>
    <t>SMCI 2024 shipped 60% of DLC worldwide, competitors are not ready, not many are able to provide on-site services</t>
  </si>
  <si>
    <t>Questions</t>
  </si>
  <si>
    <t>Is the low margins just transitory between GPU generations or is there a margin degradation?</t>
  </si>
  <si>
    <t>Can they reverse and achieve their long-term GM target of 14-17%?</t>
  </si>
  <si>
    <t>Is liquid cooling going to grow margins?</t>
  </si>
  <si>
    <t>Does SMCI have a competitive advantage over competitors or is this industry lacking any moat except scale?</t>
  </si>
  <si>
    <t>Tax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</si>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</sst>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6" fillId="0" borderId="0" xfId="1" applyNumberFormat="1" applyFont="1"/>
    <xf numFmtId="3" fontId="3" fillId="0" borderId="0" xfId="0" applyNumberFormat="1" applyFont="1"/>
    <xf numFmtId="1" fontId="3" fillId="0" borderId="0" xfId="0" applyNumberFormat="1" applyFont="1"/>
    <xf numFmtId="1" fontId="3" fillId="0" borderId="1" xfId="0" applyNumberFormat="1" applyFont="1" applyBorder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3" fontId="5" fillId="0" borderId="0" xfId="0" applyNumberFormat="1" applyFont="1"/>
    <xf numFmtId="4" fontId="3" fillId="0" borderId="0" xfId="0" applyNumberFormat="1" applyFont="1"/>
    <xf numFmtId="9" fontId="5" fillId="0" borderId="0" xfId="0" applyNumberFormat="1" applyFont="1"/>
    <xf numFmtId="10" fontId="3" fillId="0" borderId="0" xfId="0" applyNumberFormat="1" applyFont="1"/>
    <xf numFmtId="164" fontId="5" fillId="0" borderId="0" xfId="0" applyNumberFormat="1" applyFont="1"/>
    <xf numFmtId="8" fontId="3" fillId="0" borderId="0" xfId="0" applyNumberFormat="1" applyFon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/>
    <xf numFmtId="3" fontId="1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31505</xdr:colOff>
      <xdr:row>0</xdr:row>
      <xdr:rowOff>0</xdr:rowOff>
    </xdr:from>
    <xdr:to>
      <xdr:col>10</xdr:col>
      <xdr:colOff>31505</xdr:colOff>
      <xdr:row>114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735640" y="0"/>
          <a:ext cx="0" cy="190492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122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U31" dT="2025-05-26T01:09:02.84" personId="{9FB83736-EE26-422E-AD1E-D65440F32024}" id="{0B6543D7-8349-4811-861E-C0B9D944AF98}">
    <text>15% of racks shipped are DLC</text>
  </threadedComment>
  <threadedComment ref="V31" dT="2025-05-26T01:09:11.95" personId="{9FB83736-EE26-422E-AD1E-D65440F32024}" id="{F2FEB8A9-AB5D-4787-9460-AE116AE11E92}">
    <text>30% of racks shipper are DLC2</text>
  </threadedComment>
  <threadedComment ref="J37" dT="2025-05-13T04:58:19.64" personId="{9FB83736-EE26-422E-AD1E-D65440F32024}" id="{DEC1EFA7-08CE-407F-80BC-3BD72A054B95}">
    <text xml:space="preserve">“Q4 Rev at least 6b”
</text>
  </threadedComment>
  <threadedComment ref="J51" dT="2025-05-13T05:05:22.48" personId="{9FB83736-EE26-422E-AD1E-D65440F32024}" id="{518D6400-4738-48D4-8A7C-6A58D2E68831}">
    <text>“diluted share count”</text>
  </threadedComment>
  <threadedComment ref="J102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O36"/>
  <sheetViews>
    <sheetView topLeftCell="E1" zoomScale="115" zoomScaleNormal="115" workbookViewId="0">
      <selection activeCell="N3" sqref="N3"/>
    </sheetView>
  </sheetViews>
  <sheetFormatPr defaultRowHeight="12.75" x14ac:dyDescent="0.2"/>
  <cols>
    <col min="1" max="1" width="3.28515625" style="15" customWidth="1"/>
    <col min="2" max="2" width="12.7109375" style="15" bestFit="1" customWidth="1"/>
    <col min="3" max="16384" width="9.140625" style="15"/>
  </cols>
  <sheetData>
    <row r="1" spans="1:15" x14ac:dyDescent="0.2">
      <c r="A1" s="14"/>
    </row>
    <row r="2" spans="1:15" x14ac:dyDescent="0.2">
      <c r="B2" s="15" t="s">
        <v>32</v>
      </c>
    </row>
    <row r="3" spans="1:15" x14ac:dyDescent="0.2">
      <c r="B3" s="15" t="s">
        <v>79</v>
      </c>
      <c r="M3" s="15" t="s">
        <v>0</v>
      </c>
      <c r="N3" s="9">
        <v>45</v>
      </c>
    </row>
    <row r="4" spans="1:15" x14ac:dyDescent="0.2">
      <c r="B4" s="15" t="s">
        <v>68</v>
      </c>
      <c r="M4" s="15" t="s">
        <v>1</v>
      </c>
      <c r="N4" s="2">
        <v>596.82000000000005</v>
      </c>
      <c r="O4" s="19" t="s">
        <v>18</v>
      </c>
    </row>
    <row r="5" spans="1:15" x14ac:dyDescent="0.2">
      <c r="B5" s="15" t="s">
        <v>34</v>
      </c>
      <c r="M5" s="15" t="s">
        <v>2</v>
      </c>
      <c r="N5" s="2">
        <f>N4*N3</f>
        <v>26856.9</v>
      </c>
    </row>
    <row r="6" spans="1:15" x14ac:dyDescent="0.2">
      <c r="B6" s="15" t="s">
        <v>81</v>
      </c>
      <c r="M6" s="15" t="s">
        <v>3</v>
      </c>
      <c r="N6" s="2">
        <v>5170</v>
      </c>
      <c r="O6" s="19" t="s">
        <v>18</v>
      </c>
    </row>
    <row r="7" spans="1:15" x14ac:dyDescent="0.2">
      <c r="B7" s="15" t="s">
        <v>70</v>
      </c>
      <c r="M7" s="15" t="s">
        <v>4</v>
      </c>
      <c r="N7" s="2">
        <v>533</v>
      </c>
      <c r="O7" s="19" t="s">
        <v>18</v>
      </c>
    </row>
    <row r="8" spans="1:15" x14ac:dyDescent="0.2">
      <c r="B8" s="15" t="s">
        <v>72</v>
      </c>
      <c r="E8" s="9"/>
      <c r="M8" s="15" t="s">
        <v>5</v>
      </c>
      <c r="N8" s="2">
        <f>N5+N7-N6</f>
        <v>22219.9</v>
      </c>
    </row>
    <row r="9" spans="1:15" x14ac:dyDescent="0.2">
      <c r="B9" s="15" t="s">
        <v>76</v>
      </c>
    </row>
    <row r="10" spans="1:15" x14ac:dyDescent="0.2">
      <c r="B10" s="15" t="s">
        <v>77</v>
      </c>
      <c r="J10" s="9"/>
    </row>
    <row r="11" spans="1:15" x14ac:dyDescent="0.2">
      <c r="B11" s="15" t="s">
        <v>78</v>
      </c>
      <c r="J11" s="9"/>
      <c r="M11" s="17" t="s">
        <v>135</v>
      </c>
    </row>
    <row r="12" spans="1:15" x14ac:dyDescent="0.2">
      <c r="B12" s="15" t="s">
        <v>80</v>
      </c>
      <c r="J12" s="9"/>
      <c r="M12" s="16" t="s">
        <v>136</v>
      </c>
    </row>
    <row r="13" spans="1:15" x14ac:dyDescent="0.2">
      <c r="B13" s="15" t="s">
        <v>82</v>
      </c>
      <c r="M13" s="16" t="s">
        <v>137</v>
      </c>
    </row>
    <row r="14" spans="1:15" x14ac:dyDescent="0.2">
      <c r="B14" s="15" t="s">
        <v>83</v>
      </c>
      <c r="M14" s="16" t="s">
        <v>138</v>
      </c>
    </row>
    <row r="15" spans="1:15" x14ac:dyDescent="0.2">
      <c r="B15" s="15" t="s">
        <v>84</v>
      </c>
      <c r="M15" s="16" t="s">
        <v>139</v>
      </c>
    </row>
    <row r="16" spans="1:15" x14ac:dyDescent="0.2">
      <c r="B16" s="15" t="s">
        <v>85</v>
      </c>
    </row>
    <row r="17" spans="2:5" x14ac:dyDescent="0.2">
      <c r="B17" s="15" t="s">
        <v>94</v>
      </c>
    </row>
    <row r="18" spans="2:5" x14ac:dyDescent="0.2">
      <c r="B18" s="15" t="s">
        <v>104</v>
      </c>
    </row>
    <row r="20" spans="2:5" x14ac:dyDescent="0.2">
      <c r="B20" s="15" t="s">
        <v>92</v>
      </c>
    </row>
    <row r="21" spans="2:5" x14ac:dyDescent="0.2">
      <c r="B21" s="15" t="s">
        <v>105</v>
      </c>
    </row>
    <row r="22" spans="2:5" x14ac:dyDescent="0.2">
      <c r="B22" s="15" t="s">
        <v>106</v>
      </c>
    </row>
    <row r="23" spans="2:5" x14ac:dyDescent="0.2">
      <c r="B23" s="15" t="s">
        <v>107</v>
      </c>
    </row>
    <row r="24" spans="2:5" x14ac:dyDescent="0.2">
      <c r="E24" s="15" t="s">
        <v>131</v>
      </c>
    </row>
    <row r="25" spans="2:5" x14ac:dyDescent="0.2">
      <c r="B25" s="3">
        <v>2020</v>
      </c>
      <c r="C25" s="15" t="s">
        <v>120</v>
      </c>
    </row>
    <row r="26" spans="2:5" x14ac:dyDescent="0.2">
      <c r="B26" s="15">
        <v>2022</v>
      </c>
      <c r="C26" s="15" t="s">
        <v>117</v>
      </c>
      <c r="D26" s="15" t="s">
        <v>132</v>
      </c>
      <c r="E26" s="15" t="s">
        <v>133</v>
      </c>
    </row>
    <row r="27" spans="2:5" x14ac:dyDescent="0.2">
      <c r="B27" s="15">
        <v>2025</v>
      </c>
      <c r="C27" s="15" t="s">
        <v>118</v>
      </c>
    </row>
    <row r="28" spans="2:5" x14ac:dyDescent="0.2">
      <c r="B28" s="15">
        <v>2025.5</v>
      </c>
      <c r="C28" s="15" t="s">
        <v>119</v>
      </c>
    </row>
    <row r="29" spans="2:5" x14ac:dyDescent="0.2">
      <c r="B29" s="15">
        <v>2026</v>
      </c>
      <c r="C29" s="15" t="s">
        <v>121</v>
      </c>
    </row>
    <row r="30" spans="2:5" x14ac:dyDescent="0.2">
      <c r="B30" s="15">
        <v>2027</v>
      </c>
      <c r="C30" s="15" t="s">
        <v>123</v>
      </c>
    </row>
    <row r="31" spans="2:5" x14ac:dyDescent="0.2">
      <c r="B31" s="15">
        <v>2028</v>
      </c>
      <c r="C31" s="15" t="s">
        <v>122</v>
      </c>
    </row>
    <row r="33" spans="2:2" x14ac:dyDescent="0.2">
      <c r="B33" s="15" t="s">
        <v>134</v>
      </c>
    </row>
    <row r="34" spans="2:2" x14ac:dyDescent="0.2">
      <c r="B34" s="15" t="s">
        <v>128</v>
      </c>
    </row>
    <row r="35" spans="2:2" x14ac:dyDescent="0.2">
      <c r="B35" s="15" t="s">
        <v>129</v>
      </c>
    </row>
    <row r="36" spans="2:2" x14ac:dyDescent="0.2">
      <c r="B36" s="15" t="s">
        <v>130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3"/>
  <sheetViews>
    <sheetView tabSelected="1" zoomScale="130" zoomScaleNormal="130" workbookViewId="0">
      <pane xSplit="2" ySplit="1" topLeftCell="T32" activePane="bottomRight" state="frozen"/>
      <selection pane="topRight" activeCell="B1" sqref="B1"/>
      <selection pane="bottomLeft" activeCell="A2" sqref="A2"/>
      <selection pane="bottomRight" activeCell="AD53" sqref="AD53"/>
    </sheetView>
  </sheetViews>
  <sheetFormatPr defaultRowHeight="12.75" x14ac:dyDescent="0.2"/>
  <cols>
    <col min="1" max="1" width="6" style="2" customWidth="1"/>
    <col min="2" max="2" width="21.5703125" style="2" customWidth="1"/>
    <col min="3" max="20" width="9.140625" style="2"/>
    <col min="21" max="21" width="10.85546875" style="2" bestFit="1" customWidth="1"/>
    <col min="22" max="22" width="10.85546875" style="2" customWidth="1"/>
    <col min="23" max="25" width="9.140625" style="2"/>
    <col min="26" max="26" width="11" style="2" customWidth="1"/>
    <col min="27" max="29" width="9.140625" style="2"/>
    <col min="30" max="30" width="9.140625" style="2" customWidth="1"/>
    <col min="31" max="16384" width="9.140625" style="2"/>
  </cols>
  <sheetData>
    <row r="1" spans="1:31" x14ac:dyDescent="0.2">
      <c r="A1" s="1" t="s">
        <v>43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30</v>
      </c>
      <c r="L1" s="2" t="s">
        <v>31</v>
      </c>
      <c r="M1" s="2" t="s">
        <v>41</v>
      </c>
      <c r="N1" s="2" t="s">
        <v>42</v>
      </c>
      <c r="P1" s="3">
        <v>2020</v>
      </c>
      <c r="Q1" s="3">
        <v>2021</v>
      </c>
      <c r="R1" s="3">
        <v>2022</v>
      </c>
      <c r="S1" s="3">
        <v>2023</v>
      </c>
      <c r="T1" s="3">
        <v>2024</v>
      </c>
      <c r="U1" s="4">
        <f t="shared" ref="U1:Z1" si="0">T1+1</f>
        <v>2025</v>
      </c>
      <c r="V1" s="3">
        <f t="shared" si="0"/>
        <v>2026</v>
      </c>
      <c r="W1" s="3">
        <f t="shared" si="0"/>
        <v>2027</v>
      </c>
      <c r="X1" s="3">
        <f t="shared" si="0"/>
        <v>2028</v>
      </c>
      <c r="Y1" s="3">
        <f t="shared" si="0"/>
        <v>2029</v>
      </c>
      <c r="Z1" s="3">
        <f t="shared" si="0"/>
        <v>2030</v>
      </c>
      <c r="AA1" s="3">
        <f t="shared" ref="AA1" si="1">Z1+1</f>
        <v>2031</v>
      </c>
      <c r="AB1" s="3">
        <f t="shared" ref="AB1" si="2">AA1+1</f>
        <v>2032</v>
      </c>
      <c r="AC1" s="3">
        <f t="shared" ref="AC1" si="3">AB1+1</f>
        <v>2033</v>
      </c>
      <c r="AD1" s="3">
        <f t="shared" ref="AD1" si="4">AC1+1</f>
        <v>2034</v>
      </c>
      <c r="AE1" s="3">
        <f t="shared" ref="AE1" si="5">AD1+1</f>
        <v>2035</v>
      </c>
    </row>
    <row r="2" spans="1:31" x14ac:dyDescent="0.2">
      <c r="A2" s="1"/>
      <c r="B2" s="2" t="s">
        <v>73</v>
      </c>
      <c r="C2" s="5">
        <v>0.76</v>
      </c>
      <c r="I2" s="5">
        <v>0.6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31" x14ac:dyDescent="0.2">
      <c r="A3" s="1"/>
      <c r="B3" s="2" t="s">
        <v>74</v>
      </c>
      <c r="C3" s="5">
        <v>0.11</v>
      </c>
      <c r="I3" s="5">
        <v>0.3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1" x14ac:dyDescent="0.2">
      <c r="A4" s="1"/>
      <c r="B4" s="2" t="s">
        <v>75</v>
      </c>
      <c r="C4" s="5">
        <v>0.13</v>
      </c>
      <c r="I4" s="5">
        <v>0.1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1" x14ac:dyDescent="0.2">
      <c r="A5" s="1"/>
      <c r="E5" s="5"/>
      <c r="I5" s="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x14ac:dyDescent="0.2">
      <c r="A6" s="1"/>
      <c r="B6" s="2" t="s">
        <v>99</v>
      </c>
      <c r="E6" s="5"/>
      <c r="I6" s="5"/>
      <c r="P6" s="3"/>
      <c r="Q6" s="3"/>
      <c r="R6" s="3"/>
      <c r="S6" s="3"/>
      <c r="T6" s="2">
        <v>14593</v>
      </c>
      <c r="U6" s="2">
        <v>14020</v>
      </c>
      <c r="V6" s="3"/>
      <c r="W6" s="3"/>
      <c r="X6" s="3"/>
      <c r="Y6" s="3"/>
      <c r="Z6" s="3"/>
    </row>
    <row r="7" spans="1:31" x14ac:dyDescent="0.2">
      <c r="A7" s="1"/>
      <c r="B7" s="2" t="s">
        <v>95</v>
      </c>
      <c r="E7" s="5"/>
      <c r="I7" s="5"/>
      <c r="P7" s="3"/>
      <c r="Q7" s="3"/>
      <c r="R7" s="3"/>
      <c r="S7" s="3"/>
      <c r="T7" s="2">
        <v>17624</v>
      </c>
      <c r="U7" s="2">
        <v>27136</v>
      </c>
      <c r="V7" s="2">
        <f>U7+6000</f>
        <v>33136</v>
      </c>
      <c r="W7" s="3"/>
      <c r="X7" s="3"/>
      <c r="Y7" s="3"/>
      <c r="Z7" s="3"/>
    </row>
    <row r="8" spans="1:31" x14ac:dyDescent="0.2">
      <c r="A8" s="1"/>
      <c r="B8" s="2" t="s">
        <v>96</v>
      </c>
      <c r="E8" s="5"/>
      <c r="I8" s="5"/>
      <c r="P8" s="3"/>
      <c r="Q8" s="3"/>
      <c r="R8" s="3"/>
      <c r="S8" s="2">
        <v>15137</v>
      </c>
      <c r="T8" s="2">
        <v>13926</v>
      </c>
      <c r="U8" s="2">
        <v>15931</v>
      </c>
      <c r="V8" s="2">
        <f>U8*1.2</f>
        <v>19117.2</v>
      </c>
      <c r="W8" s="3"/>
      <c r="X8" s="3"/>
      <c r="Y8" s="3"/>
      <c r="Z8" s="3"/>
    </row>
    <row r="9" spans="1:31" x14ac:dyDescent="0.2">
      <c r="A9" s="1"/>
      <c r="B9" s="2" t="s">
        <v>101</v>
      </c>
      <c r="E9" s="5"/>
      <c r="I9" s="5"/>
      <c r="P9" s="3"/>
      <c r="Q9" s="3"/>
      <c r="R9" s="3"/>
      <c r="S9" s="2">
        <v>7100</v>
      </c>
      <c r="T9" s="2">
        <v>9800</v>
      </c>
      <c r="U9" s="2">
        <v>10000</v>
      </c>
      <c r="W9" s="3"/>
      <c r="X9" s="3"/>
      <c r="Y9" s="3"/>
      <c r="Z9" s="3"/>
    </row>
    <row r="10" spans="1:31" x14ac:dyDescent="0.2">
      <c r="A10" s="1"/>
      <c r="E10" s="5"/>
      <c r="I10" s="5"/>
      <c r="P10" s="3"/>
      <c r="Q10" s="3"/>
      <c r="R10" s="3"/>
      <c r="W10" s="3"/>
      <c r="X10" s="3"/>
      <c r="Y10" s="3"/>
      <c r="Z10" s="3"/>
    </row>
    <row r="11" spans="1:31" x14ac:dyDescent="0.2">
      <c r="A11" s="1"/>
      <c r="B11" s="2" t="s">
        <v>100</v>
      </c>
      <c r="E11" s="5"/>
      <c r="I11" s="5"/>
      <c r="P11" s="3"/>
      <c r="Q11" s="3"/>
      <c r="R11" s="3"/>
      <c r="S11" s="5"/>
      <c r="T11" s="6"/>
      <c r="U11" s="6">
        <v>0.10100000000000001</v>
      </c>
      <c r="V11" s="3"/>
      <c r="W11" s="3"/>
      <c r="X11" s="3"/>
      <c r="Y11" s="3"/>
      <c r="Z11" s="3"/>
    </row>
    <row r="12" spans="1:31" x14ac:dyDescent="0.2">
      <c r="A12" s="1"/>
      <c r="B12" s="2" t="s">
        <v>97</v>
      </c>
      <c r="E12" s="5"/>
      <c r="I12" s="5"/>
      <c r="P12" s="3"/>
      <c r="Q12" s="3"/>
      <c r="R12" s="3"/>
      <c r="S12" s="3"/>
      <c r="T12" s="6">
        <v>0.126</v>
      </c>
      <c r="U12" s="6">
        <v>0.128</v>
      </c>
      <c r="V12" s="6">
        <v>0.11799999999999999</v>
      </c>
      <c r="W12" s="3"/>
      <c r="X12" s="3"/>
      <c r="Y12" s="3"/>
      <c r="Z12" s="3"/>
    </row>
    <row r="13" spans="1:31" x14ac:dyDescent="0.2">
      <c r="A13" s="1"/>
      <c r="B13" s="2" t="s">
        <v>98</v>
      </c>
      <c r="E13" s="5"/>
      <c r="I13" s="5"/>
      <c r="P13" s="3"/>
      <c r="Q13" s="3"/>
      <c r="R13" s="3"/>
      <c r="S13" s="6">
        <v>0.125</v>
      </c>
      <c r="T13" s="6">
        <v>0.124</v>
      </c>
      <c r="U13" s="6">
        <v>0.112</v>
      </c>
      <c r="V13" s="6">
        <v>0.11</v>
      </c>
      <c r="W13" s="3"/>
      <c r="X13" s="3"/>
      <c r="Y13" s="3"/>
      <c r="Z13" s="3"/>
    </row>
    <row r="14" spans="1:31" x14ac:dyDescent="0.2">
      <c r="A14" s="1"/>
      <c r="B14" s="2" t="s">
        <v>102</v>
      </c>
      <c r="E14" s="5"/>
      <c r="I14" s="5"/>
      <c r="P14" s="3"/>
      <c r="Q14" s="3"/>
      <c r="R14" s="3"/>
      <c r="S14" s="6">
        <v>0.17</v>
      </c>
      <c r="T14" s="6">
        <v>0.17</v>
      </c>
      <c r="U14" s="6">
        <v>0.16700000000000001</v>
      </c>
      <c r="V14" s="6">
        <v>0.15</v>
      </c>
      <c r="W14" s="3"/>
      <c r="X14" s="3"/>
      <c r="Y14" s="3"/>
      <c r="Z14" s="3"/>
    </row>
    <row r="15" spans="1:31" x14ac:dyDescent="0.2">
      <c r="A15" s="1"/>
      <c r="E15" s="5"/>
      <c r="I15" s="5"/>
      <c r="P15" s="3"/>
      <c r="Q15" s="3"/>
      <c r="R15" s="3"/>
      <c r="S15" s="3"/>
      <c r="T15" s="5"/>
      <c r="U15" s="5"/>
      <c r="V15" s="3"/>
      <c r="W15" s="3"/>
      <c r="X15" s="3"/>
      <c r="Y15" s="3"/>
      <c r="Z15" s="3"/>
    </row>
    <row r="16" spans="1:31" x14ac:dyDescent="0.2">
      <c r="A16" s="1"/>
      <c r="B16" s="2" t="s">
        <v>86</v>
      </c>
      <c r="I16" s="5"/>
      <c r="P16" s="3"/>
      <c r="Q16" s="3"/>
      <c r="R16" s="3"/>
      <c r="S16" s="3"/>
      <c r="T16" s="3"/>
      <c r="U16" s="3"/>
      <c r="V16" s="2">
        <f>SUM(V17:V21)</f>
        <v>336000</v>
      </c>
      <c r="W16" s="2">
        <f t="shared" ref="W16:Z16" si="6">SUM(W17:W21)</f>
        <v>352800</v>
      </c>
      <c r="X16" s="2">
        <f t="shared" si="6"/>
        <v>370440</v>
      </c>
      <c r="Y16" s="2">
        <f t="shared" si="6"/>
        <v>388962</v>
      </c>
      <c r="Z16" s="2">
        <f t="shared" si="6"/>
        <v>408410.1</v>
      </c>
    </row>
    <row r="17" spans="1:26" x14ac:dyDescent="0.2">
      <c r="A17" s="1"/>
      <c r="B17" s="2" t="s">
        <v>91</v>
      </c>
      <c r="V17" s="2">
        <v>75000</v>
      </c>
      <c r="W17" s="2">
        <f>V17*1.05</f>
        <v>78750</v>
      </c>
      <c r="X17" s="2">
        <f t="shared" ref="X17:Z17" si="7">W17*1.05</f>
        <v>82687.5</v>
      </c>
      <c r="Y17" s="2">
        <f t="shared" si="7"/>
        <v>86821.875</v>
      </c>
      <c r="Z17" s="2">
        <f t="shared" si="7"/>
        <v>91162.96875</v>
      </c>
    </row>
    <row r="18" spans="1:26" x14ac:dyDescent="0.2">
      <c r="A18" s="1"/>
      <c r="B18" s="2" t="s">
        <v>90</v>
      </c>
      <c r="V18" s="2">
        <v>80000</v>
      </c>
      <c r="W18" s="2">
        <f t="shared" ref="W18:Z21" si="8">V18*1.05</f>
        <v>84000</v>
      </c>
      <c r="X18" s="2">
        <f t="shared" si="8"/>
        <v>88200</v>
      </c>
      <c r="Y18" s="2">
        <f t="shared" si="8"/>
        <v>92610</v>
      </c>
      <c r="Z18" s="2">
        <f t="shared" si="8"/>
        <v>97240.5</v>
      </c>
    </row>
    <row r="19" spans="1:26" x14ac:dyDescent="0.2">
      <c r="A19" s="1"/>
      <c r="B19" s="2" t="s">
        <v>89</v>
      </c>
      <c r="V19" s="2">
        <v>100000</v>
      </c>
      <c r="W19" s="2">
        <f t="shared" si="8"/>
        <v>105000</v>
      </c>
      <c r="X19" s="2">
        <f t="shared" si="8"/>
        <v>110250</v>
      </c>
      <c r="Y19" s="2">
        <f t="shared" si="8"/>
        <v>115762.5</v>
      </c>
      <c r="Z19" s="2">
        <f t="shared" si="8"/>
        <v>121550.625</v>
      </c>
    </row>
    <row r="20" spans="1:26" x14ac:dyDescent="0.2">
      <c r="A20" s="1"/>
      <c r="B20" s="2" t="s">
        <v>108</v>
      </c>
      <c r="V20" s="2">
        <v>65000</v>
      </c>
      <c r="W20" s="2">
        <f t="shared" si="8"/>
        <v>68250</v>
      </c>
      <c r="X20" s="2">
        <f t="shared" ref="X20" si="9">W20*1.05</f>
        <v>71662.5</v>
      </c>
      <c r="Y20" s="2">
        <f t="shared" ref="Y20" si="10">X20*1.05</f>
        <v>75245.625</v>
      </c>
      <c r="Z20" s="2">
        <f t="shared" ref="Z20" si="11">Y20*1.05</f>
        <v>79007.90625</v>
      </c>
    </row>
    <row r="21" spans="1:26" x14ac:dyDescent="0.2">
      <c r="A21" s="1"/>
      <c r="B21" s="2" t="s">
        <v>88</v>
      </c>
      <c r="V21" s="2">
        <v>16000</v>
      </c>
      <c r="W21" s="2">
        <f t="shared" si="8"/>
        <v>16800</v>
      </c>
      <c r="X21" s="2">
        <f t="shared" si="8"/>
        <v>17640</v>
      </c>
      <c r="Y21" s="2">
        <f t="shared" si="8"/>
        <v>18522</v>
      </c>
      <c r="Z21" s="2">
        <f t="shared" si="8"/>
        <v>19448.100000000002</v>
      </c>
    </row>
    <row r="22" spans="1:26" x14ac:dyDescent="0.2">
      <c r="A22" s="1"/>
      <c r="B22" s="2" t="s">
        <v>87</v>
      </c>
      <c r="J22" s="2">
        <v>500</v>
      </c>
      <c r="S22" s="5" t="e">
        <f t="shared" ref="S22:Z22" si="12">S37/S16</f>
        <v>#DIV/0!</v>
      </c>
      <c r="T22" s="5" t="e">
        <f t="shared" si="12"/>
        <v>#DIV/0!</v>
      </c>
      <c r="U22" s="5" t="e">
        <f t="shared" si="12"/>
        <v>#DIV/0!</v>
      </c>
      <c r="V22" s="5">
        <f t="shared" si="12"/>
        <v>9.8012571428571407E-2</v>
      </c>
      <c r="W22" s="5">
        <f t="shared" si="12"/>
        <v>0.10267983673469389</v>
      </c>
      <c r="X22" s="5">
        <f t="shared" si="12"/>
        <v>0.1075693527696793</v>
      </c>
      <c r="Y22" s="5">
        <f t="shared" si="12"/>
        <v>0.11269170290156881</v>
      </c>
      <c r="Z22" s="5">
        <f t="shared" si="12"/>
        <v>0.11805797446831019</v>
      </c>
    </row>
    <row r="23" spans="1:26" x14ac:dyDescent="0.2">
      <c r="A23" s="1"/>
      <c r="J23" s="5">
        <f>J22/I24</f>
        <v>4.3859649122807015E-2</v>
      </c>
    </row>
    <row r="24" spans="1:26" x14ac:dyDescent="0.2">
      <c r="A24" s="1"/>
      <c r="B24" s="2" t="s">
        <v>67</v>
      </c>
      <c r="I24" s="2">
        <v>11400</v>
      </c>
    </row>
    <row r="25" spans="1:26" x14ac:dyDescent="0.2">
      <c r="A25" s="1"/>
      <c r="B25" s="2" t="s">
        <v>69</v>
      </c>
    </row>
    <row r="26" spans="1:26" x14ac:dyDescent="0.2">
      <c r="A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"/>
      <c r="B27" s="2" t="s">
        <v>71</v>
      </c>
      <c r="E27" s="2">
        <f>I27*0.97</f>
        <v>1843</v>
      </c>
      <c r="H27" s="2">
        <f>H37*0.25</f>
        <v>1419.5</v>
      </c>
      <c r="I27" s="2">
        <v>1900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/>
      <c r="B29" s="2" t="s">
        <v>126</v>
      </c>
      <c r="P29" s="3"/>
      <c r="Q29" s="3"/>
      <c r="R29" s="3"/>
      <c r="S29" s="3"/>
      <c r="T29" s="3"/>
      <c r="U29" s="2">
        <f>U31/0.15-U31</f>
        <v>22666.666666666668</v>
      </c>
      <c r="V29" s="2">
        <f>V31/0.3-V31</f>
        <v>21000</v>
      </c>
    </row>
    <row r="30" spans="1:26" x14ac:dyDescent="0.2">
      <c r="A30" s="1"/>
      <c r="B30" s="2" t="s">
        <v>127</v>
      </c>
      <c r="P30" s="3"/>
      <c r="Q30" s="3"/>
      <c r="R30" s="3"/>
      <c r="S30" s="3"/>
      <c r="T30" s="3"/>
      <c r="U30" s="7">
        <f>U35/U29</f>
        <v>0.35360294117647056</v>
      </c>
      <c r="V30" s="7">
        <f>V35/V29</f>
        <v>0.28248685714285687</v>
      </c>
      <c r="W30" s="7"/>
      <c r="X30" s="7"/>
      <c r="Y30" s="7"/>
      <c r="Z30" s="7"/>
    </row>
    <row r="31" spans="1:26" x14ac:dyDescent="0.2">
      <c r="A31" s="1"/>
      <c r="B31" s="2" t="s">
        <v>103</v>
      </c>
      <c r="P31" s="3"/>
      <c r="Q31" s="3"/>
      <c r="R31" s="3"/>
      <c r="S31" s="3"/>
      <c r="T31" s="3"/>
      <c r="U31" s="2">
        <v>4000</v>
      </c>
      <c r="V31" s="2">
        <v>9000</v>
      </c>
    </row>
    <row r="32" spans="1:26" x14ac:dyDescent="0.2">
      <c r="A32" s="1"/>
      <c r="B32" s="2" t="s">
        <v>125</v>
      </c>
      <c r="P32" s="3"/>
      <c r="Q32" s="3"/>
      <c r="R32" s="3"/>
      <c r="S32" s="3"/>
      <c r="T32" s="3"/>
      <c r="U32" s="7">
        <v>3.5</v>
      </c>
      <c r="V32" s="7">
        <v>3</v>
      </c>
      <c r="W32" s="7"/>
      <c r="X32" s="7"/>
      <c r="Y32" s="7"/>
      <c r="Z32" s="7"/>
    </row>
    <row r="33" spans="1:26" x14ac:dyDescent="0.2">
      <c r="A33" s="1"/>
      <c r="P33" s="3"/>
      <c r="Q33" s="3"/>
      <c r="R33" s="3"/>
      <c r="S33" s="3"/>
      <c r="T33" s="3"/>
    </row>
    <row r="34" spans="1:26" x14ac:dyDescent="0.2">
      <c r="A34" s="1"/>
      <c r="B34" s="2" t="s">
        <v>124</v>
      </c>
      <c r="I34" s="5"/>
      <c r="P34" s="3"/>
      <c r="Q34" s="3"/>
      <c r="R34" s="3"/>
      <c r="S34" s="3"/>
      <c r="T34" s="3"/>
      <c r="U34" s="2">
        <f>U32*U31</f>
        <v>14000</v>
      </c>
      <c r="V34" s="2">
        <f>V32*V31</f>
        <v>27000</v>
      </c>
    </row>
    <row r="35" spans="1:26" x14ac:dyDescent="0.2">
      <c r="A35" s="8"/>
      <c r="B35" s="2" t="s">
        <v>93</v>
      </c>
      <c r="U35" s="2">
        <f>U37-U34</f>
        <v>8015</v>
      </c>
      <c r="V35" s="2">
        <f>V37-V34</f>
        <v>5932.2239999999947</v>
      </c>
    </row>
    <row r="36" spans="1:26" s="8" customFormat="1" x14ac:dyDescent="0.2">
      <c r="B36" s="2"/>
      <c r="V36" s="2"/>
      <c r="W36" s="2"/>
      <c r="X36" s="2"/>
      <c r="Y36" s="2"/>
      <c r="Z36" s="2"/>
    </row>
    <row r="37" spans="1:26" s="8" customFormat="1" x14ac:dyDescent="0.2">
      <c r="B37" s="8" t="s">
        <v>6</v>
      </c>
      <c r="C37" s="2">
        <v>2119.6</v>
      </c>
      <c r="D37" s="2">
        <v>3664.9</v>
      </c>
      <c r="E37" s="2">
        <v>3850</v>
      </c>
      <c r="F37" s="2">
        <v>5308.2</v>
      </c>
      <c r="G37" s="2">
        <v>5937</v>
      </c>
      <c r="H37" s="2">
        <v>5678</v>
      </c>
      <c r="I37" s="2">
        <v>4600</v>
      </c>
      <c r="J37" s="2">
        <v>5800</v>
      </c>
      <c r="K37" s="2">
        <v>6500</v>
      </c>
      <c r="L37" s="2">
        <f>K37*1.16</f>
        <v>7539.9999999999991</v>
      </c>
      <c r="M37" s="2">
        <f t="shared" ref="M37:N37" si="13">L37*1.16</f>
        <v>8746.3999999999978</v>
      </c>
      <c r="N37" s="2">
        <f t="shared" si="13"/>
        <v>10145.823999999997</v>
      </c>
      <c r="O37" s="2"/>
      <c r="P37" s="2">
        <v>3339.3</v>
      </c>
      <c r="Q37" s="2">
        <v>3557.4</v>
      </c>
      <c r="R37" s="2">
        <v>5196.1000000000004</v>
      </c>
      <c r="S37" s="2">
        <v>7123.4</v>
      </c>
      <c r="T37" s="2">
        <v>14989.2</v>
      </c>
      <c r="U37" s="2">
        <f>SUM(G37:J37)</f>
        <v>22015</v>
      </c>
      <c r="V37" s="2">
        <f t="shared" ref="V37:V42" si="14">SUM(K37:N37)</f>
        <v>32932.223999999995</v>
      </c>
      <c r="W37" s="2">
        <f>V37*1.1</f>
        <v>36225.446400000001</v>
      </c>
      <c r="X37" s="2">
        <f t="shared" ref="X37:Z37" si="15">W37*1.1</f>
        <v>39847.991040000001</v>
      </c>
      <c r="Y37" s="2">
        <f t="shared" si="15"/>
        <v>43832.790144000006</v>
      </c>
      <c r="Z37" s="2">
        <f t="shared" si="15"/>
        <v>48216.069158400009</v>
      </c>
    </row>
    <row r="38" spans="1:26" x14ac:dyDescent="0.2">
      <c r="B38" s="2" t="s">
        <v>19</v>
      </c>
      <c r="C38" s="2">
        <v>353.6</v>
      </c>
      <c r="D38" s="2">
        <v>3100.6</v>
      </c>
      <c r="E38" s="2">
        <v>3252.7</v>
      </c>
      <c r="F38" s="2">
        <v>4711.8999999999996</v>
      </c>
      <c r="G38" s="2">
        <v>5161.6000000000004</v>
      </c>
      <c r="H38" s="2">
        <v>5007.8999999999996</v>
      </c>
      <c r="I38" s="2">
        <v>4159</v>
      </c>
      <c r="J38" s="2">
        <f ca="1">J37*(1-J56)</f>
        <v>5104</v>
      </c>
      <c r="K38" s="2">
        <f>K37*(1-K56)</f>
        <v>5720</v>
      </c>
      <c r="L38" s="2">
        <f>L37*(1-L56)</f>
        <v>6635.1999999999989</v>
      </c>
      <c r="M38" s="2">
        <f>M37*(1-M56)</f>
        <v>7696.8319999999985</v>
      </c>
      <c r="N38" s="2">
        <f>N37*(1-N56)</f>
        <v>8928.3251199999977</v>
      </c>
      <c r="P38" s="2">
        <v>2813.1</v>
      </c>
      <c r="Q38" s="2">
        <v>3022.9</v>
      </c>
      <c r="R38" s="2">
        <v>4396.1000000000004</v>
      </c>
      <c r="S38" s="2">
        <v>5840.4</v>
      </c>
      <c r="T38" s="2">
        <v>12927.8</v>
      </c>
      <c r="U38" s="2">
        <f ca="1">SUM(G38:J38)</f>
        <v>19432.5</v>
      </c>
      <c r="V38" s="2">
        <f t="shared" si="14"/>
        <v>28980.357119999997</v>
      </c>
      <c r="W38" s="2">
        <f>W37*(1-W56)</f>
        <v>31878.392832000001</v>
      </c>
      <c r="X38" s="2">
        <f>X37*(1-X56)</f>
        <v>35066.2321152</v>
      </c>
      <c r="Y38" s="2">
        <f>Y37*(1-Y56)</f>
        <v>38572.855326720004</v>
      </c>
      <c r="Z38" s="2">
        <f>Z37*(1-Z56)</f>
        <v>42430.140859392006</v>
      </c>
    </row>
    <row r="39" spans="1:26" x14ac:dyDescent="0.2">
      <c r="B39" s="2" t="s">
        <v>20</v>
      </c>
      <c r="C39" s="2">
        <f t="shared" ref="C39:N39" si="16">C37-C38</f>
        <v>1766</v>
      </c>
      <c r="D39" s="2">
        <f t="shared" si="16"/>
        <v>564.30000000000018</v>
      </c>
      <c r="E39" s="2">
        <f t="shared" si="16"/>
        <v>597.30000000000018</v>
      </c>
      <c r="F39" s="2">
        <f t="shared" si="16"/>
        <v>596.30000000000018</v>
      </c>
      <c r="G39" s="2">
        <f t="shared" si="16"/>
        <v>775.39999999999964</v>
      </c>
      <c r="H39" s="2">
        <f t="shared" si="16"/>
        <v>670.10000000000036</v>
      </c>
      <c r="I39" s="2">
        <f t="shared" si="16"/>
        <v>441</v>
      </c>
      <c r="J39" s="2">
        <f t="shared" ca="1" si="16"/>
        <v>696</v>
      </c>
      <c r="K39" s="2">
        <f t="shared" si="16"/>
        <v>780</v>
      </c>
      <c r="L39" s="2">
        <f t="shared" si="16"/>
        <v>904.80000000000018</v>
      </c>
      <c r="M39" s="2">
        <f t="shared" si="16"/>
        <v>1049.5679999999993</v>
      </c>
      <c r="N39" s="2">
        <f t="shared" si="16"/>
        <v>1217.4988799999992</v>
      </c>
      <c r="P39" s="2">
        <f t="shared" ref="P39:U39" si="17">P37-P38</f>
        <v>526.20000000000027</v>
      </c>
      <c r="Q39" s="2">
        <f t="shared" si="17"/>
        <v>534.5</v>
      </c>
      <c r="R39" s="2">
        <f t="shared" si="17"/>
        <v>800</v>
      </c>
      <c r="S39" s="2">
        <f t="shared" si="17"/>
        <v>1283</v>
      </c>
      <c r="T39" s="2">
        <f t="shared" si="17"/>
        <v>2061.4000000000015</v>
      </c>
      <c r="U39" s="2">
        <f t="shared" ca="1" si="17"/>
        <v>2582.5</v>
      </c>
      <c r="V39" s="2">
        <f t="shared" si="14"/>
        <v>3951.8668799999987</v>
      </c>
      <c r="W39" s="2">
        <f t="shared" ref="W39:Z39" si="18">W37-W38</f>
        <v>4347.0535679999994</v>
      </c>
      <c r="X39" s="2">
        <f t="shared" si="18"/>
        <v>4781.7589248000004</v>
      </c>
      <c r="Y39" s="2">
        <f t="shared" si="18"/>
        <v>5259.9348172800019</v>
      </c>
      <c r="Z39" s="2">
        <f t="shared" si="18"/>
        <v>5785.9282990080028</v>
      </c>
    </row>
    <row r="40" spans="1:26" x14ac:dyDescent="0.2">
      <c r="B40" s="2" t="s">
        <v>10</v>
      </c>
      <c r="C40" s="2">
        <v>111</v>
      </c>
      <c r="D40" s="2">
        <v>108.8</v>
      </c>
      <c r="E40" s="2">
        <v>116.2</v>
      </c>
      <c r="F40" s="2">
        <v>126.9</v>
      </c>
      <c r="G40" s="2">
        <v>132.19999999999999</v>
      </c>
      <c r="H40" s="2">
        <v>158.19999999999999</v>
      </c>
      <c r="I40" s="2">
        <v>162.9</v>
      </c>
      <c r="J40" s="2">
        <f>I40*(1+J54)</f>
        <v>205.39565217391305</v>
      </c>
      <c r="K40" s="2">
        <f t="shared" ref="K40:L40" si="19">J40*1.01</f>
        <v>207.44960869565219</v>
      </c>
      <c r="L40" s="2">
        <f t="shared" si="19"/>
        <v>209.5241047826087</v>
      </c>
      <c r="M40" s="2">
        <f t="shared" ref="M40" si="20">L40*1.01</f>
        <v>211.61934583043478</v>
      </c>
      <c r="N40" s="2">
        <f t="shared" ref="N40" si="21">M40*1.01</f>
        <v>213.73553928873912</v>
      </c>
      <c r="P40" s="2">
        <v>221.5</v>
      </c>
      <c r="Q40" s="2">
        <v>224.4</v>
      </c>
      <c r="R40" s="2">
        <v>272.3</v>
      </c>
      <c r="S40" s="2">
        <v>307.26</v>
      </c>
      <c r="T40" s="2">
        <v>463.5</v>
      </c>
      <c r="U40" s="2">
        <f>SUM(G40:J40)</f>
        <v>658.695652173913</v>
      </c>
      <c r="V40" s="2">
        <f t="shared" si="14"/>
        <v>842.32859859743485</v>
      </c>
      <c r="W40" s="2">
        <f t="shared" ref="W40:Z40" si="22">V40*(1+W53)</f>
        <v>926.56145845717845</v>
      </c>
      <c r="X40" s="2">
        <f t="shared" si="22"/>
        <v>1019.2176043028963</v>
      </c>
      <c r="Y40" s="2">
        <f t="shared" si="22"/>
        <v>1121.1393647331861</v>
      </c>
      <c r="Z40" s="2">
        <f t="shared" si="22"/>
        <v>1233.2533012065048</v>
      </c>
    </row>
    <row r="41" spans="1:26" x14ac:dyDescent="0.2">
      <c r="B41" s="2" t="s">
        <v>22</v>
      </c>
      <c r="C41" s="2">
        <v>37.200000000000003</v>
      </c>
      <c r="D41" s="2">
        <v>46.8</v>
      </c>
      <c r="E41" s="2">
        <v>49.7</v>
      </c>
      <c r="F41" s="2">
        <v>55.7</v>
      </c>
      <c r="G41" s="2">
        <v>68.8</v>
      </c>
      <c r="H41" s="2">
        <v>79.5</v>
      </c>
      <c r="I41" s="2">
        <v>60</v>
      </c>
      <c r="J41" s="2">
        <f t="shared" ref="J41:L41" si="23">I41*(1+J54)</f>
        <v>75.652173913043484</v>
      </c>
      <c r="K41" s="2">
        <f t="shared" si="23"/>
        <v>84.782608695652172</v>
      </c>
      <c r="L41" s="2">
        <f t="shared" si="23"/>
        <v>98.347826086956516</v>
      </c>
      <c r="M41" s="2">
        <f t="shared" ref="M41" si="24">L41*(1+M54)</f>
        <v>114.08347826086955</v>
      </c>
      <c r="N41" s="2">
        <f t="shared" ref="N41" si="25">M41*(1+N54)</f>
        <v>132.33683478260866</v>
      </c>
      <c r="P41" s="2">
        <v>85.1</v>
      </c>
      <c r="Q41" s="2">
        <v>85.7</v>
      </c>
      <c r="R41" s="2">
        <v>90.1</v>
      </c>
      <c r="S41" s="2">
        <v>115</v>
      </c>
      <c r="T41" s="2">
        <v>189.7</v>
      </c>
      <c r="U41" s="2">
        <f>SUM(G41:J41)</f>
        <v>283.95217391304351</v>
      </c>
      <c r="V41" s="2">
        <f t="shared" si="14"/>
        <v>429.55074782608688</v>
      </c>
      <c r="W41" s="2">
        <f t="shared" ref="W41:Z41" si="26">V41*(1+W53)</f>
        <v>472.50582260869561</v>
      </c>
      <c r="X41" s="2">
        <f t="shared" si="26"/>
        <v>519.75640486956524</v>
      </c>
      <c r="Y41" s="2">
        <f t="shared" si="26"/>
        <v>571.73204535652178</v>
      </c>
      <c r="Z41" s="2">
        <f t="shared" si="26"/>
        <v>628.90524989217397</v>
      </c>
    </row>
    <row r="42" spans="1:26" x14ac:dyDescent="0.2">
      <c r="B42" s="2" t="s">
        <v>23</v>
      </c>
      <c r="C42" s="2">
        <v>33.9</v>
      </c>
      <c r="D42" s="2">
        <v>37.200000000000003</v>
      </c>
      <c r="E42" s="2">
        <v>53.1</v>
      </c>
      <c r="F42" s="2">
        <v>70.400000000000006</v>
      </c>
      <c r="G42" s="2">
        <v>65.2</v>
      </c>
      <c r="H42" s="2">
        <v>63.6</v>
      </c>
      <c r="I42" s="2">
        <v>70.599999999999994</v>
      </c>
      <c r="J42" s="2">
        <f t="shared" ref="J42:L42" si="27">I42*(1+J54)</f>
        <v>89.017391304347825</v>
      </c>
      <c r="K42" s="2">
        <f t="shared" si="27"/>
        <v>99.760869565217376</v>
      </c>
      <c r="L42" s="2">
        <f t="shared" si="27"/>
        <v>115.72260869565216</v>
      </c>
      <c r="M42" s="2">
        <f t="shared" ref="M42" si="28">L42*(1+M54)</f>
        <v>134.2382260869565</v>
      </c>
      <c r="N42" s="2">
        <f t="shared" ref="N42" si="29">M42*(1+N54)</f>
        <v>155.71634226086954</v>
      </c>
      <c r="P42" s="2">
        <v>134</v>
      </c>
      <c r="Q42" s="2">
        <v>100.5</v>
      </c>
      <c r="R42" s="2">
        <v>102.4</v>
      </c>
      <c r="S42" s="2">
        <v>99.5</v>
      </c>
      <c r="T42" s="2">
        <v>197.3</v>
      </c>
      <c r="U42" s="2">
        <f>SUM(G42:J42)</f>
        <v>288.4173913043478</v>
      </c>
      <c r="V42" s="2">
        <f t="shared" si="14"/>
        <v>505.43804660869557</v>
      </c>
      <c r="W42" s="2">
        <f t="shared" ref="W42:Z42" si="30">V42*(1+W53)</f>
        <v>555.98185126956514</v>
      </c>
      <c r="X42" s="2">
        <f t="shared" si="30"/>
        <v>611.58003639652168</v>
      </c>
      <c r="Y42" s="2">
        <f t="shared" si="30"/>
        <v>672.73804003617386</v>
      </c>
      <c r="Z42" s="2">
        <f t="shared" si="30"/>
        <v>740.0118440397913</v>
      </c>
    </row>
    <row r="43" spans="1:26" x14ac:dyDescent="0.2">
      <c r="B43" s="2" t="s">
        <v>24</v>
      </c>
      <c r="C43" s="2">
        <f>SUM(C40:C42)</f>
        <v>182.1</v>
      </c>
      <c r="D43" s="2">
        <f t="shared" ref="D43:F43" si="31">SUM(D40:D42)</f>
        <v>192.8</v>
      </c>
      <c r="E43" s="2">
        <f t="shared" si="31"/>
        <v>219</v>
      </c>
      <c r="F43" s="2">
        <f t="shared" si="31"/>
        <v>253.00000000000003</v>
      </c>
      <c r="G43" s="2">
        <f>SUM(G40:G42)</f>
        <v>266.2</v>
      </c>
      <c r="H43" s="2">
        <f>SUM(H40:H42)</f>
        <v>301.3</v>
      </c>
      <c r="I43" s="2">
        <f t="shared" ref="I43:L43" si="32">SUM(I40:I42)</f>
        <v>293.5</v>
      </c>
      <c r="J43" s="2">
        <f t="shared" si="32"/>
        <v>370.06521739130437</v>
      </c>
      <c r="K43" s="2">
        <f t="shared" si="32"/>
        <v>391.99308695652172</v>
      </c>
      <c r="L43" s="2">
        <f t="shared" si="32"/>
        <v>423.59453956521736</v>
      </c>
      <c r="M43" s="2">
        <f t="shared" ref="M43:N43" si="33">SUM(M40:M42)</f>
        <v>459.94105017826087</v>
      </c>
      <c r="N43" s="2">
        <f t="shared" si="33"/>
        <v>501.78871633221729</v>
      </c>
      <c r="P43" s="2">
        <f t="shared" ref="P43:R43" si="34">SUM(P40:P42)</f>
        <v>440.6</v>
      </c>
      <c r="Q43" s="2">
        <f t="shared" si="34"/>
        <v>410.6</v>
      </c>
      <c r="R43" s="2">
        <f t="shared" si="34"/>
        <v>464.79999999999995</v>
      </c>
      <c r="S43" s="2">
        <f t="shared" ref="S43:T43" si="35">SUM(S40:S42)</f>
        <v>521.76</v>
      </c>
      <c r="T43" s="2">
        <f t="shared" si="35"/>
        <v>850.5</v>
      </c>
      <c r="U43" s="2">
        <f t="shared" ref="U43:Z43" si="36">SUM(U40:U42)</f>
        <v>1231.0652173913043</v>
      </c>
      <c r="V43" s="2">
        <f t="shared" si="36"/>
        <v>1777.3173930322173</v>
      </c>
      <c r="W43" s="2">
        <f t="shared" si="36"/>
        <v>1955.0491323354393</v>
      </c>
      <c r="X43" s="2">
        <f t="shared" si="36"/>
        <v>2150.5540455689834</v>
      </c>
      <c r="Y43" s="2">
        <f t="shared" si="36"/>
        <v>2365.6094501258817</v>
      </c>
      <c r="Z43" s="2">
        <f t="shared" si="36"/>
        <v>2602.1703951384702</v>
      </c>
    </row>
    <row r="44" spans="1:26" s="8" customFormat="1" x14ac:dyDescent="0.2">
      <c r="B44" s="8" t="s">
        <v>25</v>
      </c>
      <c r="C44" s="8">
        <f>C39-C43</f>
        <v>1583.9</v>
      </c>
      <c r="D44" s="8">
        <f t="shared" ref="D44:F44" si="37">D39-D43</f>
        <v>371.50000000000017</v>
      </c>
      <c r="E44" s="8">
        <f t="shared" si="37"/>
        <v>378.30000000000018</v>
      </c>
      <c r="F44" s="8">
        <f t="shared" si="37"/>
        <v>343.30000000000018</v>
      </c>
      <c r="G44" s="8">
        <f>G39-G43</f>
        <v>509.19999999999965</v>
      </c>
      <c r="H44" s="8">
        <f>H39-H43</f>
        <v>368.80000000000035</v>
      </c>
      <c r="I44" s="8">
        <f t="shared" ref="I44:L44" si="38">I39-I43</f>
        <v>147.5</v>
      </c>
      <c r="J44" s="8">
        <f t="shared" ca="1" si="38"/>
        <v>325.93478260869563</v>
      </c>
      <c r="K44" s="8">
        <f t="shared" si="38"/>
        <v>388.00691304347828</v>
      </c>
      <c r="L44" s="8">
        <f t="shared" si="38"/>
        <v>481.20546043478282</v>
      </c>
      <c r="M44" s="8">
        <f t="shared" ref="M44:N44" si="39">M39-M43</f>
        <v>589.62694982173844</v>
      </c>
      <c r="N44" s="8">
        <f t="shared" si="39"/>
        <v>715.7101636677819</v>
      </c>
      <c r="P44" s="8">
        <f t="shared" ref="P44:R44" si="40">P39-P43</f>
        <v>85.60000000000025</v>
      </c>
      <c r="Q44" s="8">
        <f t="shared" si="40"/>
        <v>123.89999999999998</v>
      </c>
      <c r="R44" s="8">
        <f t="shared" si="40"/>
        <v>335.20000000000005</v>
      </c>
      <c r="S44" s="8">
        <f t="shared" ref="S44:T44" si="41">S39-S43</f>
        <v>761.24</v>
      </c>
      <c r="T44" s="8">
        <f t="shared" si="41"/>
        <v>1210.9000000000015</v>
      </c>
      <c r="U44" s="8">
        <f t="shared" ref="U44:V44" ca="1" si="42">U39-U43</f>
        <v>1351.4347826086957</v>
      </c>
      <c r="V44" s="8">
        <f t="shared" si="42"/>
        <v>2174.5494869677814</v>
      </c>
      <c r="W44" s="8">
        <f t="shared" ref="W44" si="43">W39-W43</f>
        <v>2392.0044356645603</v>
      </c>
      <c r="X44" s="8">
        <f t="shared" ref="X44" si="44">X39-X43</f>
        <v>2631.204879231017</v>
      </c>
      <c r="Y44" s="8">
        <f t="shared" ref="Y44:Z44" si="45">Y39-Y43</f>
        <v>2894.3253671541202</v>
      </c>
      <c r="Z44" s="8">
        <f t="shared" si="45"/>
        <v>3183.7579038695326</v>
      </c>
    </row>
    <row r="45" spans="1:26" x14ac:dyDescent="0.2">
      <c r="B45" s="2" t="s">
        <v>29</v>
      </c>
      <c r="C45" s="2">
        <v>6.6</v>
      </c>
      <c r="D45" s="2">
        <v>-8</v>
      </c>
      <c r="E45" s="2">
        <v>10</v>
      </c>
      <c r="F45" s="2">
        <v>14</v>
      </c>
      <c r="G45" s="2">
        <v>7.2</v>
      </c>
      <c r="H45" s="2">
        <v>12.9</v>
      </c>
      <c r="I45" s="2">
        <v>-18.3</v>
      </c>
      <c r="P45" s="2">
        <v>1.4</v>
      </c>
      <c r="Q45" s="2">
        <v>-2.8</v>
      </c>
      <c r="R45" s="2">
        <v>8.1</v>
      </c>
      <c r="T45" s="2">
        <v>22.7</v>
      </c>
      <c r="U45" s="2">
        <f>SUM(G45:J45)</f>
        <v>1.8000000000000007</v>
      </c>
      <c r="V45" s="2">
        <f>SUM(K45:N45)</f>
        <v>0</v>
      </c>
    </row>
    <row r="46" spans="1:26" x14ac:dyDescent="0.2">
      <c r="B46" s="2" t="s">
        <v>26</v>
      </c>
      <c r="C46" s="2">
        <v>-1.8</v>
      </c>
      <c r="D46" s="2">
        <v>-8</v>
      </c>
      <c r="E46" s="2">
        <v>-6.3</v>
      </c>
      <c r="F46" s="2">
        <v>-3.1</v>
      </c>
      <c r="G46" s="2">
        <v>-17.3</v>
      </c>
      <c r="H46" s="2">
        <v>-6.5</v>
      </c>
      <c r="I46" s="2">
        <v>-13.4</v>
      </c>
      <c r="J46" s="2">
        <f>I58*$AC$51/4</f>
        <v>-0.40900000000000092</v>
      </c>
      <c r="K46" s="2">
        <f>J58*$AC$51/4</f>
        <v>23.1845</v>
      </c>
      <c r="L46" s="2">
        <f>K58*$AC$51/4</f>
        <v>24.952623076086958</v>
      </c>
      <c r="M46" s="2">
        <f>L58*$AC$51/4</f>
        <v>26.977255410130439</v>
      </c>
      <c r="N46" s="2">
        <f>M58*$AC$51/4</f>
        <v>29.443672231057914</v>
      </c>
      <c r="P46" s="2">
        <v>-2.2000000000000002</v>
      </c>
      <c r="Q46" s="2">
        <v>-2.5</v>
      </c>
      <c r="R46" s="2">
        <v>-6.4</v>
      </c>
      <c r="T46" s="2">
        <v>-19.350000000000001</v>
      </c>
      <c r="U46" s="2">
        <f>SUM(G46:J46)</f>
        <v>-37.609000000000002</v>
      </c>
      <c r="V46" s="2">
        <f>SUM(K46:N46)</f>
        <v>104.55805071727531</v>
      </c>
      <c r="W46" s="2">
        <f>V58*$AC$51</f>
        <v>129.69715029861308</v>
      </c>
      <c r="X46" s="2">
        <f>W58*$AC$51</f>
        <v>170.04437567402388</v>
      </c>
      <c r="Y46" s="2">
        <f>X58*$AC$51</f>
        <v>214.86436375250452</v>
      </c>
      <c r="Z46" s="2">
        <f>Y58*$AC$51</f>
        <v>264.61139944701051</v>
      </c>
    </row>
    <row r="47" spans="1:26" x14ac:dyDescent="0.2">
      <c r="B47" s="2" t="s">
        <v>27</v>
      </c>
      <c r="C47" s="2">
        <f>C44+SUM(C45:C46)</f>
        <v>1588.7</v>
      </c>
      <c r="D47" s="2">
        <f t="shared" ref="D47:F47" si="46">D44+SUM(D45:D46)</f>
        <v>355.50000000000017</v>
      </c>
      <c r="E47" s="2">
        <f t="shared" si="46"/>
        <v>382.00000000000017</v>
      </c>
      <c r="F47" s="2">
        <f t="shared" si="46"/>
        <v>354.20000000000016</v>
      </c>
      <c r="G47" s="2">
        <f>G44+SUM(G45:G46)</f>
        <v>499.09999999999962</v>
      </c>
      <c r="H47" s="2">
        <f>H44+SUM(H45:H46)</f>
        <v>375.20000000000033</v>
      </c>
      <c r="I47" s="2">
        <f t="shared" ref="I47:L47" si="47">I44+SUM(I45:I46)</f>
        <v>115.8</v>
      </c>
      <c r="J47" s="2">
        <f t="shared" ca="1" si="47"/>
        <v>325.52578260869564</v>
      </c>
      <c r="K47" s="2">
        <f t="shared" si="47"/>
        <v>411.19141304347829</v>
      </c>
      <c r="L47" s="2">
        <f t="shared" si="47"/>
        <v>506.1580835108698</v>
      </c>
      <c r="M47" s="2">
        <f t="shared" ref="M47:N47" si="48">M44+SUM(M45:M46)</f>
        <v>616.60420523186883</v>
      </c>
      <c r="N47" s="2">
        <f t="shared" si="48"/>
        <v>745.15383589883982</v>
      </c>
      <c r="P47" s="2">
        <f t="shared" ref="P47:R47" si="49">P44+SUM(P45:P46)</f>
        <v>84.800000000000253</v>
      </c>
      <c r="Q47" s="2">
        <f t="shared" si="49"/>
        <v>118.59999999999998</v>
      </c>
      <c r="R47" s="2">
        <f t="shared" si="49"/>
        <v>336.90000000000003</v>
      </c>
      <c r="S47" s="2">
        <f t="shared" ref="S47:T47" si="50">S44+SUM(S45:S46)</f>
        <v>761.24</v>
      </c>
      <c r="T47" s="2">
        <f t="shared" si="50"/>
        <v>1214.2500000000014</v>
      </c>
      <c r="U47" s="2">
        <f t="shared" ref="U47:V47" ca="1" si="51">U44+SUM(U45:U46)</f>
        <v>1315.6257826086958</v>
      </c>
      <c r="V47" s="2">
        <f t="shared" si="51"/>
        <v>2279.1075376850567</v>
      </c>
      <c r="W47" s="2">
        <f t="shared" ref="W47" si="52">W44+SUM(W45:W46)</f>
        <v>2521.7015859631733</v>
      </c>
      <c r="X47" s="2">
        <f t="shared" ref="X47" si="53">X44+SUM(X45:X46)</f>
        <v>2801.2492549050407</v>
      </c>
      <c r="Y47" s="2">
        <f t="shared" ref="Y47:Z47" si="54">Y44+SUM(Y45:Y46)</f>
        <v>3109.1897309066248</v>
      </c>
      <c r="Z47" s="2">
        <f t="shared" si="54"/>
        <v>3448.3693033165432</v>
      </c>
    </row>
    <row r="48" spans="1:26" x14ac:dyDescent="0.2">
      <c r="B48" s="18" t="s">
        <v>140</v>
      </c>
      <c r="C48" s="2">
        <v>20.2</v>
      </c>
      <c r="D48" s="2">
        <v>-61.5</v>
      </c>
      <c r="E48" s="2">
        <v>-20</v>
      </c>
      <c r="F48" s="2">
        <v>1</v>
      </c>
      <c r="G48" s="2">
        <v>74.7</v>
      </c>
      <c r="H48" s="2">
        <v>56.9</v>
      </c>
      <c r="I48" s="2">
        <v>5.8</v>
      </c>
      <c r="J48" s="2">
        <f ca="1">J47*0.2</f>
        <v>65.105156521739133</v>
      </c>
      <c r="K48" s="2">
        <f>K47*0.14</f>
        <v>57.566797826086969</v>
      </c>
      <c r="L48" s="2">
        <f t="shared" ref="L48:N48" si="55">L47*0.2</f>
        <v>101.23161670217397</v>
      </c>
      <c r="M48" s="2">
        <f t="shared" si="55"/>
        <v>123.32084104637377</v>
      </c>
      <c r="N48" s="2">
        <f t="shared" si="55"/>
        <v>149.03076717976796</v>
      </c>
      <c r="P48" s="2">
        <v>2.9</v>
      </c>
      <c r="Q48" s="2">
        <v>6.9</v>
      </c>
      <c r="R48" s="2">
        <v>52.9</v>
      </c>
      <c r="S48" s="2">
        <v>110.6</v>
      </c>
      <c r="T48" s="2">
        <v>63.3</v>
      </c>
      <c r="U48" s="2">
        <f ca="1">SUM(G48:J48)</f>
        <v>202.50515652173914</v>
      </c>
      <c r="V48" s="2">
        <f>SUM(K48:N48)</f>
        <v>431.1500227544027</v>
      </c>
      <c r="W48" s="2">
        <f t="shared" ref="W48:Z48" si="56">W47*0.2</f>
        <v>504.3403171926347</v>
      </c>
      <c r="X48" s="2">
        <f t="shared" si="56"/>
        <v>560.24985098100819</v>
      </c>
      <c r="Y48" s="2">
        <f t="shared" si="56"/>
        <v>621.83794618132504</v>
      </c>
      <c r="Z48" s="2">
        <f t="shared" si="56"/>
        <v>689.67386066330869</v>
      </c>
    </row>
    <row r="49" spans="2:92" x14ac:dyDescent="0.2">
      <c r="B49" s="8" t="s">
        <v>7</v>
      </c>
      <c r="C49" s="8">
        <f>C47-C48</f>
        <v>1568.5</v>
      </c>
      <c r="D49" s="8">
        <f t="shared" ref="D49:F49" si="57">D47-D48</f>
        <v>417.00000000000017</v>
      </c>
      <c r="E49" s="8">
        <f t="shared" si="57"/>
        <v>402.00000000000017</v>
      </c>
      <c r="F49" s="8">
        <f t="shared" si="57"/>
        <v>353.20000000000016</v>
      </c>
      <c r="G49" s="8">
        <f>G47-G48</f>
        <v>424.39999999999964</v>
      </c>
      <c r="H49" s="8">
        <f>H47-H48</f>
        <v>318.30000000000035</v>
      </c>
      <c r="I49" s="8">
        <f>I47-I48</f>
        <v>110</v>
      </c>
      <c r="J49" s="8">
        <f ca="1">J47-J48</f>
        <v>260.42062608695653</v>
      </c>
      <c r="K49" s="8">
        <f t="shared" ref="K49:L49" si="58">K47-K48</f>
        <v>353.62461521739135</v>
      </c>
      <c r="L49" s="8">
        <f t="shared" si="58"/>
        <v>404.92646680869586</v>
      </c>
      <c r="M49" s="8">
        <f t="shared" ref="M49:N49" si="59">M47-M48</f>
        <v>493.28336418549509</v>
      </c>
      <c r="N49" s="8">
        <f t="shared" si="59"/>
        <v>596.12306871907185</v>
      </c>
      <c r="O49" s="8"/>
      <c r="P49" s="8">
        <f t="shared" ref="P49:R49" si="60">P47-P48</f>
        <v>81.900000000000247</v>
      </c>
      <c r="Q49" s="8">
        <f t="shared" si="60"/>
        <v>111.69999999999997</v>
      </c>
      <c r="R49" s="8">
        <f t="shared" si="60"/>
        <v>284.00000000000006</v>
      </c>
      <c r="S49" s="8">
        <f t="shared" ref="S49:U49" si="61">S47-S48</f>
        <v>650.64</v>
      </c>
      <c r="T49" s="8">
        <f t="shared" si="61"/>
        <v>1150.9500000000014</v>
      </c>
      <c r="U49" s="8">
        <f t="shared" ca="1" si="61"/>
        <v>1113.1206260869567</v>
      </c>
      <c r="V49" s="8">
        <f>V47-V48</f>
        <v>1847.957514930654</v>
      </c>
      <c r="W49" s="8">
        <f t="shared" ref="W49:Z49" si="62">W47-W48</f>
        <v>2017.3612687705386</v>
      </c>
      <c r="X49" s="8">
        <f t="shared" si="62"/>
        <v>2240.9994039240328</v>
      </c>
      <c r="Y49" s="8">
        <f t="shared" si="62"/>
        <v>2487.3517847252997</v>
      </c>
      <c r="Z49" s="8">
        <f t="shared" si="62"/>
        <v>2758.6954426532347</v>
      </c>
      <c r="AA49" s="8">
        <f t="shared" ref="AA49:BF49" si="63">Z49*(1+$AC$52)</f>
        <v>2786.2823970797672</v>
      </c>
      <c r="AB49" s="8">
        <f t="shared" si="63"/>
        <v>2814.1452210505649</v>
      </c>
      <c r="AC49" s="8">
        <f t="shared" si="63"/>
        <v>2842.2866732610705</v>
      </c>
      <c r="AD49" s="8">
        <f t="shared" si="63"/>
        <v>2870.7095399936811</v>
      </c>
      <c r="AE49" s="8">
        <f t="shared" si="63"/>
        <v>2899.416635393618</v>
      </c>
      <c r="AF49" s="8">
        <f t="shared" si="63"/>
        <v>2928.4108017475542</v>
      </c>
      <c r="AG49" s="8">
        <f t="shared" si="63"/>
        <v>2957.6949097650299</v>
      </c>
      <c r="AH49" s="8">
        <f t="shared" si="63"/>
        <v>2987.2718588626803</v>
      </c>
      <c r="AI49" s="8">
        <f t="shared" si="63"/>
        <v>3017.1445774513072</v>
      </c>
      <c r="AJ49" s="8">
        <f t="shared" si="63"/>
        <v>3047.3160232258201</v>
      </c>
      <c r="AK49" s="8">
        <f t="shared" si="63"/>
        <v>3077.7891834580782</v>
      </c>
      <c r="AL49" s="8">
        <f t="shared" si="63"/>
        <v>3108.567075292659</v>
      </c>
      <c r="AM49" s="8">
        <f t="shared" si="63"/>
        <v>3139.6527460455854</v>
      </c>
      <c r="AN49" s="8">
        <f t="shared" si="63"/>
        <v>3171.0492735060411</v>
      </c>
      <c r="AO49" s="8">
        <f t="shared" si="63"/>
        <v>3202.7597662411017</v>
      </c>
      <c r="AP49" s="8">
        <f t="shared" si="63"/>
        <v>3234.7873639035129</v>
      </c>
      <c r="AQ49" s="8">
        <f t="shared" si="63"/>
        <v>3267.1352375425481</v>
      </c>
      <c r="AR49" s="8">
        <f t="shared" si="63"/>
        <v>3299.8065899179737</v>
      </c>
      <c r="AS49" s="8">
        <f t="shared" si="63"/>
        <v>3332.8046558171536</v>
      </c>
      <c r="AT49" s="8">
        <f t="shared" si="63"/>
        <v>3366.1327023753252</v>
      </c>
      <c r="AU49" s="8">
        <f t="shared" si="63"/>
        <v>3399.7940293990782</v>
      </c>
      <c r="AV49" s="8">
        <f t="shared" si="63"/>
        <v>3433.7919696930689</v>
      </c>
      <c r="AW49" s="8">
        <f t="shared" si="63"/>
        <v>3468.1298893899998</v>
      </c>
      <c r="AX49" s="8">
        <f t="shared" si="63"/>
        <v>3502.8111882838998</v>
      </c>
      <c r="AY49" s="8">
        <f t="shared" si="63"/>
        <v>3537.8393001667387</v>
      </c>
      <c r="AZ49" s="8">
        <f t="shared" si="63"/>
        <v>3573.2176931684062</v>
      </c>
      <c r="BA49" s="8">
        <f t="shared" si="63"/>
        <v>3608.9498701000903</v>
      </c>
      <c r="BB49" s="8">
        <f t="shared" si="63"/>
        <v>3645.0393688010913</v>
      </c>
      <c r="BC49" s="8">
        <f t="shared" si="63"/>
        <v>3681.4897624891023</v>
      </c>
      <c r="BD49" s="8">
        <f t="shared" si="63"/>
        <v>3718.3046601139936</v>
      </c>
      <c r="BE49" s="8">
        <f t="shared" si="63"/>
        <v>3755.4877067151338</v>
      </c>
      <c r="BF49" s="8">
        <f t="shared" si="63"/>
        <v>3793.042583782285</v>
      </c>
      <c r="BG49" s="8">
        <f t="shared" ref="BG49:CN49" si="64">BF49*(1+$AC$52)</f>
        <v>3830.9730096201079</v>
      </c>
      <c r="BH49" s="8">
        <f t="shared" si="64"/>
        <v>3869.2827397163092</v>
      </c>
      <c r="BI49" s="8">
        <f t="shared" si="64"/>
        <v>3907.9755671134722</v>
      </c>
      <c r="BJ49" s="8">
        <f t="shared" si="64"/>
        <v>3947.0553227846067</v>
      </c>
      <c r="BK49" s="8">
        <f t="shared" si="64"/>
        <v>3986.525876012453</v>
      </c>
      <c r="BL49" s="8">
        <f t="shared" si="64"/>
        <v>4026.3911347725775</v>
      </c>
      <c r="BM49" s="8">
        <f t="shared" si="64"/>
        <v>4066.6550461203033</v>
      </c>
      <c r="BN49" s="8">
        <f t="shared" si="64"/>
        <v>4107.3215965815061</v>
      </c>
      <c r="BO49" s="8">
        <f t="shared" si="64"/>
        <v>4148.3948125473216</v>
      </c>
      <c r="BP49" s="8">
        <f t="shared" si="64"/>
        <v>4189.8787606727947</v>
      </c>
      <c r="BQ49" s="8">
        <f t="shared" si="64"/>
        <v>4231.7775482795223</v>
      </c>
      <c r="BR49" s="8">
        <f t="shared" si="64"/>
        <v>4274.095323762318</v>
      </c>
      <c r="BS49" s="8">
        <f t="shared" si="64"/>
        <v>4316.8362769999412</v>
      </c>
      <c r="BT49" s="8">
        <f t="shared" si="64"/>
        <v>4360.0046397699407</v>
      </c>
      <c r="BU49" s="8">
        <f t="shared" si="64"/>
        <v>4403.6046861676405</v>
      </c>
      <c r="BV49" s="8">
        <f t="shared" si="64"/>
        <v>4447.6407330293168</v>
      </c>
      <c r="BW49" s="8">
        <f t="shared" si="64"/>
        <v>4492.1171403596099</v>
      </c>
      <c r="BX49" s="8">
        <f t="shared" si="64"/>
        <v>4537.0383117632064</v>
      </c>
      <c r="BY49" s="8">
        <f t="shared" si="64"/>
        <v>4582.4086948808381</v>
      </c>
      <c r="BZ49" s="8">
        <f t="shared" si="64"/>
        <v>4628.2327818296462</v>
      </c>
      <c r="CA49" s="8">
        <f t="shared" si="64"/>
        <v>4674.5151096479431</v>
      </c>
      <c r="CB49" s="8">
        <f t="shared" si="64"/>
        <v>4721.2602607444223</v>
      </c>
      <c r="CC49" s="8">
        <f t="shared" si="64"/>
        <v>4768.4728633518662</v>
      </c>
      <c r="CD49" s="8">
        <f t="shared" si="64"/>
        <v>4816.1575919853849</v>
      </c>
      <c r="CE49" s="8">
        <f t="shared" si="64"/>
        <v>4864.3191679052388</v>
      </c>
      <c r="CF49" s="8">
        <f t="shared" si="64"/>
        <v>4912.9623595842913</v>
      </c>
      <c r="CG49" s="8">
        <f t="shared" si="64"/>
        <v>4962.0919831801339</v>
      </c>
      <c r="CH49" s="8">
        <f t="shared" si="64"/>
        <v>5011.7129030119349</v>
      </c>
      <c r="CI49" s="8">
        <f t="shared" si="64"/>
        <v>5061.830032042054</v>
      </c>
      <c r="CJ49" s="8">
        <f t="shared" si="64"/>
        <v>5112.4483323624745</v>
      </c>
      <c r="CK49" s="8">
        <f t="shared" si="64"/>
        <v>5163.5728156860996</v>
      </c>
      <c r="CL49" s="8">
        <f t="shared" si="64"/>
        <v>5215.2085438429604</v>
      </c>
      <c r="CM49" s="8">
        <f t="shared" si="64"/>
        <v>5267.3606292813902</v>
      </c>
      <c r="CN49" s="8">
        <f t="shared" si="64"/>
        <v>5320.0342355742041</v>
      </c>
    </row>
    <row r="50" spans="2:92" x14ac:dyDescent="0.2">
      <c r="B50" s="2" t="s">
        <v>28</v>
      </c>
      <c r="C50" s="9">
        <f t="shared" ref="C50:N50" si="65">C49/C51</f>
        <v>2.9538606403013183</v>
      </c>
      <c r="D50" s="9">
        <f t="shared" si="65"/>
        <v>0.77079482439926095</v>
      </c>
      <c r="E50" s="9">
        <f t="shared" si="65"/>
        <v>0.71276595744680882</v>
      </c>
      <c r="F50" s="9">
        <f t="shared" si="65"/>
        <v>0.60170357751277714</v>
      </c>
      <c r="G50" s="9">
        <f t="shared" si="65"/>
        <v>0.71510292663118047</v>
      </c>
      <c r="H50" s="9">
        <f t="shared" si="65"/>
        <v>0.53632719497338643</v>
      </c>
      <c r="I50" s="9">
        <f t="shared" si="65"/>
        <v>0.18534712989969351</v>
      </c>
      <c r="J50" s="9">
        <f t="shared" ca="1" si="65"/>
        <v>0.4146825256161728</v>
      </c>
      <c r="K50" s="9">
        <f t="shared" si="65"/>
        <v>0.56041935850616698</v>
      </c>
      <c r="L50" s="9">
        <f t="shared" si="65"/>
        <v>0.64172181744642764</v>
      </c>
      <c r="M50" s="9">
        <f t="shared" si="65"/>
        <v>0.78174859617352632</v>
      </c>
      <c r="N50" s="9">
        <f t="shared" si="65"/>
        <v>0.94472752570375884</v>
      </c>
      <c r="O50" s="9"/>
      <c r="P50" s="9">
        <f t="shared" ref="P50:Z50" si="66">P49/P51</f>
        <v>0.16058823529411814</v>
      </c>
      <c r="Q50" s="9">
        <f t="shared" si="66"/>
        <v>0.21859099804305279</v>
      </c>
      <c r="R50" s="9">
        <f t="shared" si="66"/>
        <v>0.55252918287937758</v>
      </c>
      <c r="S50" s="9" t="e">
        <f t="shared" si="66"/>
        <v>#DIV/0!</v>
      </c>
      <c r="T50" s="9">
        <f t="shared" si="66"/>
        <v>1.939320719618659</v>
      </c>
      <c r="U50" s="9">
        <f t="shared" ca="1" si="66"/>
        <v>1.7724850733868738</v>
      </c>
      <c r="V50" s="9">
        <f t="shared" si="66"/>
        <v>2.9286172978298795</v>
      </c>
      <c r="W50" s="9">
        <f t="shared" si="66"/>
        <v>3.2123587082333418</v>
      </c>
      <c r="X50" s="9">
        <f t="shared" si="66"/>
        <v>3.5684703884140649</v>
      </c>
      <c r="Y50" s="9">
        <f t="shared" si="66"/>
        <v>3.9607512495625792</v>
      </c>
      <c r="Z50" s="9">
        <f t="shared" si="66"/>
        <v>4.3928271379828576</v>
      </c>
    </row>
    <row r="51" spans="2:92" x14ac:dyDescent="0.2">
      <c r="B51" s="2" t="s">
        <v>1</v>
      </c>
      <c r="C51" s="2">
        <v>531</v>
      </c>
      <c r="D51" s="2">
        <v>541</v>
      </c>
      <c r="E51" s="2">
        <v>564</v>
      </c>
      <c r="F51" s="2">
        <v>587</v>
      </c>
      <c r="G51" s="2">
        <v>593.48099999999999</v>
      </c>
      <c r="H51" s="2">
        <v>593.48099999999999</v>
      </c>
      <c r="I51" s="2">
        <v>593.48099999999999</v>
      </c>
      <c r="J51" s="2">
        <v>631</v>
      </c>
      <c r="K51" s="2">
        <v>631</v>
      </c>
      <c r="L51" s="2">
        <v>631</v>
      </c>
      <c r="M51" s="2">
        <v>631</v>
      </c>
      <c r="N51" s="2">
        <v>631</v>
      </c>
      <c r="P51" s="2">
        <v>510</v>
      </c>
      <c r="Q51" s="2">
        <v>511</v>
      </c>
      <c r="R51" s="2">
        <v>514</v>
      </c>
      <c r="T51" s="2">
        <v>593.48099999999999</v>
      </c>
      <c r="U51" s="2">
        <f>J51</f>
        <v>631</v>
      </c>
      <c r="V51" s="2">
        <f>N51</f>
        <v>631</v>
      </c>
      <c r="W51" s="2">
        <v>628</v>
      </c>
      <c r="X51" s="2">
        <v>628</v>
      </c>
      <c r="Y51" s="2">
        <v>628</v>
      </c>
      <c r="Z51" s="2">
        <v>628</v>
      </c>
      <c r="AA51" s="9"/>
      <c r="AB51" s="2" t="s">
        <v>35</v>
      </c>
      <c r="AC51" s="5">
        <v>0.02</v>
      </c>
      <c r="AD51" s="9"/>
      <c r="AE51" s="9"/>
    </row>
    <row r="52" spans="2:92" x14ac:dyDescent="0.2">
      <c r="AB52" s="2" t="s">
        <v>11</v>
      </c>
      <c r="AC52" s="5">
        <v>0.01</v>
      </c>
    </row>
    <row r="53" spans="2:92" x14ac:dyDescent="0.2">
      <c r="B53" s="8" t="s">
        <v>21</v>
      </c>
      <c r="G53" s="10">
        <f t="shared" ref="G53:N53" si="67">G37/C37-1</f>
        <v>1.8010001887148519</v>
      </c>
      <c r="H53" s="10">
        <f t="shared" si="67"/>
        <v>0.54929193156702771</v>
      </c>
      <c r="I53" s="10">
        <f t="shared" si="67"/>
        <v>0.19480519480519476</v>
      </c>
      <c r="J53" s="10">
        <f t="shared" si="67"/>
        <v>9.2649108925813017E-2</v>
      </c>
      <c r="K53" s="10">
        <f t="shared" si="67"/>
        <v>9.4829038234798713E-2</v>
      </c>
      <c r="L53" s="10">
        <f t="shared" si="67"/>
        <v>0.3279323705530115</v>
      </c>
      <c r="M53" s="10">
        <f t="shared" si="67"/>
        <v>0.90139130434782566</v>
      </c>
      <c r="N53" s="10">
        <f t="shared" si="67"/>
        <v>0.7492799999999995</v>
      </c>
      <c r="O53" s="5"/>
      <c r="P53" s="5"/>
      <c r="Q53" s="10">
        <f t="shared" ref="Q53:V53" si="68">Q37/P37-1</f>
        <v>6.5313089569670302E-2</v>
      </c>
      <c r="R53" s="10">
        <f t="shared" si="68"/>
        <v>0.46064541519086988</v>
      </c>
      <c r="S53" s="10">
        <f t="shared" si="68"/>
        <v>0.37091279998460358</v>
      </c>
      <c r="T53" s="10">
        <f t="shared" si="68"/>
        <v>1.1042198949939639</v>
      </c>
      <c r="U53" s="10">
        <f t="shared" si="68"/>
        <v>0.4687241480532649</v>
      </c>
      <c r="V53" s="10">
        <f t="shared" si="68"/>
        <v>0.49589934135816471</v>
      </c>
      <c r="W53" s="10">
        <f t="shared" ref="W53:Z53" si="69">W37/V37-1</f>
        <v>0.10000000000000009</v>
      </c>
      <c r="X53" s="10">
        <f t="shared" si="69"/>
        <v>0.10000000000000009</v>
      </c>
      <c r="Y53" s="10">
        <f t="shared" si="69"/>
        <v>0.10000000000000009</v>
      </c>
      <c r="Z53" s="10">
        <f t="shared" si="69"/>
        <v>0.10000000000000009</v>
      </c>
      <c r="AA53" s="10"/>
      <c r="AB53" s="2" t="s">
        <v>9</v>
      </c>
      <c r="AC53" s="6">
        <v>9.5000000000000001E-2</v>
      </c>
      <c r="AD53" s="10"/>
      <c r="AE53" s="10"/>
    </row>
    <row r="54" spans="2:92" x14ac:dyDescent="0.2">
      <c r="B54" s="2" t="s">
        <v>33</v>
      </c>
      <c r="D54" s="5">
        <f t="shared" ref="D54:N54" si="70">D37/C37-1</f>
        <v>0.72905265144366882</v>
      </c>
      <c r="E54" s="5">
        <f t="shared" si="70"/>
        <v>5.0506152964610251E-2</v>
      </c>
      <c r="F54" s="5">
        <f t="shared" si="70"/>
        <v>0.37875324675324662</v>
      </c>
      <c r="G54" s="5">
        <f t="shared" si="70"/>
        <v>0.11845823442975023</v>
      </c>
      <c r="H54" s="5">
        <f t="shared" si="70"/>
        <v>-4.362472629274039E-2</v>
      </c>
      <c r="I54" s="5">
        <f t="shared" si="70"/>
        <v>-0.18985558295174354</v>
      </c>
      <c r="J54" s="5">
        <f t="shared" si="70"/>
        <v>0.26086956521739135</v>
      </c>
      <c r="K54" s="5">
        <f t="shared" si="70"/>
        <v>0.1206896551724137</v>
      </c>
      <c r="L54" s="5">
        <f t="shared" si="70"/>
        <v>0.15999999999999992</v>
      </c>
      <c r="M54" s="5">
        <f t="shared" si="70"/>
        <v>0.15999999999999992</v>
      </c>
      <c r="N54" s="5">
        <f t="shared" si="70"/>
        <v>0.15999999999999992</v>
      </c>
      <c r="O54" s="5"/>
      <c r="P54" s="5"/>
      <c r="Q54" s="5"/>
      <c r="AB54" s="8" t="s">
        <v>12</v>
      </c>
      <c r="AC54" s="8">
        <f>NPV(AC53,V49:CN49)+Main!N6-Main!N7</f>
        <v>33918.611138370936</v>
      </c>
    </row>
    <row r="55" spans="2:92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1"/>
      <c r="U55" s="5"/>
      <c r="V55" s="5"/>
      <c r="W55" s="5"/>
      <c r="X55" s="5"/>
      <c r="Y55" s="5"/>
      <c r="Z55" s="5"/>
      <c r="AA55" s="5"/>
      <c r="AB55" s="18" t="s">
        <v>141</v>
      </c>
      <c r="AC55" s="13">
        <f>AC54/Main!N4</f>
        <v>56.832229379663772</v>
      </c>
      <c r="AD55" s="5"/>
      <c r="AE55" s="5"/>
    </row>
    <row r="56" spans="2:92" x14ac:dyDescent="0.2">
      <c r="B56" s="8" t="s">
        <v>8</v>
      </c>
      <c r="C56" s="10">
        <f t="shared" ref="C56:J56" si="71">C39/C37</f>
        <v>0.83317607095678436</v>
      </c>
      <c r="D56" s="10">
        <f t="shared" si="71"/>
        <v>0.15397418756309864</v>
      </c>
      <c r="E56" s="10">
        <f t="shared" si="71"/>
        <v>0.15514285714285719</v>
      </c>
      <c r="F56" s="10">
        <f t="shared" si="71"/>
        <v>0.11233563166421766</v>
      </c>
      <c r="G56" s="10">
        <f t="shared" si="71"/>
        <v>0.13060468249957885</v>
      </c>
      <c r="H56" s="10">
        <f t="shared" si="71"/>
        <v>0.11801690736174716</v>
      </c>
      <c r="I56" s="10">
        <f t="shared" si="71"/>
        <v>9.5869565217391303E-2</v>
      </c>
      <c r="J56" s="10">
        <f t="shared" ca="1" si="71"/>
        <v>9.5869565217391303E-2</v>
      </c>
      <c r="K56" s="12">
        <v>0.12</v>
      </c>
      <c r="L56" s="12">
        <v>0.12</v>
      </c>
      <c r="M56" s="12">
        <v>0.12</v>
      </c>
      <c r="N56" s="12">
        <v>0.12</v>
      </c>
      <c r="O56" s="10"/>
      <c r="P56" s="12">
        <f t="shared" ref="P56:V56" si="72">P39/P37</f>
        <v>0.1575779354954632</v>
      </c>
      <c r="Q56" s="12">
        <f t="shared" si="72"/>
        <v>0.15025018271771517</v>
      </c>
      <c r="R56" s="12">
        <f t="shared" si="72"/>
        <v>0.15396162506495256</v>
      </c>
      <c r="S56" s="12">
        <f t="shared" si="72"/>
        <v>0.18011062133250977</v>
      </c>
      <c r="T56" s="12">
        <f t="shared" si="72"/>
        <v>0.13752568515998195</v>
      </c>
      <c r="U56" s="12">
        <f t="shared" ca="1" si="72"/>
        <v>0.11730638201226437</v>
      </c>
      <c r="V56" s="12">
        <f t="shared" si="72"/>
        <v>0.11999999999999998</v>
      </c>
      <c r="W56" s="12">
        <v>0.12</v>
      </c>
      <c r="X56" s="12">
        <v>0.12</v>
      </c>
      <c r="Y56" s="12">
        <v>0.12</v>
      </c>
      <c r="Z56" s="12">
        <v>0.12</v>
      </c>
      <c r="AA56" s="12"/>
      <c r="AC56" s="5">
        <f>AC55/Main!N3-1</f>
        <v>0.26293843065919487</v>
      </c>
      <c r="AD56" s="12"/>
      <c r="AE56" s="12"/>
    </row>
    <row r="57" spans="2:92" x14ac:dyDescent="0.2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D57" s="11"/>
      <c r="AE57" s="11"/>
    </row>
    <row r="58" spans="2:92" x14ac:dyDescent="0.2">
      <c r="B58" s="2" t="s">
        <v>36</v>
      </c>
      <c r="G58" s="5"/>
      <c r="I58" s="2">
        <f>I59-(SUM(I73:I75))</f>
        <v>-81.800000000000182</v>
      </c>
      <c r="J58" s="2">
        <f>J59-SUM(J70:J73)</f>
        <v>4636.8999999999996</v>
      </c>
      <c r="K58" s="2">
        <f>J58+K49</f>
        <v>4990.5246152173913</v>
      </c>
      <c r="L58" s="2">
        <f>K58+L49</f>
        <v>5395.4510820260875</v>
      </c>
      <c r="M58" s="2">
        <f>L58+M49</f>
        <v>5888.7344462115825</v>
      </c>
      <c r="N58" s="2">
        <f>M58+N49</f>
        <v>6484.8575149306544</v>
      </c>
      <c r="R58" s="5"/>
      <c r="S58" s="2">
        <f>S59-(SUM(S73:S75))</f>
        <v>282.25900000000001</v>
      </c>
      <c r="T58" s="2">
        <f>T59-(SUM(T73:T75))</f>
        <v>-172.20000000000005</v>
      </c>
      <c r="U58" s="2">
        <f>J58</f>
        <v>4636.8999999999996</v>
      </c>
      <c r="V58" s="2">
        <f>N58</f>
        <v>6484.8575149306544</v>
      </c>
      <c r="W58" s="2">
        <f>V58+W49</f>
        <v>8502.2187837011934</v>
      </c>
      <c r="X58" s="2">
        <f>W58+X49</f>
        <v>10743.218187625225</v>
      </c>
      <c r="Y58" s="2">
        <f>X58+Y49</f>
        <v>13230.569972350524</v>
      </c>
      <c r="Z58" s="2">
        <f>Y58+Z49</f>
        <v>15989.26541500376</v>
      </c>
    </row>
    <row r="59" spans="2:92" x14ac:dyDescent="0.2">
      <c r="B59" s="2" t="s">
        <v>3</v>
      </c>
      <c r="I59" s="2">
        <v>2536.1</v>
      </c>
      <c r="J59" s="2">
        <v>5169.8999999999996</v>
      </c>
      <c r="S59" s="2">
        <v>440.459</v>
      </c>
      <c r="T59" s="2">
        <v>1669.8</v>
      </c>
      <c r="U59" s="2">
        <f>J59</f>
        <v>5169.8999999999996</v>
      </c>
    </row>
    <row r="60" spans="2:92" x14ac:dyDescent="0.2">
      <c r="B60" s="2" t="s">
        <v>44</v>
      </c>
      <c r="I60" s="2">
        <v>2642.5</v>
      </c>
      <c r="S60" s="2">
        <v>1148.3</v>
      </c>
      <c r="T60" s="2">
        <v>2737.3</v>
      </c>
      <c r="U60" s="2">
        <f t="shared" ref="U60:U65" si="73">J60</f>
        <v>0</v>
      </c>
    </row>
    <row r="61" spans="2:92" x14ac:dyDescent="0.2">
      <c r="B61" s="2" t="s">
        <v>45</v>
      </c>
      <c r="I61" s="2">
        <v>3870.2</v>
      </c>
      <c r="J61" s="2">
        <v>4680.3999999999996</v>
      </c>
      <c r="S61" s="2">
        <v>1445.6</v>
      </c>
      <c r="T61" s="2">
        <v>4333</v>
      </c>
      <c r="U61" s="2">
        <f t="shared" si="73"/>
        <v>4680.3999999999996</v>
      </c>
    </row>
    <row r="62" spans="2:92" x14ac:dyDescent="0.2">
      <c r="B62" s="2" t="s">
        <v>113</v>
      </c>
      <c r="I62" s="2">
        <v>464.7</v>
      </c>
      <c r="S62" s="2">
        <v>145.1</v>
      </c>
      <c r="T62" s="2">
        <v>191.8</v>
      </c>
      <c r="U62" s="2">
        <f t="shared" si="73"/>
        <v>0</v>
      </c>
    </row>
    <row r="63" spans="2:92" x14ac:dyDescent="0.2">
      <c r="B63" s="2" t="s">
        <v>46</v>
      </c>
      <c r="I63" s="2">
        <v>492.6</v>
      </c>
      <c r="S63" s="2">
        <v>290.2</v>
      </c>
      <c r="T63" s="2">
        <v>414.1</v>
      </c>
      <c r="U63" s="2">
        <f t="shared" si="73"/>
        <v>0</v>
      </c>
    </row>
    <row r="64" spans="2:92" x14ac:dyDescent="0.2">
      <c r="B64" s="2" t="s">
        <v>111</v>
      </c>
      <c r="I64" s="2">
        <v>481.2</v>
      </c>
      <c r="S64" s="2">
        <v>162.6</v>
      </c>
      <c r="T64" s="2">
        <v>365.2</v>
      </c>
      <c r="U64" s="2">
        <f t="shared" si="73"/>
        <v>0</v>
      </c>
    </row>
    <row r="65" spans="2:26" x14ac:dyDescent="0.2">
      <c r="B65" s="2" t="s">
        <v>47</v>
      </c>
      <c r="I65" s="2">
        <v>251.2</v>
      </c>
      <c r="S65" s="2">
        <v>42.4</v>
      </c>
      <c r="T65" s="2">
        <v>114.95</v>
      </c>
      <c r="U65" s="2">
        <f t="shared" si="73"/>
        <v>0</v>
      </c>
    </row>
    <row r="66" spans="2:26" x14ac:dyDescent="0.2">
      <c r="B66" s="2" t="s">
        <v>48</v>
      </c>
      <c r="C66" s="2">
        <f>SUM(C59:C65)</f>
        <v>0</v>
      </c>
      <c r="D66" s="2">
        <f t="shared" ref="D66:P66" si="74">SUM(D59:D65)</f>
        <v>0</v>
      </c>
      <c r="E66" s="2">
        <f t="shared" si="74"/>
        <v>0</v>
      </c>
      <c r="F66" s="2">
        <f t="shared" si="74"/>
        <v>0</v>
      </c>
      <c r="G66" s="2">
        <f t="shared" si="74"/>
        <v>0</v>
      </c>
      <c r="H66" s="2">
        <f t="shared" si="74"/>
        <v>0</v>
      </c>
      <c r="I66" s="2">
        <f t="shared" si="74"/>
        <v>10738.500000000002</v>
      </c>
      <c r="J66" s="2">
        <f t="shared" si="74"/>
        <v>9850.2999999999993</v>
      </c>
      <c r="K66" s="2">
        <f t="shared" si="74"/>
        <v>0</v>
      </c>
      <c r="L66" s="2">
        <f t="shared" si="74"/>
        <v>0</v>
      </c>
      <c r="M66" s="2">
        <f t="shared" si="74"/>
        <v>0</v>
      </c>
      <c r="N66" s="2">
        <f t="shared" si="74"/>
        <v>0</v>
      </c>
      <c r="P66" s="2">
        <f t="shared" si="74"/>
        <v>0</v>
      </c>
      <c r="Q66" s="2">
        <f t="shared" ref="Q66" si="75">SUM(Q59:Q65)</f>
        <v>0</v>
      </c>
      <c r="R66" s="2">
        <f t="shared" ref="R66" si="76">SUM(R59:R65)</f>
        <v>0</v>
      </c>
      <c r="S66" s="2">
        <f t="shared" ref="S66" si="77">SUM(S59:S65)</f>
        <v>3674.6589999999997</v>
      </c>
      <c r="T66" s="2">
        <f t="shared" ref="T66" si="78">SUM(T59:T65)</f>
        <v>9826.1500000000015</v>
      </c>
      <c r="U66" s="2">
        <f t="shared" ref="U66" si="79">SUM(U59:U65)</f>
        <v>9850.2999999999993</v>
      </c>
      <c r="V66" s="2">
        <f t="shared" ref="V66" si="80">SUM(V59:V65)</f>
        <v>0</v>
      </c>
      <c r="W66" s="2">
        <f t="shared" ref="W66" si="81">SUM(W59:W65)</f>
        <v>0</v>
      </c>
      <c r="X66" s="2">
        <f t="shared" ref="X66" si="82">SUM(X59:X65)</f>
        <v>0</v>
      </c>
      <c r="Y66" s="2">
        <f t="shared" ref="Y66" si="83">SUM(Y59:Y65)</f>
        <v>0</v>
      </c>
      <c r="Z66" s="2">
        <f t="shared" ref="Z66" si="84">SUM(Z59:Z65)</f>
        <v>0</v>
      </c>
    </row>
    <row r="68" spans="2:26" x14ac:dyDescent="0.2">
      <c r="B68" s="2" t="s">
        <v>49</v>
      </c>
      <c r="I68" s="2">
        <v>643.1</v>
      </c>
      <c r="S68" s="2">
        <v>776.9</v>
      </c>
      <c r="T68" s="2">
        <v>1472.4</v>
      </c>
      <c r="U68" s="2">
        <f t="shared" ref="U68:U75" si="85">J68</f>
        <v>0</v>
      </c>
    </row>
    <row r="69" spans="2:26" x14ac:dyDescent="0.2">
      <c r="B69" s="2" t="s">
        <v>50</v>
      </c>
      <c r="I69" s="2">
        <v>344.7</v>
      </c>
      <c r="S69" s="2">
        <v>163.9</v>
      </c>
      <c r="T69" s="2">
        <v>259.7</v>
      </c>
      <c r="U69" s="2">
        <f t="shared" si="85"/>
        <v>0</v>
      </c>
    </row>
    <row r="70" spans="2:26" x14ac:dyDescent="0.2">
      <c r="B70" s="2" t="s">
        <v>109</v>
      </c>
      <c r="I70" s="2">
        <v>23.6</v>
      </c>
      <c r="J70" s="2">
        <v>53</v>
      </c>
      <c r="S70" s="2">
        <v>129.19999999999999</v>
      </c>
      <c r="T70" s="2">
        <v>18.3</v>
      </c>
      <c r="U70" s="2">
        <f t="shared" si="85"/>
        <v>53</v>
      </c>
    </row>
    <row r="71" spans="2:26" x14ac:dyDescent="0.2">
      <c r="B71" s="2" t="s">
        <v>51</v>
      </c>
      <c r="I71" s="2">
        <v>63.97</v>
      </c>
      <c r="J71" s="2">
        <v>75</v>
      </c>
      <c r="S71" s="2">
        <v>170.12</v>
      </c>
      <c r="T71" s="2">
        <v>402.4</v>
      </c>
      <c r="U71" s="2">
        <f t="shared" si="85"/>
        <v>75</v>
      </c>
    </row>
    <row r="72" spans="2:26" x14ac:dyDescent="0.2">
      <c r="B72" s="2" t="s">
        <v>112</v>
      </c>
      <c r="I72" s="2">
        <v>352.8</v>
      </c>
      <c r="J72" s="2">
        <v>368</v>
      </c>
      <c r="S72" s="2">
        <f>135+170</f>
        <v>305</v>
      </c>
      <c r="T72" s="2">
        <f>193+223</f>
        <v>416</v>
      </c>
      <c r="U72" s="2">
        <f t="shared" si="85"/>
        <v>368</v>
      </c>
    </row>
    <row r="73" spans="2:26" x14ac:dyDescent="0.2">
      <c r="B73" s="2" t="s">
        <v>52</v>
      </c>
      <c r="I73" s="2">
        <v>43</v>
      </c>
      <c r="J73" s="2">
        <v>37</v>
      </c>
      <c r="S73" s="2">
        <v>120.2</v>
      </c>
      <c r="T73" s="2">
        <v>74</v>
      </c>
      <c r="U73" s="2">
        <f t="shared" si="85"/>
        <v>37</v>
      </c>
    </row>
    <row r="74" spans="2:26" x14ac:dyDescent="0.2">
      <c r="B74" s="2" t="s">
        <v>53</v>
      </c>
      <c r="I74" s="2">
        <v>2385.3000000000002</v>
      </c>
      <c r="S74" s="2">
        <v>0</v>
      </c>
      <c r="T74" s="2">
        <v>1700</v>
      </c>
      <c r="U74" s="2">
        <f t="shared" si="85"/>
        <v>0</v>
      </c>
    </row>
    <row r="75" spans="2:26" x14ac:dyDescent="0.2">
      <c r="B75" s="2" t="s">
        <v>110</v>
      </c>
      <c r="I75" s="2">
        <v>189.6</v>
      </c>
      <c r="S75" s="2">
        <v>38</v>
      </c>
      <c r="T75" s="2">
        <v>68</v>
      </c>
      <c r="U75" s="2">
        <f t="shared" si="85"/>
        <v>0</v>
      </c>
    </row>
    <row r="76" spans="2:26" x14ac:dyDescent="0.2">
      <c r="B76" s="2" t="s">
        <v>54</v>
      </c>
      <c r="C76" s="2">
        <f t="shared" ref="C76:N76" si="86">SUM(C68:C75)</f>
        <v>0</v>
      </c>
      <c r="D76" s="2">
        <f t="shared" si="86"/>
        <v>0</v>
      </c>
      <c r="E76" s="2">
        <f t="shared" si="86"/>
        <v>0</v>
      </c>
      <c r="F76" s="2">
        <f t="shared" si="86"/>
        <v>0</v>
      </c>
      <c r="G76" s="2">
        <f t="shared" si="86"/>
        <v>0</v>
      </c>
      <c r="H76" s="2">
        <f t="shared" si="86"/>
        <v>0</v>
      </c>
      <c r="I76" s="2">
        <f t="shared" si="86"/>
        <v>4046.07</v>
      </c>
      <c r="J76" s="2">
        <f t="shared" si="86"/>
        <v>533</v>
      </c>
      <c r="K76" s="2">
        <f t="shared" si="86"/>
        <v>0</v>
      </c>
      <c r="L76" s="2">
        <f t="shared" si="86"/>
        <v>0</v>
      </c>
      <c r="M76" s="2">
        <f t="shared" si="86"/>
        <v>0</v>
      </c>
      <c r="N76" s="2">
        <f t="shared" si="86"/>
        <v>0</v>
      </c>
      <c r="P76" s="2">
        <f t="shared" ref="P76:Z76" si="87">SUM(P68:P75)</f>
        <v>0</v>
      </c>
      <c r="Q76" s="2">
        <f t="shared" si="87"/>
        <v>0</v>
      </c>
      <c r="R76" s="2">
        <f t="shared" si="87"/>
        <v>0</v>
      </c>
      <c r="S76" s="2">
        <f t="shared" si="87"/>
        <v>1703.32</v>
      </c>
      <c r="T76" s="2">
        <f t="shared" si="87"/>
        <v>4410.8</v>
      </c>
      <c r="U76" s="2">
        <f t="shared" si="87"/>
        <v>533</v>
      </c>
      <c r="V76" s="2">
        <f t="shared" si="87"/>
        <v>0</v>
      </c>
      <c r="W76" s="2">
        <f t="shared" si="87"/>
        <v>0</v>
      </c>
      <c r="X76" s="2">
        <f t="shared" si="87"/>
        <v>0</v>
      </c>
      <c r="Y76" s="2">
        <f t="shared" si="87"/>
        <v>0</v>
      </c>
      <c r="Z76" s="2">
        <f t="shared" si="87"/>
        <v>0</v>
      </c>
    </row>
    <row r="77" spans="2:26" x14ac:dyDescent="0.2">
      <c r="B77" s="2" t="s">
        <v>55</v>
      </c>
      <c r="C77" s="2">
        <f t="shared" ref="C77:N77" si="88">C66-C76</f>
        <v>0</v>
      </c>
      <c r="D77" s="2">
        <f t="shared" si="88"/>
        <v>0</v>
      </c>
      <c r="E77" s="2">
        <f t="shared" si="88"/>
        <v>0</v>
      </c>
      <c r="F77" s="2">
        <f t="shared" si="88"/>
        <v>0</v>
      </c>
      <c r="G77" s="2">
        <f t="shared" si="88"/>
        <v>0</v>
      </c>
      <c r="H77" s="2">
        <f t="shared" si="88"/>
        <v>0</v>
      </c>
      <c r="I77" s="2">
        <f t="shared" si="88"/>
        <v>6692.4300000000021</v>
      </c>
      <c r="J77" s="2">
        <f t="shared" si="88"/>
        <v>9317.2999999999993</v>
      </c>
      <c r="K77" s="2">
        <f t="shared" si="88"/>
        <v>0</v>
      </c>
      <c r="L77" s="2">
        <f t="shared" si="88"/>
        <v>0</v>
      </c>
      <c r="M77" s="2">
        <f t="shared" si="88"/>
        <v>0</v>
      </c>
      <c r="N77" s="2">
        <f t="shared" si="88"/>
        <v>0</v>
      </c>
      <c r="P77" s="2">
        <f t="shared" ref="P77:Z77" si="89">P66-P76</f>
        <v>0</v>
      </c>
      <c r="Q77" s="2">
        <f t="shared" si="89"/>
        <v>0</v>
      </c>
      <c r="R77" s="2">
        <f t="shared" si="89"/>
        <v>0</v>
      </c>
      <c r="S77" s="2">
        <f t="shared" si="89"/>
        <v>1971.3389999999997</v>
      </c>
      <c r="T77" s="2">
        <f t="shared" si="89"/>
        <v>5415.3500000000013</v>
      </c>
      <c r="U77" s="2">
        <f t="shared" si="89"/>
        <v>9317.2999999999993</v>
      </c>
      <c r="V77" s="2">
        <f t="shared" si="89"/>
        <v>0</v>
      </c>
      <c r="W77" s="2">
        <f t="shared" si="89"/>
        <v>0</v>
      </c>
      <c r="X77" s="2">
        <f t="shared" si="89"/>
        <v>0</v>
      </c>
      <c r="Y77" s="2">
        <f t="shared" si="89"/>
        <v>0</v>
      </c>
      <c r="Z77" s="2">
        <f t="shared" si="89"/>
        <v>0</v>
      </c>
    </row>
    <row r="78" spans="2:26" x14ac:dyDescent="0.2">
      <c r="B78" s="2" t="s">
        <v>56</v>
      </c>
      <c r="C78" s="2">
        <f>C76+C77</f>
        <v>0</v>
      </c>
      <c r="D78" s="2">
        <f t="shared" ref="D78:P78" si="90">D76+D77</f>
        <v>0</v>
      </c>
      <c r="E78" s="2">
        <f t="shared" si="90"/>
        <v>0</v>
      </c>
      <c r="F78" s="2">
        <f t="shared" si="90"/>
        <v>0</v>
      </c>
      <c r="G78" s="2">
        <f t="shared" si="90"/>
        <v>0</v>
      </c>
      <c r="H78" s="2">
        <f t="shared" si="90"/>
        <v>0</v>
      </c>
      <c r="I78" s="2">
        <f t="shared" si="90"/>
        <v>10738.500000000002</v>
      </c>
      <c r="J78" s="2">
        <f t="shared" si="90"/>
        <v>9850.2999999999993</v>
      </c>
      <c r="K78" s="2">
        <f t="shared" si="90"/>
        <v>0</v>
      </c>
      <c r="L78" s="2">
        <f t="shared" si="90"/>
        <v>0</v>
      </c>
      <c r="M78" s="2">
        <f t="shared" si="90"/>
        <v>0</v>
      </c>
      <c r="N78" s="2">
        <f t="shared" si="90"/>
        <v>0</v>
      </c>
      <c r="P78" s="2">
        <f t="shared" si="90"/>
        <v>0</v>
      </c>
      <c r="Q78" s="2">
        <f t="shared" ref="Q78" si="91">Q76+Q77</f>
        <v>0</v>
      </c>
      <c r="R78" s="2">
        <f t="shared" ref="R78" si="92">R76+R77</f>
        <v>0</v>
      </c>
      <c r="S78" s="2">
        <f t="shared" ref="S78" si="93">S76+S77</f>
        <v>3674.6589999999997</v>
      </c>
      <c r="T78" s="2">
        <f t="shared" ref="T78" si="94">T76+T77</f>
        <v>9826.1500000000015</v>
      </c>
      <c r="U78" s="2">
        <f t="shared" ref="U78" si="95">U76+U77</f>
        <v>9850.2999999999993</v>
      </c>
      <c r="V78" s="2">
        <f t="shared" ref="V78" si="96">V76+V77</f>
        <v>0</v>
      </c>
      <c r="W78" s="2">
        <f t="shared" ref="W78" si="97">W76+W77</f>
        <v>0</v>
      </c>
      <c r="X78" s="2">
        <f t="shared" ref="X78" si="98">X76+X77</f>
        <v>0</v>
      </c>
      <c r="Y78" s="2">
        <f t="shared" ref="Y78" si="99">Y76+Y77</f>
        <v>0</v>
      </c>
      <c r="Z78" s="2">
        <f t="shared" ref="Z78" si="100">Z76+Z77</f>
        <v>0</v>
      </c>
    </row>
    <row r="80" spans="2:26" x14ac:dyDescent="0.2">
      <c r="B80" s="2" t="s">
        <v>57</v>
      </c>
      <c r="C80" s="2">
        <f t="shared" ref="C80:N80" si="101">C60/C37*90</f>
        <v>0</v>
      </c>
      <c r="D80" s="2">
        <f t="shared" si="101"/>
        <v>0</v>
      </c>
      <c r="E80" s="2">
        <f t="shared" si="101"/>
        <v>0</v>
      </c>
      <c r="F80" s="2">
        <f t="shared" si="101"/>
        <v>0</v>
      </c>
      <c r="G80" s="2">
        <f t="shared" si="101"/>
        <v>0</v>
      </c>
      <c r="H80" s="2">
        <f t="shared" si="101"/>
        <v>0</v>
      </c>
      <c r="I80" s="2">
        <f t="shared" si="101"/>
        <v>51.701086956521735</v>
      </c>
      <c r="J80" s="2">
        <f t="shared" si="101"/>
        <v>0</v>
      </c>
      <c r="K80" s="2">
        <f t="shared" si="101"/>
        <v>0</v>
      </c>
      <c r="L80" s="2">
        <f t="shared" si="101"/>
        <v>0</v>
      </c>
      <c r="M80" s="2">
        <f t="shared" si="101"/>
        <v>0</v>
      </c>
      <c r="N80" s="2">
        <f t="shared" si="101"/>
        <v>0</v>
      </c>
      <c r="P80" s="2">
        <f t="shared" ref="P80:Z80" si="102">P60/P37*360</f>
        <v>0</v>
      </c>
      <c r="Q80" s="2">
        <f t="shared" si="102"/>
        <v>0</v>
      </c>
      <c r="R80" s="2">
        <f t="shared" si="102"/>
        <v>0</v>
      </c>
      <c r="S80" s="2">
        <f t="shared" si="102"/>
        <v>58.032400258303625</v>
      </c>
      <c r="T80" s="2">
        <f t="shared" si="102"/>
        <v>65.742534624929945</v>
      </c>
      <c r="U80" s="2">
        <f t="shared" si="102"/>
        <v>0</v>
      </c>
      <c r="V80" s="2">
        <f t="shared" si="102"/>
        <v>0</v>
      </c>
      <c r="W80" s="2">
        <f t="shared" si="102"/>
        <v>0</v>
      </c>
      <c r="X80" s="2">
        <f t="shared" si="102"/>
        <v>0</v>
      </c>
      <c r="Y80" s="2">
        <f t="shared" si="102"/>
        <v>0</v>
      </c>
      <c r="Z80" s="2">
        <f t="shared" si="102"/>
        <v>0</v>
      </c>
    </row>
    <row r="82" spans="2:26" x14ac:dyDescent="0.2">
      <c r="B82" s="2" t="s">
        <v>58</v>
      </c>
      <c r="C82" s="2">
        <f t="shared" ref="C82:N82" si="103">C49</f>
        <v>1568.5</v>
      </c>
      <c r="D82" s="2">
        <f t="shared" si="103"/>
        <v>417.00000000000017</v>
      </c>
      <c r="E82" s="2">
        <f t="shared" si="103"/>
        <v>402.00000000000017</v>
      </c>
      <c r="F82" s="2">
        <f t="shared" si="103"/>
        <v>353.20000000000016</v>
      </c>
      <c r="G82" s="2">
        <f t="shared" si="103"/>
        <v>424.39999999999964</v>
      </c>
      <c r="H82" s="2">
        <f t="shared" si="103"/>
        <v>318.30000000000035</v>
      </c>
      <c r="I82" s="2">
        <f t="shared" si="103"/>
        <v>110</v>
      </c>
      <c r="J82" s="2">
        <f t="shared" ca="1" si="103"/>
        <v>260.42062608695653</v>
      </c>
      <c r="K82" s="2">
        <f t="shared" si="103"/>
        <v>353.62461521739135</v>
      </c>
      <c r="L82" s="2">
        <f t="shared" si="103"/>
        <v>404.92646680869586</v>
      </c>
      <c r="M82" s="2">
        <f t="shared" si="103"/>
        <v>493.28336418549509</v>
      </c>
      <c r="N82" s="2">
        <f t="shared" si="103"/>
        <v>596.12306871907185</v>
      </c>
      <c r="R82" s="2">
        <f t="shared" ref="R82:Z82" si="104">R49</f>
        <v>284.00000000000006</v>
      </c>
      <c r="S82" s="2">
        <f t="shared" si="104"/>
        <v>650.64</v>
      </c>
      <c r="T82" s="2">
        <f t="shared" si="104"/>
        <v>1150.9500000000014</v>
      </c>
      <c r="U82" s="2">
        <f t="shared" ca="1" si="104"/>
        <v>1113.1206260869567</v>
      </c>
      <c r="V82" s="2">
        <f t="shared" si="104"/>
        <v>1847.957514930654</v>
      </c>
      <c r="W82" s="2">
        <f t="shared" si="104"/>
        <v>2017.3612687705386</v>
      </c>
      <c r="X82" s="2">
        <f t="shared" si="104"/>
        <v>2240.9994039240328</v>
      </c>
      <c r="Y82" s="2">
        <f t="shared" si="104"/>
        <v>2487.3517847252997</v>
      </c>
      <c r="Z82" s="2">
        <f t="shared" si="104"/>
        <v>2758.6954426532347</v>
      </c>
    </row>
    <row r="83" spans="2:26" x14ac:dyDescent="0.2">
      <c r="B83" s="2" t="s">
        <v>59</v>
      </c>
      <c r="G83" s="2">
        <v>424.3</v>
      </c>
      <c r="H83" s="2">
        <v>745</v>
      </c>
      <c r="I83" s="2">
        <v>853.7</v>
      </c>
      <c r="R83" s="2">
        <v>285.2</v>
      </c>
      <c r="S83" s="2">
        <v>640</v>
      </c>
      <c r="T83" s="2">
        <v>1152.7</v>
      </c>
      <c r="U83" s="2">
        <f ca="1">SUM(G83:I83,J82)</f>
        <v>2283.4206260869564</v>
      </c>
    </row>
    <row r="84" spans="2:26" x14ac:dyDescent="0.2">
      <c r="B84" s="2" t="s">
        <v>60</v>
      </c>
      <c r="G84" s="2">
        <v>14.1</v>
      </c>
      <c r="H84" s="2">
        <v>29</v>
      </c>
      <c r="I84" s="2">
        <v>39.700000000000003</v>
      </c>
      <c r="J84" s="2">
        <f>I84*(1+J54)</f>
        <v>50.056521739130439</v>
      </c>
      <c r="R84" s="2">
        <v>32.5</v>
      </c>
      <c r="S84" s="2">
        <v>35</v>
      </c>
      <c r="T84" s="2">
        <v>41</v>
      </c>
      <c r="U84" s="2">
        <f>SUM(G84:J84)</f>
        <v>132.85652173913044</v>
      </c>
      <c r="V84" s="2">
        <f>U84*(1+V53)</f>
        <v>198.73998336470191</v>
      </c>
      <c r="W84" s="2">
        <f t="shared" ref="W84:W90" si="105">V84*1.1</f>
        <v>218.61398170117212</v>
      </c>
      <c r="X84" s="2">
        <f t="shared" ref="X84:Z84" si="106">W84*1.1</f>
        <v>240.47537987128936</v>
      </c>
      <c r="Y84" s="2">
        <f t="shared" si="106"/>
        <v>264.52291785841834</v>
      </c>
      <c r="Z84" s="2">
        <f t="shared" si="106"/>
        <v>290.97520964426019</v>
      </c>
    </row>
    <row r="85" spans="2:26" x14ac:dyDescent="0.2">
      <c r="B85" s="2" t="s">
        <v>116</v>
      </c>
      <c r="G85" s="2">
        <v>64</v>
      </c>
      <c r="H85" s="2">
        <v>146</v>
      </c>
      <c r="I85" s="2">
        <v>230.84</v>
      </c>
      <c r="J85" s="2">
        <f>I85*(1+J54)</f>
        <v>291.05913043478262</v>
      </c>
      <c r="R85" s="2">
        <v>32.799999999999997</v>
      </c>
      <c r="S85" s="2">
        <v>54.4</v>
      </c>
      <c r="T85" s="2">
        <v>231.5</v>
      </c>
      <c r="U85" s="2">
        <f t="shared" ref="U85:U101" si="107">SUM(G85:J85)</f>
        <v>731.89913043478259</v>
      </c>
      <c r="V85" s="2">
        <f>U85*(1+V53)</f>
        <v>1094.8474271580048</v>
      </c>
      <c r="W85" s="2">
        <f t="shared" si="105"/>
        <v>1204.3321698738055</v>
      </c>
      <c r="X85" s="2">
        <f t="shared" ref="X85:Z85" si="108">W85*1.1</f>
        <v>1324.765386861186</v>
      </c>
      <c r="Y85" s="2">
        <f t="shared" si="108"/>
        <v>1457.2419255473048</v>
      </c>
      <c r="Z85" s="2">
        <f t="shared" si="108"/>
        <v>1602.9661181020354</v>
      </c>
    </row>
    <row r="86" spans="2:26" x14ac:dyDescent="0.2">
      <c r="B86" s="2" t="s">
        <v>61</v>
      </c>
      <c r="G86" s="2">
        <v>0</v>
      </c>
      <c r="H86" s="2">
        <v>-2.5</v>
      </c>
      <c r="I86" s="2">
        <v>-2</v>
      </c>
      <c r="J86" s="2">
        <f>I86*(1+J54)</f>
        <v>-2.5217391304347827</v>
      </c>
      <c r="R86" s="2">
        <v>-1.2</v>
      </c>
      <c r="S86" s="2">
        <v>3.6</v>
      </c>
      <c r="T86" s="2">
        <v>-1.8</v>
      </c>
      <c r="U86" s="2">
        <f t="shared" si="107"/>
        <v>-7.0217391304347831</v>
      </c>
      <c r="V86" s="2">
        <f>U86*(1+V53)</f>
        <v>-10.503814940406244</v>
      </c>
      <c r="W86" s="2">
        <f t="shared" si="105"/>
        <v>-11.554196434446869</v>
      </c>
      <c r="X86" s="2">
        <f t="shared" ref="X86:Z86" si="109">W86*1.1</f>
        <v>-12.709616077891557</v>
      </c>
      <c r="Y86" s="2">
        <f t="shared" si="109"/>
        <v>-13.980577685680714</v>
      </c>
      <c r="Z86" s="2">
        <f t="shared" si="109"/>
        <v>-15.378635454248787</v>
      </c>
    </row>
    <row r="87" spans="2:26" x14ac:dyDescent="0.2">
      <c r="B87" s="2" t="s">
        <v>115</v>
      </c>
      <c r="G87" s="2">
        <v>1</v>
      </c>
      <c r="H87" s="2">
        <v>-0.3</v>
      </c>
      <c r="I87" s="2">
        <v>2.7</v>
      </c>
      <c r="J87" s="2">
        <f>I87*(1+J54)</f>
        <v>3.4043478260869571</v>
      </c>
      <c r="R87" s="2">
        <v>-13.7</v>
      </c>
      <c r="S87" s="2">
        <v>-2.6</v>
      </c>
      <c r="T87" s="2">
        <v>-0.5</v>
      </c>
      <c r="U87" s="2">
        <f t="shared" si="107"/>
        <v>6.804347826086957</v>
      </c>
      <c r="V87" s="2">
        <f>U87*(1+V53)</f>
        <v>10.178619431415338</v>
      </c>
      <c r="W87" s="2">
        <f t="shared" si="105"/>
        <v>11.196481374556873</v>
      </c>
      <c r="X87" s="2">
        <f t="shared" ref="X87:Z87" si="110">W87*1.1</f>
        <v>12.31612951201256</v>
      </c>
      <c r="Y87" s="2">
        <f t="shared" si="110"/>
        <v>13.547742463213817</v>
      </c>
      <c r="Z87" s="2">
        <f t="shared" si="110"/>
        <v>14.902516709535201</v>
      </c>
    </row>
    <row r="88" spans="2:26" x14ac:dyDescent="0.2">
      <c r="B88" s="2" t="s">
        <v>111</v>
      </c>
      <c r="G88" s="2">
        <v>-46.5</v>
      </c>
      <c r="H88" s="2">
        <v>-76</v>
      </c>
      <c r="I88" s="2">
        <v>-134.4</v>
      </c>
      <c r="J88" s="2">
        <f>I88*(1+J54)</f>
        <v>-169.46086956521739</v>
      </c>
      <c r="R88" s="2">
        <v>-6.8</v>
      </c>
      <c r="S88" s="2">
        <v>-93</v>
      </c>
      <c r="T88" s="2">
        <v>-168.5</v>
      </c>
      <c r="U88" s="2">
        <f t="shared" si="107"/>
        <v>-426.3608695652174</v>
      </c>
      <c r="V88" s="2">
        <f>U88*(1+V53)</f>
        <v>-637.79294396350303</v>
      </c>
      <c r="W88" s="2">
        <f t="shared" si="105"/>
        <v>-701.57223835985337</v>
      </c>
      <c r="X88" s="2">
        <f t="shared" ref="X88:Z88" si="111">W88*1.1</f>
        <v>-771.72946219583878</v>
      </c>
      <c r="Y88" s="2">
        <f t="shared" si="111"/>
        <v>-848.90240841542277</v>
      </c>
      <c r="Z88" s="2">
        <f t="shared" si="111"/>
        <v>-933.79264925696509</v>
      </c>
    </row>
    <row r="89" spans="2:26" x14ac:dyDescent="0.2">
      <c r="B89" s="2" t="s">
        <v>62</v>
      </c>
      <c r="G89" s="2">
        <v>-3.3</v>
      </c>
      <c r="H89" s="2">
        <v>-4</v>
      </c>
      <c r="I89" s="2">
        <v>5.6</v>
      </c>
      <c r="J89" s="2">
        <f>I89*(1+J54)</f>
        <v>7.0608695652173914</v>
      </c>
      <c r="R89" s="2">
        <v>0.4</v>
      </c>
      <c r="S89" s="2">
        <v>-0.7</v>
      </c>
      <c r="T89" s="2">
        <v>12.3</v>
      </c>
      <c r="U89" s="2">
        <f t="shared" si="107"/>
        <v>5.3608695652173912</v>
      </c>
      <c r="V89" s="2">
        <f>U89*(1+V53)</f>
        <v>8.0193212517157271</v>
      </c>
      <c r="W89" s="2">
        <f t="shared" si="105"/>
        <v>8.8212533768873005</v>
      </c>
      <c r="X89" s="2">
        <f t="shared" ref="X89:Z89" si="112">W89*1.1</f>
        <v>9.7033787145760311</v>
      </c>
      <c r="Y89" s="2">
        <f t="shared" si="112"/>
        <v>10.673716586033635</v>
      </c>
      <c r="Z89" s="2">
        <f t="shared" si="112"/>
        <v>11.741088244637</v>
      </c>
    </row>
    <row r="90" spans="2:26" x14ac:dyDescent="0.2">
      <c r="B90" s="2" t="s">
        <v>44</v>
      </c>
      <c r="G90" s="2">
        <v>15.3</v>
      </c>
      <c r="H90" s="2">
        <v>-320</v>
      </c>
      <c r="I90" s="2">
        <v>94.8</v>
      </c>
      <c r="J90" s="2">
        <f>I90*(1+J54)</f>
        <v>119.53043478260869</v>
      </c>
      <c r="R90" s="2">
        <v>-372.4</v>
      </c>
      <c r="S90" s="2">
        <v>-311.89999999999998</v>
      </c>
      <c r="T90" s="2">
        <v>-1589</v>
      </c>
      <c r="U90" s="2">
        <f t="shared" si="107"/>
        <v>-90.369565217391283</v>
      </c>
      <c r="V90" s="2">
        <v>0</v>
      </c>
      <c r="W90" s="2">
        <f t="shared" si="105"/>
        <v>0</v>
      </c>
      <c r="X90" s="2">
        <f t="shared" ref="X90:Z90" si="113">W90*1.1</f>
        <v>0</v>
      </c>
      <c r="Y90" s="2">
        <f t="shared" si="113"/>
        <v>0</v>
      </c>
      <c r="Z90" s="2">
        <f t="shared" si="113"/>
        <v>0</v>
      </c>
    </row>
    <row r="91" spans="2:26" x14ac:dyDescent="0.2">
      <c r="B91" s="2" t="s">
        <v>45</v>
      </c>
      <c r="G91" s="2">
        <v>-600</v>
      </c>
      <c r="H91" s="2">
        <v>733.6</v>
      </c>
      <c r="I91" s="2">
        <v>457.9</v>
      </c>
      <c r="J91" s="2">
        <f>I91*(1+J54)</f>
        <v>577.35217391304343</v>
      </c>
      <c r="R91" s="2">
        <v>-504.6</v>
      </c>
      <c r="S91" s="2">
        <v>100</v>
      </c>
      <c r="T91" s="2">
        <v>-2900</v>
      </c>
      <c r="U91" s="2">
        <f t="shared" si="107"/>
        <v>1168.8521739130433</v>
      </c>
      <c r="V91" s="2">
        <v>-500</v>
      </c>
      <c r="W91" s="2">
        <f t="shared" ref="W91:Z97" si="114">V91*1.1</f>
        <v>-550</v>
      </c>
      <c r="X91" s="2">
        <f t="shared" si="114"/>
        <v>-605</v>
      </c>
      <c r="Y91" s="2">
        <f t="shared" si="114"/>
        <v>-665.5</v>
      </c>
      <c r="Z91" s="2">
        <f t="shared" si="114"/>
        <v>-732.05000000000007</v>
      </c>
    </row>
    <row r="92" spans="2:26" x14ac:dyDescent="0.2">
      <c r="B92" s="2" t="s">
        <v>113</v>
      </c>
      <c r="G92" s="2">
        <v>87</v>
      </c>
      <c r="H92" s="2">
        <v>-400</v>
      </c>
      <c r="I92" s="2">
        <v>-284.3</v>
      </c>
      <c r="J92" s="2">
        <f>I92*(1+J54)</f>
        <v>-358.46521739130435</v>
      </c>
      <c r="R92" s="2">
        <v>-29</v>
      </c>
      <c r="S92" s="2">
        <v>8.3000000000000007</v>
      </c>
      <c r="T92" s="2">
        <v>-44.7</v>
      </c>
      <c r="U92" s="2">
        <f t="shared" si="107"/>
        <v>-955.7652173913043</v>
      </c>
      <c r="V92" s="2">
        <v>100</v>
      </c>
      <c r="W92" s="2">
        <f t="shared" si="114"/>
        <v>110.00000000000001</v>
      </c>
      <c r="X92" s="2">
        <f t="shared" si="114"/>
        <v>121.00000000000003</v>
      </c>
      <c r="Y92" s="2">
        <f t="shared" si="114"/>
        <v>133.10000000000005</v>
      </c>
      <c r="Z92" s="2">
        <f t="shared" si="114"/>
        <v>146.41000000000008</v>
      </c>
    </row>
    <row r="93" spans="2:26" x14ac:dyDescent="0.2">
      <c r="B93" s="2" t="s">
        <v>49</v>
      </c>
      <c r="G93" s="2">
        <v>220</v>
      </c>
      <c r="H93" s="2">
        <v>-907</v>
      </c>
      <c r="I93" s="2">
        <v>-811.7</v>
      </c>
      <c r="J93" s="2">
        <f>I93*(1+J54)</f>
        <v>-1023.4478260869566</v>
      </c>
      <c r="R93" s="2">
        <v>50.1</v>
      </c>
      <c r="S93" s="2">
        <v>127.1</v>
      </c>
      <c r="T93" s="2">
        <v>679.2</v>
      </c>
      <c r="U93" s="2">
        <f t="shared" si="107"/>
        <v>-2522.1478260869567</v>
      </c>
      <c r="V93" s="2">
        <v>0</v>
      </c>
      <c r="W93" s="2">
        <f t="shared" si="114"/>
        <v>0</v>
      </c>
      <c r="X93" s="2">
        <f t="shared" si="114"/>
        <v>0</v>
      </c>
      <c r="Y93" s="2">
        <f t="shared" si="114"/>
        <v>0</v>
      </c>
      <c r="Z93" s="2">
        <f t="shared" si="114"/>
        <v>0</v>
      </c>
    </row>
    <row r="94" spans="2:26" x14ac:dyDescent="0.2">
      <c r="B94" s="2" t="s">
        <v>114</v>
      </c>
      <c r="G94" s="2">
        <v>26</v>
      </c>
      <c r="H94" s="2">
        <v>-60</v>
      </c>
      <c r="I94" s="2">
        <v>52.7</v>
      </c>
      <c r="J94" s="2">
        <f>I94*(1+J54)</f>
        <v>66.447826086956525</v>
      </c>
      <c r="R94" s="2">
        <v>36</v>
      </c>
      <c r="S94" s="2">
        <v>-50.3</v>
      </c>
      <c r="T94" s="2">
        <v>93</v>
      </c>
      <c r="U94" s="2">
        <f t="shared" si="107"/>
        <v>85.147826086956528</v>
      </c>
      <c r="V94" s="2">
        <f>U94*(1+V53)</f>
        <v>127.37257696155783</v>
      </c>
      <c r="W94" s="2">
        <f t="shared" si="114"/>
        <v>140.10983465771361</v>
      </c>
      <c r="X94" s="2">
        <f t="shared" si="114"/>
        <v>154.12081812348498</v>
      </c>
      <c r="Y94" s="2">
        <f t="shared" si="114"/>
        <v>169.53289993583348</v>
      </c>
      <c r="Z94" s="2">
        <f t="shared" si="114"/>
        <v>186.48618992941684</v>
      </c>
    </row>
    <row r="95" spans="2:26" x14ac:dyDescent="0.2">
      <c r="B95" s="2" t="s">
        <v>109</v>
      </c>
      <c r="G95" s="2">
        <v>62</v>
      </c>
      <c r="H95" s="2">
        <v>97</v>
      </c>
      <c r="I95" s="2">
        <v>5.4</v>
      </c>
      <c r="J95" s="2">
        <f>I95*(1+J54)</f>
        <v>6.8086956521739141</v>
      </c>
      <c r="R95" s="2">
        <v>29</v>
      </c>
      <c r="S95" s="2">
        <v>87.4</v>
      </c>
      <c r="T95" s="2">
        <v>-111</v>
      </c>
      <c r="U95" s="2">
        <f t="shared" si="107"/>
        <v>171.20869565217393</v>
      </c>
      <c r="V95" s="2">
        <v>100</v>
      </c>
      <c r="W95" s="2">
        <f t="shared" si="114"/>
        <v>110.00000000000001</v>
      </c>
      <c r="X95" s="2">
        <f t="shared" si="114"/>
        <v>121.00000000000003</v>
      </c>
      <c r="Y95" s="2">
        <f t="shared" si="114"/>
        <v>133.10000000000005</v>
      </c>
      <c r="Z95" s="2">
        <f t="shared" si="114"/>
        <v>146.41000000000008</v>
      </c>
    </row>
    <row r="96" spans="2:26" x14ac:dyDescent="0.2">
      <c r="B96" s="2" t="s">
        <v>112</v>
      </c>
      <c r="G96" s="2">
        <v>142</v>
      </c>
      <c r="H96" s="2">
        <v>183</v>
      </c>
      <c r="I96" s="2">
        <v>250</v>
      </c>
      <c r="J96" s="2">
        <f>I96*(1+J54)</f>
        <v>315.21739130434781</v>
      </c>
      <c r="R96" s="2">
        <v>31.6</v>
      </c>
      <c r="S96" s="2">
        <v>70.599999999999994</v>
      </c>
      <c r="T96" s="2">
        <v>112</v>
      </c>
      <c r="U96" s="2">
        <f t="shared" si="107"/>
        <v>890.21739130434776</v>
      </c>
      <c r="V96" s="2">
        <v>400</v>
      </c>
      <c r="W96" s="2">
        <f t="shared" si="114"/>
        <v>440.00000000000006</v>
      </c>
      <c r="X96" s="2">
        <f t="shared" si="114"/>
        <v>484.00000000000011</v>
      </c>
      <c r="Y96" s="2">
        <f t="shared" si="114"/>
        <v>532.4000000000002</v>
      </c>
      <c r="Z96" s="2">
        <f t="shared" si="114"/>
        <v>585.64000000000033</v>
      </c>
    </row>
    <row r="97" spans="1:122" x14ac:dyDescent="0.2">
      <c r="B97" s="2" t="s">
        <v>110</v>
      </c>
      <c r="G97" s="2">
        <v>1.5</v>
      </c>
      <c r="H97" s="2">
        <v>4</v>
      </c>
      <c r="I97" s="2">
        <v>5.4</v>
      </c>
      <c r="J97" s="2">
        <f>I97*(1+J54)</f>
        <v>6.8086956521739141</v>
      </c>
      <c r="R97" s="2">
        <v>-10.5</v>
      </c>
      <c r="S97" s="2">
        <v>-4.4000000000000004</v>
      </c>
      <c r="T97" s="2">
        <v>8.0399999999999991</v>
      </c>
      <c r="U97" s="2">
        <f t="shared" si="107"/>
        <v>17.708695652173915</v>
      </c>
      <c r="V97" s="2">
        <f>U97*(1+V53)</f>
        <v>26.490426162399157</v>
      </c>
      <c r="W97" s="2">
        <f t="shared" si="114"/>
        <v>29.139468778639074</v>
      </c>
      <c r="X97" s="2">
        <f t="shared" si="114"/>
        <v>32.053415656502985</v>
      </c>
      <c r="Y97" s="2">
        <f t="shared" si="114"/>
        <v>35.258757222153285</v>
      </c>
      <c r="Z97" s="2">
        <f t="shared" si="114"/>
        <v>38.784632944368617</v>
      </c>
    </row>
    <row r="98" spans="1:122" s="8" customFormat="1" x14ac:dyDescent="0.2">
      <c r="A98" s="2"/>
      <c r="B98" s="8" t="s">
        <v>14</v>
      </c>
      <c r="C98" s="8">
        <f>SUM(C83:C97)</f>
        <v>0</v>
      </c>
      <c r="D98" s="8">
        <f t="shared" ref="D98:H98" si="115">SUM(D83:D97)</f>
        <v>0</v>
      </c>
      <c r="E98" s="8">
        <f t="shared" si="115"/>
        <v>0</v>
      </c>
      <c r="F98" s="8">
        <f t="shared" si="115"/>
        <v>0</v>
      </c>
      <c r="G98" s="8">
        <f>SUM(G83:G97)</f>
        <v>407.40000000000003</v>
      </c>
      <c r="H98" s="8">
        <f t="shared" si="115"/>
        <v>167.80000000000018</v>
      </c>
      <c r="I98" s="8">
        <f>SUM(I83:I97)</f>
        <v>766.34</v>
      </c>
      <c r="J98" s="8">
        <f ca="1">SUM(J84:J97,J82)</f>
        <v>150.27106086956502</v>
      </c>
      <c r="K98" s="8">
        <f t="shared" ref="K98:N98" si="116">SUM(K84:K97,K82)</f>
        <v>353.62461521739135</v>
      </c>
      <c r="L98" s="8">
        <f t="shared" si="116"/>
        <v>404.92646680869586</v>
      </c>
      <c r="M98" s="8">
        <f t="shared" si="116"/>
        <v>493.28336418549509</v>
      </c>
      <c r="N98" s="8">
        <f t="shared" si="116"/>
        <v>596.12306871907185</v>
      </c>
      <c r="R98" s="8">
        <f>SUM(R83:R97)</f>
        <v>-440.59999999999991</v>
      </c>
      <c r="S98" s="8">
        <f>SUM(S83:S97)</f>
        <v>663.5</v>
      </c>
      <c r="T98" s="8">
        <f>SUM(T83:T97)</f>
        <v>-2485.7600000000002</v>
      </c>
      <c r="U98" s="8">
        <f ca="1">SUM(U83:U97)</f>
        <v>1491.8110608695642</v>
      </c>
      <c r="V98" s="8">
        <f t="shared" ref="V98:Z98" si="117">SUM(V84:V97,V82)</f>
        <v>2765.3091103565393</v>
      </c>
      <c r="W98" s="8">
        <f t="shared" si="117"/>
        <v>3026.448023739013</v>
      </c>
      <c r="X98" s="8">
        <f t="shared" si="117"/>
        <v>3350.9948343893548</v>
      </c>
      <c r="Y98" s="8">
        <f t="shared" si="117"/>
        <v>3708.3467582371541</v>
      </c>
      <c r="Z98" s="8">
        <f t="shared" si="117"/>
        <v>4101.7899135162743</v>
      </c>
    </row>
    <row r="99" spans="1:122" x14ac:dyDescent="0.2">
      <c r="B99" s="2" t="s">
        <v>63</v>
      </c>
      <c r="G99" s="2">
        <v>-44.3</v>
      </c>
      <c r="H99" s="2">
        <v>-71.8</v>
      </c>
      <c r="I99" s="2">
        <v>-104.5</v>
      </c>
      <c r="R99" s="2">
        <v>-45.2</v>
      </c>
      <c r="S99" s="2">
        <v>-36.799999999999997</v>
      </c>
      <c r="T99" s="2">
        <v>-124.3</v>
      </c>
      <c r="U99" s="2">
        <f t="shared" si="107"/>
        <v>-220.6</v>
      </c>
      <c r="V99" s="2">
        <f>U99*(1+V53)</f>
        <v>-329.99539470361111</v>
      </c>
      <c r="W99" s="2">
        <f>V99*(1+W53)</f>
        <v>-362.99493417397224</v>
      </c>
      <c r="X99" s="2">
        <f>W99*(1+X53)</f>
        <v>-399.29442759136947</v>
      </c>
      <c r="Y99" s="2">
        <f>X99*(1+Y53)</f>
        <v>-439.22387035050644</v>
      </c>
      <c r="Z99" s="2">
        <f>Y99*(1+Z53)</f>
        <v>-483.14625738555713</v>
      </c>
    </row>
    <row r="100" spans="1:122" x14ac:dyDescent="0.2">
      <c r="B100" s="2" t="s">
        <v>64</v>
      </c>
      <c r="I100" s="2">
        <v>0</v>
      </c>
      <c r="R100" s="2">
        <v>-1.1000000000000001</v>
      </c>
      <c r="S100" s="2">
        <v>-0.5</v>
      </c>
      <c r="T100" s="2">
        <v>-69.7</v>
      </c>
      <c r="U100" s="2">
        <f t="shared" si="107"/>
        <v>0</v>
      </c>
    </row>
    <row r="101" spans="1:122" x14ac:dyDescent="0.2">
      <c r="B101" s="2" t="s">
        <v>65</v>
      </c>
      <c r="I101" s="2">
        <v>0</v>
      </c>
      <c r="R101" s="2">
        <v>0</v>
      </c>
      <c r="S101" s="2">
        <v>-2.2000000000000002</v>
      </c>
      <c r="T101" s="2">
        <v>-0.3</v>
      </c>
      <c r="U101" s="2">
        <f t="shared" si="107"/>
        <v>0</v>
      </c>
    </row>
    <row r="102" spans="1:122" s="8" customFormat="1" x14ac:dyDescent="0.2">
      <c r="A102" s="2"/>
      <c r="B102" s="8" t="s">
        <v>66</v>
      </c>
      <c r="C102" s="8">
        <v>-2.63</v>
      </c>
      <c r="D102" s="8">
        <v>-17.350000000000001</v>
      </c>
      <c r="E102" s="8">
        <f t="shared" ref="E102:N102" si="118">E99</f>
        <v>0</v>
      </c>
      <c r="F102" s="8">
        <f t="shared" si="118"/>
        <v>0</v>
      </c>
      <c r="G102" s="8">
        <f t="shared" si="118"/>
        <v>-44.3</v>
      </c>
      <c r="H102" s="8">
        <f t="shared" si="118"/>
        <v>-71.8</v>
      </c>
      <c r="I102" s="8">
        <f t="shared" si="118"/>
        <v>-104.5</v>
      </c>
      <c r="J102" s="8">
        <v>-50</v>
      </c>
      <c r="K102" s="8">
        <f t="shared" si="118"/>
        <v>0</v>
      </c>
      <c r="L102" s="8">
        <f t="shared" si="118"/>
        <v>0</v>
      </c>
      <c r="M102" s="8">
        <f t="shared" si="118"/>
        <v>0</v>
      </c>
      <c r="N102" s="8">
        <f t="shared" si="118"/>
        <v>0</v>
      </c>
      <c r="R102" s="8">
        <f>R99</f>
        <v>-45.2</v>
      </c>
      <c r="S102" s="8">
        <f t="shared" ref="S102:Z102" si="119">S99</f>
        <v>-36.799999999999997</v>
      </c>
      <c r="T102" s="8">
        <f t="shared" si="119"/>
        <v>-124.3</v>
      </c>
      <c r="U102" s="8">
        <f t="shared" si="119"/>
        <v>-220.6</v>
      </c>
      <c r="V102" s="8">
        <f t="shared" si="119"/>
        <v>-329.99539470361111</v>
      </c>
      <c r="W102" s="8">
        <f t="shared" si="119"/>
        <v>-362.99493417397224</v>
      </c>
      <c r="X102" s="8">
        <f t="shared" si="119"/>
        <v>-399.29442759136947</v>
      </c>
      <c r="Y102" s="8">
        <f t="shared" si="119"/>
        <v>-439.22387035050644</v>
      </c>
      <c r="Z102" s="8">
        <f t="shared" si="119"/>
        <v>-483.14625738555713</v>
      </c>
    </row>
    <row r="103" spans="1:122" s="8" customFormat="1" x14ac:dyDescent="0.2">
      <c r="A103" s="2"/>
      <c r="B103" s="8" t="s">
        <v>13</v>
      </c>
      <c r="C103" s="8">
        <f>C98+C102</f>
        <v>-2.63</v>
      </c>
      <c r="D103" s="8">
        <f t="shared" ref="D103:N103" si="120">D98+D102</f>
        <v>-17.350000000000001</v>
      </c>
      <c r="E103" s="8">
        <f t="shared" si="120"/>
        <v>0</v>
      </c>
      <c r="F103" s="8">
        <f t="shared" si="120"/>
        <v>0</v>
      </c>
      <c r="G103" s="8">
        <f t="shared" si="120"/>
        <v>363.1</v>
      </c>
      <c r="H103" s="8">
        <f t="shared" si="120"/>
        <v>96.000000000000185</v>
      </c>
      <c r="I103" s="8">
        <f t="shared" si="120"/>
        <v>661.84</v>
      </c>
      <c r="J103" s="8">
        <f t="shared" ca="1" si="120"/>
        <v>100.27106086956502</v>
      </c>
      <c r="K103" s="8">
        <f t="shared" si="120"/>
        <v>353.62461521739135</v>
      </c>
      <c r="L103" s="8">
        <f t="shared" si="120"/>
        <v>404.92646680869586</v>
      </c>
      <c r="M103" s="8">
        <f t="shared" si="120"/>
        <v>493.28336418549509</v>
      </c>
      <c r="N103" s="8">
        <f t="shared" si="120"/>
        <v>596.12306871907185</v>
      </c>
      <c r="R103" s="8">
        <f>R98+R102</f>
        <v>-485.7999999999999</v>
      </c>
      <c r="S103" s="8">
        <f t="shared" ref="S103:T103" si="121">S98+S102</f>
        <v>626.70000000000005</v>
      </c>
      <c r="T103" s="8">
        <f t="shared" si="121"/>
        <v>-2610.0600000000004</v>
      </c>
      <c r="U103" s="8">
        <f t="shared" ref="U103" ca="1" si="122">U98+U102</f>
        <v>1271.2110608695643</v>
      </c>
      <c r="V103" s="8">
        <f t="shared" ref="V103" si="123">V98+V102</f>
        <v>2435.3137156529283</v>
      </c>
      <c r="W103" s="8">
        <f t="shared" ref="W103" si="124">W98+W102</f>
        <v>2663.453089565041</v>
      </c>
      <c r="X103" s="8">
        <f t="shared" ref="X103" si="125">X98+X102</f>
        <v>2951.7004067979851</v>
      </c>
      <c r="Y103" s="8">
        <f t="shared" ref="Y103" si="126">Y98+Y102</f>
        <v>3269.1228878866477</v>
      </c>
      <c r="Z103" s="8">
        <f t="shared" ref="Z103" si="127">Z98+Z102</f>
        <v>3618.6436561307173</v>
      </c>
      <c r="AA103" s="8">
        <f t="shared" ref="AA103:BF103" si="128">Z103*(1+$AC$52)</f>
        <v>3654.8300926920247</v>
      </c>
      <c r="AB103" s="8">
        <f t="shared" si="128"/>
        <v>3691.3783936189448</v>
      </c>
      <c r="AC103" s="8">
        <f t="shared" si="128"/>
        <v>3728.2921775551345</v>
      </c>
      <c r="AD103" s="8">
        <f t="shared" si="128"/>
        <v>3765.575099330686</v>
      </c>
      <c r="AE103" s="8">
        <f t="shared" si="128"/>
        <v>3803.2308503239929</v>
      </c>
      <c r="AF103" s="8">
        <f t="shared" si="128"/>
        <v>3841.2631588272329</v>
      </c>
      <c r="AG103" s="8">
        <f t="shared" si="128"/>
        <v>3879.6757904155052</v>
      </c>
      <c r="AH103" s="8">
        <f t="shared" si="128"/>
        <v>3918.4725483196603</v>
      </c>
      <c r="AI103" s="8">
        <f t="shared" si="128"/>
        <v>3957.6572738028567</v>
      </c>
      <c r="AJ103" s="8">
        <f t="shared" si="128"/>
        <v>3997.2338465408852</v>
      </c>
      <c r="AK103" s="8">
        <f t="shared" si="128"/>
        <v>4037.2061850062942</v>
      </c>
      <c r="AL103" s="8">
        <f t="shared" si="128"/>
        <v>4077.5782468563571</v>
      </c>
      <c r="AM103" s="8">
        <f t="shared" si="128"/>
        <v>4118.3540293249207</v>
      </c>
      <c r="AN103" s="8">
        <f t="shared" si="128"/>
        <v>4159.53756961817</v>
      </c>
      <c r="AO103" s="8">
        <f t="shared" si="128"/>
        <v>4201.1329453143517</v>
      </c>
      <c r="AP103" s="8">
        <f t="shared" si="128"/>
        <v>4243.1442747674955</v>
      </c>
      <c r="AQ103" s="8">
        <f t="shared" si="128"/>
        <v>4285.5757175151703</v>
      </c>
      <c r="AR103" s="8">
        <f t="shared" si="128"/>
        <v>4328.4314746903219</v>
      </c>
      <c r="AS103" s="8">
        <f t="shared" si="128"/>
        <v>4371.7157894372249</v>
      </c>
      <c r="AT103" s="8">
        <f t="shared" si="128"/>
        <v>4415.4329473315975</v>
      </c>
      <c r="AU103" s="8">
        <f t="shared" si="128"/>
        <v>4459.5872768049139</v>
      </c>
      <c r="AV103" s="8">
        <f t="shared" si="128"/>
        <v>4504.183149572963</v>
      </c>
      <c r="AW103" s="8">
        <f t="shared" si="128"/>
        <v>4549.2249810686926</v>
      </c>
      <c r="AX103" s="8">
        <f t="shared" si="128"/>
        <v>4594.7172308793797</v>
      </c>
      <c r="AY103" s="8">
        <f t="shared" si="128"/>
        <v>4640.6644031881733</v>
      </c>
      <c r="AZ103" s="8">
        <f t="shared" si="128"/>
        <v>4687.0710472200553</v>
      </c>
      <c r="BA103" s="8">
        <f t="shared" si="128"/>
        <v>4733.941757692256</v>
      </c>
      <c r="BB103" s="8">
        <f t="shared" si="128"/>
        <v>4781.2811752691787</v>
      </c>
      <c r="BC103" s="8">
        <f t="shared" si="128"/>
        <v>4829.0939870218708</v>
      </c>
      <c r="BD103" s="8">
        <f t="shared" si="128"/>
        <v>4877.3849268920894</v>
      </c>
      <c r="BE103" s="8">
        <f t="shared" si="128"/>
        <v>4926.1587761610108</v>
      </c>
      <c r="BF103" s="8">
        <f t="shared" si="128"/>
        <v>4975.4203639226207</v>
      </c>
      <c r="BG103" s="8">
        <f t="shared" ref="BG103:CL103" si="129">BF103*(1+$AC$52)</f>
        <v>5025.1745675618467</v>
      </c>
      <c r="BH103" s="8">
        <f t="shared" si="129"/>
        <v>5075.4263132374654</v>
      </c>
      <c r="BI103" s="8">
        <f t="shared" si="129"/>
        <v>5126.1805763698403</v>
      </c>
      <c r="BJ103" s="8">
        <f t="shared" si="129"/>
        <v>5177.4423821335386</v>
      </c>
      <c r="BK103" s="8">
        <f t="shared" si="129"/>
        <v>5229.216805954874</v>
      </c>
      <c r="BL103" s="8">
        <f t="shared" si="129"/>
        <v>5281.5089740144231</v>
      </c>
      <c r="BM103" s="8">
        <f t="shared" si="129"/>
        <v>5334.3240637545678</v>
      </c>
      <c r="BN103" s="8">
        <f t="shared" si="129"/>
        <v>5387.6673043921137</v>
      </c>
      <c r="BO103" s="8">
        <f t="shared" si="129"/>
        <v>5441.5439774360348</v>
      </c>
      <c r="BP103" s="8">
        <f t="shared" si="129"/>
        <v>5495.9594172103953</v>
      </c>
      <c r="BQ103" s="8">
        <f t="shared" si="129"/>
        <v>5550.9190113824989</v>
      </c>
      <c r="BR103" s="8">
        <f t="shared" si="129"/>
        <v>5606.4282014963237</v>
      </c>
      <c r="BS103" s="8">
        <f t="shared" si="129"/>
        <v>5662.492483511287</v>
      </c>
      <c r="BT103" s="8">
        <f t="shared" si="129"/>
        <v>5719.1174083464002</v>
      </c>
      <c r="BU103" s="8">
        <f t="shared" si="129"/>
        <v>5776.3085824298641</v>
      </c>
      <c r="BV103" s="8">
        <f t="shared" si="129"/>
        <v>5834.0716682541624</v>
      </c>
      <c r="BW103" s="8">
        <f t="shared" si="129"/>
        <v>5892.4123849367043</v>
      </c>
      <c r="BX103" s="8">
        <f t="shared" si="129"/>
        <v>5951.3365087860711</v>
      </c>
      <c r="BY103" s="8">
        <f t="shared" si="129"/>
        <v>6010.8498738739318</v>
      </c>
      <c r="BZ103" s="8">
        <f t="shared" si="129"/>
        <v>6070.9583726126712</v>
      </c>
      <c r="CA103" s="8">
        <f t="shared" si="129"/>
        <v>6131.6679563387979</v>
      </c>
      <c r="CB103" s="8">
        <f t="shared" si="129"/>
        <v>6192.9846359021858</v>
      </c>
      <c r="CC103" s="8">
        <f t="shared" si="129"/>
        <v>6254.9144822612079</v>
      </c>
      <c r="CD103" s="8">
        <f t="shared" si="129"/>
        <v>6317.46362708382</v>
      </c>
      <c r="CE103" s="8">
        <f t="shared" si="129"/>
        <v>6380.6382633546582</v>
      </c>
      <c r="CF103" s="8">
        <f t="shared" si="129"/>
        <v>6444.4446459882047</v>
      </c>
      <c r="CG103" s="8">
        <f t="shared" si="129"/>
        <v>6508.8890924480866</v>
      </c>
      <c r="CH103" s="8">
        <f t="shared" si="129"/>
        <v>6573.9779833725679</v>
      </c>
      <c r="CI103" s="8">
        <f t="shared" si="129"/>
        <v>6639.717763206294</v>
      </c>
      <c r="CJ103" s="8">
        <f t="shared" si="129"/>
        <v>6706.1149408383571</v>
      </c>
      <c r="CK103" s="8">
        <f t="shared" si="129"/>
        <v>6773.1760902467404</v>
      </c>
      <c r="CL103" s="8">
        <f t="shared" si="129"/>
        <v>6840.907851149208</v>
      </c>
      <c r="CM103" s="8">
        <f t="shared" ref="CM103:DR103" si="130">CL103*(1+$AC$52)</f>
        <v>6909.3169296607002</v>
      </c>
      <c r="CN103" s="8">
        <f t="shared" si="130"/>
        <v>6978.4100989573071</v>
      </c>
      <c r="CO103" s="8">
        <f t="shared" si="130"/>
        <v>7048.19419994688</v>
      </c>
      <c r="CP103" s="8">
        <f t="shared" si="130"/>
        <v>7118.6761419463492</v>
      </c>
      <c r="CQ103" s="8">
        <f t="shared" si="130"/>
        <v>7189.8629033658126</v>
      </c>
      <c r="CR103" s="8">
        <f t="shared" si="130"/>
        <v>7261.7615323994705</v>
      </c>
      <c r="CS103" s="8">
        <f t="shared" si="130"/>
        <v>7334.3791477234654</v>
      </c>
      <c r="CT103" s="8">
        <f t="shared" si="130"/>
        <v>7407.7229392007002</v>
      </c>
      <c r="CU103" s="8">
        <f t="shared" si="130"/>
        <v>7481.8001685927075</v>
      </c>
      <c r="CV103" s="8">
        <f t="shared" si="130"/>
        <v>7556.6181702786344</v>
      </c>
      <c r="CW103" s="8">
        <f t="shared" si="130"/>
        <v>7632.1843519814211</v>
      </c>
      <c r="CX103" s="8">
        <f t="shared" si="130"/>
        <v>7708.5061955012352</v>
      </c>
      <c r="CY103" s="8">
        <f t="shared" si="130"/>
        <v>7785.5912574562481</v>
      </c>
      <c r="CZ103" s="8">
        <f t="shared" si="130"/>
        <v>7863.4471700308104</v>
      </c>
      <c r="DA103" s="8">
        <f t="shared" si="130"/>
        <v>7942.0816417311189</v>
      </c>
      <c r="DB103" s="8">
        <f t="shared" si="130"/>
        <v>8021.5024581484304</v>
      </c>
      <c r="DC103" s="8">
        <f t="shared" si="130"/>
        <v>8101.717482729915</v>
      </c>
      <c r="DD103" s="8">
        <f t="shared" si="130"/>
        <v>8182.7346575572146</v>
      </c>
      <c r="DE103" s="8">
        <f t="shared" si="130"/>
        <v>8264.5620041327875</v>
      </c>
      <c r="DF103" s="8">
        <f t="shared" si="130"/>
        <v>8347.2076241741161</v>
      </c>
      <c r="DG103" s="8">
        <f t="shared" si="130"/>
        <v>8430.679700415858</v>
      </c>
      <c r="DH103" s="8">
        <f t="shared" si="130"/>
        <v>8514.9864974200173</v>
      </c>
      <c r="DI103" s="8">
        <f t="shared" si="130"/>
        <v>8600.1363623942179</v>
      </c>
      <c r="DJ103" s="8">
        <f t="shared" si="130"/>
        <v>8686.1377260181598</v>
      </c>
      <c r="DK103" s="8">
        <f t="shared" si="130"/>
        <v>8772.9991032783419</v>
      </c>
      <c r="DL103" s="8">
        <f t="shared" si="130"/>
        <v>8860.7290943111257</v>
      </c>
      <c r="DM103" s="8">
        <f t="shared" si="130"/>
        <v>8949.336385254237</v>
      </c>
      <c r="DN103" s="8">
        <f t="shared" si="130"/>
        <v>9038.8297491067788</v>
      </c>
      <c r="DO103" s="8">
        <f t="shared" si="130"/>
        <v>9129.2180465978472</v>
      </c>
      <c r="DP103" s="8">
        <f t="shared" si="130"/>
        <v>9220.5102270638254</v>
      </c>
      <c r="DQ103" s="8">
        <f t="shared" si="130"/>
        <v>9312.7153293344636</v>
      </c>
      <c r="DR103" s="8">
        <f t="shared" si="130"/>
        <v>9405.8424826278078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2025-08-24T11:52:32Z</dcterms:modified>
</cp:coreProperties>
</file>