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5438C46-2982-4974-A44C-541F9360BBFA}" xr6:coauthVersionLast="47" xr6:coauthVersionMax="47" xr10:uidLastSave="{00000000-0000-0000-0000-000000000000}"/>
  <bookViews>
    <workbookView xWindow="3585" yWindow="675" windowWidth="23670" windowHeight="14280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" l="1"/>
  <c r="X20" i="2" s="1"/>
  <c r="Y20" i="2" s="1"/>
  <c r="Z20" i="2" s="1"/>
  <c r="W42" i="2"/>
  <c r="X42" i="2" s="1"/>
  <c r="Y42" i="2" s="1"/>
  <c r="Z42" i="2" s="1"/>
  <c r="D24" i="2"/>
  <c r="E24" i="2"/>
  <c r="F24" i="2"/>
  <c r="D28" i="2"/>
  <c r="E28" i="2"/>
  <c r="F28" i="2"/>
  <c r="C28" i="2"/>
  <c r="C24" i="2"/>
  <c r="K20" i="2"/>
  <c r="L20" i="2"/>
  <c r="M20" i="2" s="1"/>
  <c r="N20" i="2" s="1"/>
  <c r="J12" i="2"/>
  <c r="U14" i="2"/>
  <c r="V14" i="2" s="1"/>
  <c r="T13" i="2"/>
  <c r="I13" i="2"/>
  <c r="W7" i="2"/>
  <c r="X7" i="2" s="1"/>
  <c r="Y7" i="2" s="1"/>
  <c r="Z7" i="2" s="1"/>
  <c r="W8" i="2"/>
  <c r="X8" i="2" s="1"/>
  <c r="Y8" i="2" s="1"/>
  <c r="Z8" i="2" s="1"/>
  <c r="W9" i="2"/>
  <c r="W10" i="2"/>
  <c r="X9" i="2"/>
  <c r="Y9" i="2" s="1"/>
  <c r="Z9" i="2" s="1"/>
  <c r="X10" i="2"/>
  <c r="Y10" i="2" s="1"/>
  <c r="Z10" i="2" s="1"/>
  <c r="V6" i="2"/>
  <c r="S11" i="2"/>
  <c r="T11" i="2"/>
  <c r="Z22" i="2" l="1"/>
  <c r="W22" i="2"/>
  <c r="V22" i="2"/>
  <c r="V38" i="2" s="1"/>
  <c r="V11" i="2"/>
  <c r="X22" i="2"/>
  <c r="Y22" i="2"/>
  <c r="Z23" i="2"/>
  <c r="Z24" i="2" s="1"/>
  <c r="W23" i="2"/>
  <c r="W24" i="2" s="1"/>
  <c r="V23" i="2"/>
  <c r="V24" i="2" s="1"/>
  <c r="W14" i="2"/>
  <c r="X14" i="2" s="1"/>
  <c r="Y14" i="2" s="1"/>
  <c r="Z14" i="2" s="1"/>
  <c r="V13" i="2"/>
  <c r="C29" i="2"/>
  <c r="C32" i="2" s="1"/>
  <c r="C34" i="2" s="1"/>
  <c r="C36" i="2" s="1"/>
  <c r="F29" i="2"/>
  <c r="F32" i="2" s="1"/>
  <c r="F34" i="2" s="1"/>
  <c r="F36" i="2" s="1"/>
  <c r="E29" i="2"/>
  <c r="E32" i="2" s="1"/>
  <c r="E34" i="2" s="1"/>
  <c r="E36" i="2" s="1"/>
  <c r="D29" i="2"/>
  <c r="D32" i="2" s="1"/>
  <c r="D34" i="2" s="1"/>
  <c r="D36" i="2" s="1"/>
  <c r="W6" i="2"/>
  <c r="Z6" i="2"/>
  <c r="Y6" i="2"/>
  <c r="X6" i="2"/>
  <c r="U35" i="2"/>
  <c r="U60" i="2"/>
  <c r="U61" i="2"/>
  <c r="U62" i="2"/>
  <c r="U63" i="2"/>
  <c r="U64" i="2"/>
  <c r="U65" i="2"/>
  <c r="U66" i="2"/>
  <c r="U67" i="2"/>
  <c r="U59" i="2"/>
  <c r="U51" i="2"/>
  <c r="U52" i="2"/>
  <c r="U53" i="2"/>
  <c r="U54" i="2"/>
  <c r="U55" i="2"/>
  <c r="U56" i="2"/>
  <c r="U50" i="2"/>
  <c r="U48" i="2"/>
  <c r="U47" i="2"/>
  <c r="U30" i="2"/>
  <c r="D44" i="2"/>
  <c r="E44" i="2"/>
  <c r="F44" i="2"/>
  <c r="C44" i="2"/>
  <c r="I43" i="2"/>
  <c r="I39" i="2"/>
  <c r="F17" i="1"/>
  <c r="F15" i="1"/>
  <c r="E18" i="2"/>
  <c r="H18" i="2"/>
  <c r="D94" i="2"/>
  <c r="E94" i="2"/>
  <c r="F94" i="2"/>
  <c r="G94" i="2"/>
  <c r="H94" i="2"/>
  <c r="I94" i="2"/>
  <c r="K94" i="2"/>
  <c r="L94" i="2"/>
  <c r="M94" i="2"/>
  <c r="N94" i="2"/>
  <c r="C94" i="2"/>
  <c r="D90" i="2"/>
  <c r="E90" i="2"/>
  <c r="F90" i="2"/>
  <c r="G90" i="2"/>
  <c r="H90" i="2"/>
  <c r="C90" i="2"/>
  <c r="I90" i="2"/>
  <c r="D74" i="2"/>
  <c r="F74" i="2"/>
  <c r="C74" i="2"/>
  <c r="D72" i="2"/>
  <c r="E72" i="2"/>
  <c r="F72" i="2"/>
  <c r="G72" i="2"/>
  <c r="H72" i="2"/>
  <c r="I72" i="2"/>
  <c r="J72" i="2"/>
  <c r="C72" i="2"/>
  <c r="I47" i="2"/>
  <c r="I48" i="2"/>
  <c r="H48" i="2"/>
  <c r="H47" i="2"/>
  <c r="T47" i="2"/>
  <c r="T48" i="2"/>
  <c r="U94" i="2"/>
  <c r="V94" i="2"/>
  <c r="W94" i="2"/>
  <c r="X94" i="2"/>
  <c r="Y94" i="2"/>
  <c r="Z94" i="2"/>
  <c r="S94" i="2"/>
  <c r="T94" i="2"/>
  <c r="R94" i="2"/>
  <c r="S90" i="2"/>
  <c r="T90" i="2"/>
  <c r="R90" i="2"/>
  <c r="Q72" i="2"/>
  <c r="R72" i="2"/>
  <c r="P72" i="2"/>
  <c r="T72" i="2"/>
  <c r="S72" i="2"/>
  <c r="S48" i="2"/>
  <c r="S47" i="2"/>
  <c r="Q57" i="2"/>
  <c r="R57" i="2"/>
  <c r="S57" i="2"/>
  <c r="T57" i="2"/>
  <c r="V57" i="2"/>
  <c r="W57" i="2"/>
  <c r="X57" i="2"/>
  <c r="Y57" i="2"/>
  <c r="Z57" i="2"/>
  <c r="Q68" i="2"/>
  <c r="R68" i="2"/>
  <c r="S68" i="2"/>
  <c r="T68" i="2"/>
  <c r="V68" i="2"/>
  <c r="W68" i="2"/>
  <c r="X68" i="2"/>
  <c r="Y68" i="2"/>
  <c r="Z68" i="2"/>
  <c r="P68" i="2"/>
  <c r="P57" i="2"/>
  <c r="D57" i="2"/>
  <c r="E57" i="2"/>
  <c r="F57" i="2"/>
  <c r="G57" i="2"/>
  <c r="H57" i="2"/>
  <c r="I57" i="2"/>
  <c r="J57" i="2"/>
  <c r="K57" i="2"/>
  <c r="L57" i="2"/>
  <c r="M57" i="2"/>
  <c r="N57" i="2"/>
  <c r="D68" i="2"/>
  <c r="E68" i="2"/>
  <c r="F68" i="2"/>
  <c r="G68" i="2"/>
  <c r="H68" i="2"/>
  <c r="I68" i="2"/>
  <c r="J68" i="2"/>
  <c r="K68" i="2"/>
  <c r="L68" i="2"/>
  <c r="M68" i="2"/>
  <c r="N68" i="2"/>
  <c r="C57" i="2"/>
  <c r="C68" i="2"/>
  <c r="U20" i="2"/>
  <c r="U13" i="2" s="1"/>
  <c r="J23" i="2"/>
  <c r="U23" i="2" s="1"/>
  <c r="U24" i="2" s="1"/>
  <c r="Q24" i="2"/>
  <c r="R24" i="2"/>
  <c r="Q28" i="2"/>
  <c r="Q44" i="2" s="1"/>
  <c r="R28" i="2"/>
  <c r="R44" i="2" s="1"/>
  <c r="P28" i="2"/>
  <c r="P44" i="2" s="1"/>
  <c r="P24" i="2"/>
  <c r="P42" i="2" s="1"/>
  <c r="R38" i="2"/>
  <c r="S38" i="2"/>
  <c r="Q38" i="2"/>
  <c r="D40" i="2"/>
  <c r="F40" i="2"/>
  <c r="C40" i="2"/>
  <c r="C43" i="2"/>
  <c r="D43" i="2"/>
  <c r="E43" i="2"/>
  <c r="F43" i="2"/>
  <c r="C42" i="2"/>
  <c r="D42" i="2"/>
  <c r="E42" i="2"/>
  <c r="F42" i="2"/>
  <c r="D39" i="2"/>
  <c r="E39" i="2"/>
  <c r="F39" i="2"/>
  <c r="G39" i="2"/>
  <c r="G38" i="2"/>
  <c r="H38" i="2"/>
  <c r="I38" i="2"/>
  <c r="J38" i="2"/>
  <c r="S43" i="2"/>
  <c r="T43" i="2"/>
  <c r="H39" i="2"/>
  <c r="T38" i="2"/>
  <c r="S28" i="2"/>
  <c r="S44" i="2" s="1"/>
  <c r="S24" i="2"/>
  <c r="S42" i="2" s="1"/>
  <c r="T24" i="2"/>
  <c r="T42" i="2" s="1"/>
  <c r="T28" i="2"/>
  <c r="T44" i="2" s="1"/>
  <c r="G43" i="2"/>
  <c r="G28" i="2"/>
  <c r="G44" i="2" s="1"/>
  <c r="G24" i="2"/>
  <c r="G42" i="2" s="1"/>
  <c r="H43" i="2"/>
  <c r="H28" i="2"/>
  <c r="H44" i="2" s="1"/>
  <c r="H24" i="2"/>
  <c r="H42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Y38" i="2" l="1"/>
  <c r="X23" i="2"/>
  <c r="X38" i="2"/>
  <c r="Y23" i="2"/>
  <c r="Y24" i="2" s="1"/>
  <c r="W38" i="2"/>
  <c r="Z38" i="2"/>
  <c r="X24" i="2"/>
  <c r="E74" i="2"/>
  <c r="E40" i="2"/>
  <c r="L72" i="2"/>
  <c r="U43" i="2"/>
  <c r="U11" i="2"/>
  <c r="F18" i="1"/>
  <c r="F95" i="2"/>
  <c r="E95" i="2"/>
  <c r="D95" i="2"/>
  <c r="P69" i="2"/>
  <c r="P70" i="2" s="1"/>
  <c r="U68" i="2"/>
  <c r="U57" i="2"/>
  <c r="U69" i="2" s="1"/>
  <c r="U70" i="2" s="1"/>
  <c r="I46" i="2"/>
  <c r="U42" i="2"/>
  <c r="U72" i="2"/>
  <c r="G95" i="2"/>
  <c r="H95" i="2"/>
  <c r="H46" i="2"/>
  <c r="N69" i="2"/>
  <c r="N70" i="2" s="1"/>
  <c r="M69" i="2"/>
  <c r="M70" i="2" s="1"/>
  <c r="I95" i="2"/>
  <c r="C95" i="2"/>
  <c r="T46" i="2"/>
  <c r="L69" i="2"/>
  <c r="L70" i="2" s="1"/>
  <c r="Z69" i="2"/>
  <c r="Z70" i="2" s="1"/>
  <c r="K72" i="2"/>
  <c r="K69" i="2"/>
  <c r="K70" i="2" s="1"/>
  <c r="Y69" i="2"/>
  <c r="Y70" i="2" s="1"/>
  <c r="Q69" i="2"/>
  <c r="Q70" i="2" s="1"/>
  <c r="S95" i="2"/>
  <c r="J69" i="2"/>
  <c r="J70" i="2" s="1"/>
  <c r="X69" i="2"/>
  <c r="X70" i="2" s="1"/>
  <c r="R95" i="2"/>
  <c r="T95" i="2"/>
  <c r="W69" i="2"/>
  <c r="W70" i="2" s="1"/>
  <c r="I69" i="2"/>
  <c r="I70" i="2" s="1"/>
  <c r="E69" i="2"/>
  <c r="E70" i="2" s="1"/>
  <c r="R69" i="2"/>
  <c r="R70" i="2" s="1"/>
  <c r="C69" i="2"/>
  <c r="C70" i="2" s="1"/>
  <c r="T69" i="2"/>
  <c r="T70" i="2" s="1"/>
  <c r="S69" i="2"/>
  <c r="S70" i="2" s="1"/>
  <c r="V69" i="2"/>
  <c r="V70" i="2" s="1"/>
  <c r="H69" i="2"/>
  <c r="H70" i="2" s="1"/>
  <c r="G69" i="2"/>
  <c r="G70" i="2" s="1"/>
  <c r="F69" i="2"/>
  <c r="F70" i="2" s="1"/>
  <c r="D69" i="2"/>
  <c r="D70" i="2" s="1"/>
  <c r="L23" i="2"/>
  <c r="R29" i="2"/>
  <c r="R32" i="2" s="1"/>
  <c r="R34" i="2" s="1"/>
  <c r="Q29" i="2"/>
  <c r="Q32" i="2" s="1"/>
  <c r="Q34" i="2" s="1"/>
  <c r="Q42" i="2"/>
  <c r="R42" i="2"/>
  <c r="K23" i="2"/>
  <c r="P29" i="2"/>
  <c r="S29" i="2"/>
  <c r="G29" i="2"/>
  <c r="T29" i="2"/>
  <c r="H29" i="2"/>
  <c r="M72" i="2" l="1"/>
  <c r="O20" i="2"/>
  <c r="Q40" i="2"/>
  <c r="R40" i="2"/>
  <c r="V72" i="2"/>
  <c r="R43" i="2"/>
  <c r="R74" i="2"/>
  <c r="M23" i="2"/>
  <c r="M24" i="2" s="1"/>
  <c r="M38" i="2"/>
  <c r="M39" i="2"/>
  <c r="N72" i="2"/>
  <c r="Q36" i="2"/>
  <c r="R36" i="2"/>
  <c r="P32" i="2"/>
  <c r="P34" i="2" s="1"/>
  <c r="P36" i="2" s="1"/>
  <c r="P40" i="2"/>
  <c r="I24" i="2"/>
  <c r="I42" i="2" s="1"/>
  <c r="H32" i="2"/>
  <c r="H34" i="2" s="1"/>
  <c r="H74" i="2" s="1"/>
  <c r="H40" i="2"/>
  <c r="G32" i="2"/>
  <c r="G34" i="2" s="1"/>
  <c r="G40" i="2"/>
  <c r="S32" i="2"/>
  <c r="S34" i="2" s="1"/>
  <c r="S40" i="2"/>
  <c r="J39" i="2"/>
  <c r="J25" i="2" s="1"/>
  <c r="T32" i="2"/>
  <c r="T34" i="2" s="1"/>
  <c r="T74" i="2" s="1"/>
  <c r="T40" i="2"/>
  <c r="U25" i="2" l="1"/>
  <c r="K25" i="2"/>
  <c r="L25" i="2" s="1"/>
  <c r="M25" i="2" s="1"/>
  <c r="N25" i="2" s="1"/>
  <c r="G36" i="2"/>
  <c r="G74" i="2"/>
  <c r="S36" i="2"/>
  <c r="S74" i="2"/>
  <c r="N23" i="2"/>
  <c r="N24" i="2" s="1"/>
  <c r="N38" i="2"/>
  <c r="N39" i="2"/>
  <c r="H36" i="2"/>
  <c r="J27" i="2"/>
  <c r="U27" i="2" s="1"/>
  <c r="J24" i="2"/>
  <c r="I28" i="2"/>
  <c r="J26" i="2"/>
  <c r="U26" i="2" s="1"/>
  <c r="T36" i="2"/>
  <c r="K38" i="2"/>
  <c r="K39" i="2"/>
  <c r="I29" i="2" l="1"/>
  <c r="I40" i="2" s="1"/>
  <c r="I44" i="2"/>
  <c r="U28" i="2"/>
  <c r="U38" i="2"/>
  <c r="K26" i="2"/>
  <c r="J28" i="2"/>
  <c r="J44" i="2" s="1"/>
  <c r="K24" i="2"/>
  <c r="K27" i="2"/>
  <c r="L38" i="2"/>
  <c r="L39" i="2"/>
  <c r="J29" i="2" l="1"/>
  <c r="I32" i="2"/>
  <c r="U44" i="2"/>
  <c r="U29" i="2"/>
  <c r="V27" i="2"/>
  <c r="V26" i="2"/>
  <c r="L27" i="2"/>
  <c r="M27" i="2" s="1"/>
  <c r="N27" i="2" s="1"/>
  <c r="L26" i="2"/>
  <c r="M26" i="2" s="1"/>
  <c r="K28" i="2"/>
  <c r="I34" i="2"/>
  <c r="I36" i="2" s="1"/>
  <c r="L24" i="2"/>
  <c r="K29" i="2" l="1"/>
  <c r="K44" i="2"/>
  <c r="J31" i="2"/>
  <c r="U31" i="2" s="1"/>
  <c r="U32" i="2" s="1"/>
  <c r="I74" i="2"/>
  <c r="N26" i="2"/>
  <c r="N28" i="2" s="1"/>
  <c r="M28" i="2"/>
  <c r="J32" i="2"/>
  <c r="V25" i="2"/>
  <c r="L28" i="2"/>
  <c r="J33" i="2" l="1"/>
  <c r="U33" i="2" s="1"/>
  <c r="U40" i="2" s="1"/>
  <c r="L29" i="2"/>
  <c r="L44" i="2"/>
  <c r="M29" i="2"/>
  <c r="M44" i="2"/>
  <c r="N29" i="2"/>
  <c r="N44" i="2"/>
  <c r="V28" i="2"/>
  <c r="V44" i="2" s="1"/>
  <c r="J34" i="2" l="1"/>
  <c r="U34" i="2"/>
  <c r="U36" i="2" s="1"/>
  <c r="J74" i="2" l="1"/>
  <c r="J90" i="2" s="1"/>
  <c r="J95" i="2" s="1"/>
  <c r="J36" i="2"/>
  <c r="J46" i="2"/>
  <c r="U46" i="2" l="1"/>
  <c r="K31" i="2"/>
  <c r="K32" i="2" s="1"/>
  <c r="K33" i="2" s="1"/>
  <c r="K34" i="2" s="1"/>
  <c r="K74" i="2" s="1"/>
  <c r="K90" i="2" s="1"/>
  <c r="K95" i="2" s="1"/>
  <c r="K46" i="2" l="1"/>
  <c r="L31" i="2" s="1"/>
  <c r="L32" i="2" s="1"/>
  <c r="L33" i="2" s="1"/>
  <c r="L34" i="2" s="1"/>
  <c r="K36" i="2"/>
  <c r="U74" i="2"/>
  <c r="U90" i="2" s="1"/>
  <c r="U95" i="2" s="1"/>
  <c r="V29" i="2"/>
  <c r="V33" i="2" s="1"/>
  <c r="L74" i="2" l="1"/>
  <c r="L90" i="2" s="1"/>
  <c r="L95" i="2" s="1"/>
  <c r="L46" i="2"/>
  <c r="M31" i="2" s="1"/>
  <c r="M32" i="2" s="1"/>
  <c r="L36" i="2"/>
  <c r="V31" i="2"/>
  <c r="V32" i="2" s="1"/>
  <c r="V34" i="2" s="1"/>
  <c r="M33" i="2" l="1"/>
  <c r="M34" i="2" s="1"/>
  <c r="V74" i="2"/>
  <c r="V90" i="2" s="1"/>
  <c r="V95" i="2" s="1"/>
  <c r="V43" i="2"/>
  <c r="V36" i="2"/>
  <c r="V46" i="2"/>
  <c r="M74" i="2" l="1"/>
  <c r="M90" i="2" s="1"/>
  <c r="M95" i="2" s="1"/>
  <c r="M46" i="2"/>
  <c r="N31" i="2" s="1"/>
  <c r="N32" i="2" s="1"/>
  <c r="M36" i="2"/>
  <c r="W31" i="2"/>
  <c r="N33" i="2" l="1"/>
  <c r="N34" i="2" s="1"/>
  <c r="N74" i="2" l="1"/>
  <c r="N90" i="2" s="1"/>
  <c r="N95" i="2" s="1"/>
  <c r="N46" i="2"/>
  <c r="N36" i="2"/>
  <c r="W26" i="2"/>
  <c r="W43" i="2"/>
  <c r="W11" i="2"/>
  <c r="W72" i="2"/>
  <c r="W13" i="2"/>
  <c r="X72" i="2"/>
  <c r="W25" i="2" l="1"/>
  <c r="X43" i="2"/>
  <c r="X11" i="2"/>
  <c r="Y43" i="2"/>
  <c r="Y13" i="2"/>
  <c r="Y72" i="2"/>
  <c r="W27" i="2"/>
  <c r="Y11" i="2"/>
  <c r="X26" i="2"/>
  <c r="Y26" i="2" s="1"/>
  <c r="X13" i="2"/>
  <c r="Z11" i="2" l="1"/>
  <c r="Z72" i="2"/>
  <c r="Z13" i="2"/>
  <c r="Z26" i="2"/>
  <c r="Z43" i="2"/>
  <c r="X27" i="2"/>
  <c r="Y27" i="2" s="1"/>
  <c r="Z27" i="2" s="1"/>
  <c r="X25" i="2"/>
  <c r="W28" i="2"/>
  <c r="W29" i="2" l="1"/>
  <c r="W44" i="2"/>
  <c r="X28" i="2"/>
  <c r="Y25" i="2"/>
  <c r="X44" i="2" l="1"/>
  <c r="X29" i="2"/>
  <c r="Z25" i="2"/>
  <c r="Z28" i="2" s="1"/>
  <c r="Y28" i="2"/>
  <c r="W32" i="2"/>
  <c r="W33" i="2"/>
  <c r="W34" i="2" l="1"/>
  <c r="Y44" i="2"/>
  <c r="Y29" i="2"/>
  <c r="Z44" i="2"/>
  <c r="Z29" i="2"/>
  <c r="X33" i="2"/>
  <c r="Z33" i="2" l="1"/>
  <c r="Y33" i="2"/>
  <c r="W36" i="2"/>
  <c r="W46" i="2"/>
  <c r="W74" i="2"/>
  <c r="W90" i="2" s="1"/>
  <c r="W95" i="2" s="1"/>
  <c r="X31" i="2" l="1"/>
  <c r="X32" i="2" s="1"/>
  <c r="X34" i="2" s="1"/>
  <c r="X36" i="2" l="1"/>
  <c r="X74" i="2"/>
  <c r="X90" i="2" s="1"/>
  <c r="X95" i="2" s="1"/>
  <c r="X46" i="2"/>
  <c r="Y31" i="2" l="1"/>
  <c r="Y32" i="2" s="1"/>
  <c r="Y34" i="2" s="1"/>
  <c r="Y46" i="2" s="1"/>
  <c r="Z31" i="2" l="1"/>
  <c r="Z32" i="2" s="1"/>
  <c r="Z34" i="2" s="1"/>
  <c r="Y74" i="2"/>
  <c r="Y90" i="2" s="1"/>
  <c r="Y95" i="2" s="1"/>
  <c r="Y36" i="2"/>
  <c r="Z36" i="2" l="1"/>
  <c r="AA34" i="2"/>
  <c r="Z74" i="2"/>
  <c r="Z90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C95" i="2" s="1"/>
  <c r="DD95" i="2" s="1"/>
  <c r="DE95" i="2" s="1"/>
  <c r="DF95" i="2" s="1"/>
  <c r="DG95" i="2" s="1"/>
  <c r="DH95" i="2" s="1"/>
  <c r="DI95" i="2" s="1"/>
  <c r="DJ95" i="2" s="1"/>
  <c r="DK95" i="2" s="1"/>
  <c r="DL95" i="2" s="1"/>
  <c r="DM95" i="2" s="1"/>
  <c r="DN95" i="2" s="1"/>
  <c r="DO95" i="2" s="1"/>
  <c r="DP95" i="2" s="1"/>
  <c r="DQ95" i="2" s="1"/>
  <c r="DR95" i="2" s="1"/>
  <c r="Z46" i="2"/>
  <c r="AB34" i="2" l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AC41" i="2" l="1"/>
  <c r="AC42" i="2" s="1"/>
  <c r="AC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tc={DEC1EFA7-08CE-407F-80BC-3BD72A054B95}</author>
    <author>tc={518D6400-4738-48D4-8A7C-6A58D2E68831}</author>
    <author>tc={F447A70C-BFD1-47B1-8F98-8C7CAE49EF2E}</author>
    <author>tc={960D152D-CF0A-4D06-BBAA-48E55DA153B5}</author>
  </authors>
  <commentList>
    <comment ref="V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13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J20" authorId="3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35" authorId="4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40" authorId="5" shapeId="0" xr:uid="{F447A70C-BFD1-47B1-8F98-8C7CAE49EF2E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14.9% GAAP tax rate”</t>
      </text>
    </comment>
    <comment ref="J94" authorId="6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<sst xmlns="http://schemas.openxmlformats.org/spreadsheetml/2006/main" count="129" uniqueCount="115">
  <si>
    <t>SMCI</t>
  </si>
  <si>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</si>
  <si>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</si>
  <si>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</si>
  <si>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</si>
  <si>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</si>
  <si>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</si>
  <si>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</si>
  <si>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</si>
  <si>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</si>
  <si>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</si>
  <si>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</si>
  <si>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</si>
  <si>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</si>
  <si>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</si>
  <si>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</si>
  <si>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</si>
  <si>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</si>
  <si>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</si>
  <si>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</si>
  <si>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</si>
  <si>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</si>
  <si>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</si>
  <si>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</si>
  <si>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</si>
  <si>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</si>
  <si>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</si>
  <si>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</si>
  <si>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</si>
  <si>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</si>
  <si>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</si>
  <si>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</si>
  <si>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</si>
  <si>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</si>
  <si>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</si>
  <si>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</si>
  <si>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</si>
  <si>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Tax Rate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</si>
  <si>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</si>
  <si>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</si>
  <si>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</si>
  <si>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</si>
  <si>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</si>
  <si>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</si>
  <si>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</si>
  <si>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</si>
  <si>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</si>
  <si>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</si>
  <si>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</si>
  <si>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</si>
  <si>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</si>
  <si>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</si>
  <si>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Prepaid Expenses</t>
  </si>
  <si>
    <t>PP&amp;E</t>
  </si>
  <si>
    <t>DIT</t>
  </si>
  <si>
    <t>Other Assets</t>
  </si>
  <si>
    <t>Assets</t>
  </si>
  <si>
    <t>AP</t>
  </si>
  <si>
    <t>Accrued Liabilities</t>
  </si>
  <si>
    <t>ITP</t>
  </si>
  <si>
    <t>LOC &amp; Current Portion of Loans</t>
  </si>
  <si>
    <t>Deferred Revenue</t>
  </si>
  <si>
    <t>ST Deferred Revenue</t>
  </si>
  <si>
    <t>ST ITP</t>
  </si>
  <si>
    <t>LT Deferred Revenue</t>
  </si>
  <si>
    <t>Term Loans</t>
  </si>
  <si>
    <t>Converts</t>
  </si>
  <si>
    <t>Other LT Liabilities</t>
  </si>
  <si>
    <t>Liabilities</t>
  </si>
  <si>
    <t>SE</t>
  </si>
  <si>
    <t>L+SE</t>
  </si>
  <si>
    <t>DSO</t>
  </si>
  <si>
    <t>Model NI</t>
  </si>
  <si>
    <t>Reported NI</t>
  </si>
  <si>
    <t>D&amp;A</t>
  </si>
  <si>
    <t>SB Comp</t>
  </si>
  <si>
    <t>Loss from Equity Investee</t>
  </si>
  <si>
    <t>Other</t>
  </si>
  <si>
    <t>Accrued Liabilties</t>
  </si>
  <si>
    <t>PP&amp;E Purchases</t>
  </si>
  <si>
    <t>Investment in Equity</t>
  </si>
  <si>
    <t>Acquisition</t>
  </si>
  <si>
    <t>CAPEX</t>
  </si>
  <si>
    <t>UR Foreign Currency Exchange Gain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</si>
  <si>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</si>
  <si>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</si>
  <si>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</si>
  <si>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</si>
  <si>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</si>
  <si>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</si>
  <si>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</si>
  <si>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</si>
  <si>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</si>
  <si>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</si>
  <si>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</si>
  <si>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</si>
  <si>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</si>
  <si>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</si>
  <si>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</si>
  <si>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</si>
  <si>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</si>
  <si>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</si>
  <si>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</si>
  <si>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</si>
  <si>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</si>
  <si>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</si>
  <si>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</si>
  <si>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</si>
  <si>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</si>
  <si>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</si>
  <si>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</si>
  <si>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</si>
  <si>
    <t>Core Rev</t>
  </si>
  <si>
    <t>Datavolt Rev</t>
  </si>
  <si>
    <t>20b deal w/ datavolt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</si>
</sst>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3" fontId="5" fillId="0" borderId="0" xfId="1" applyNumberFormat="1" applyFont="1"/>
    <xf numFmtId="3" fontId="6" fillId="0" borderId="0" xfId="0" applyNumberFormat="1" applyFont="1"/>
    <xf numFmtId="9" fontId="6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0" fontId="6" fillId="0" borderId="0" xfId="0" applyFont="1"/>
    <xf numFmtId="0" fontId="3" fillId="0" borderId="0" xfId="0" applyFont="1"/>
    <xf numFmtId="3" fontId="2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/>
    <xf numFmtId="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/>
    <xf numFmtId="8" fontId="2" fillId="0" borderId="0" xfId="0" applyNumberFormat="1" applyFont="1"/>
    <xf numFmtId="0" fontId="2" fillId="0" borderId="0" xfId="0" applyFont="1"/>
    <xf numFmtId="164" fontId="6" fillId="0" borderId="0" xfId="0" applyNumberFormat="1" applyFont="1"/>
    <xf numFmtId="0" fontId="1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106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115050" y="19050"/>
          <a:ext cx="0" cy="18935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114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6" dT="2025-05-13T05:57:20.60" personId="{9FB83736-EE26-422E-AD1E-D65440F32024}" id="{07B89E43-8E64-4D6B-81D7-37BC3D9CEEE2}">
    <text>Majority of this capex from these companies is from cloud</text>
  </threadedComment>
  <threadedComment ref="V7" dT="2025-05-13T05:48:53.30" personId="{9FB83736-EE26-422E-AD1E-D65440F32024}" id="{B928ADE7-8211-4D2F-BD8C-79ED22DF99E4}">
    <text>“googl forecast for their FY25” mainly cloud capex</text>
  </threadedComment>
  <threadedComment ref="I13" dT="2025-05-13T06:01:58.85" personId="{9FB83736-EE26-422E-AD1E-D65440F32024}" id="{45B433DF-6A70-443F-BD0E-B05A27CEBFAA}">
    <text>Outlier, mostly sold old inventory this quarter</text>
  </threadedComment>
  <threadedComment ref="I13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J20" dT="2025-05-13T04:58:19.64" personId="{9FB83736-EE26-422E-AD1E-D65440F32024}" id="{DEC1EFA7-08CE-407F-80BC-3BD72A054B95}">
    <text xml:space="preserve">“Q4 Rev at least 6b”
</text>
  </threadedComment>
  <threadedComment ref="J35" dT="2025-05-13T05:05:22.48" personId="{9FB83736-EE26-422E-AD1E-D65440F32024}" id="{518D6400-4738-48D4-8A7C-6A58D2E68831}">
    <text>“diluted share count”</text>
  </threadedComment>
  <threadedComment ref="J40" dT="2025-05-13T05:05:00.83" personId="{9FB83736-EE26-422E-AD1E-D65440F32024}" id="{F447A70C-BFD1-47B1-8F98-8C7CAE49EF2E}">
    <text>“expect 14.9% GAAP tax rate”</text>
  </threadedComment>
  <threadedComment ref="J94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J20"/>
  <sheetViews>
    <sheetView topLeftCell="A3" zoomScale="205" zoomScaleNormal="205" workbookViewId="0">
      <selection activeCell="B18" sqref="B18"/>
    </sheetView>
  </sheetViews>
  <sheetFormatPr defaultRowHeight="14.25" x14ac:dyDescent="0.2"/>
  <cols>
    <col min="1" max="16384" width="9.140625" style="7"/>
  </cols>
  <sheetData>
    <row r="1" spans="1:10" ht="15" x14ac:dyDescent="0.25">
      <c r="A1" s="6" t="s">
        <v>0</v>
      </c>
    </row>
    <row r="2" spans="1:10" x14ac:dyDescent="0.2">
      <c r="B2" s="7" t="s">
        <v>36</v>
      </c>
    </row>
    <row r="3" spans="1:10" x14ac:dyDescent="0.2">
      <c r="B3" s="16" t="s">
        <v>97</v>
      </c>
    </row>
    <row r="4" spans="1:10" x14ac:dyDescent="0.2">
      <c r="B4" s="16" t="s">
        <v>86</v>
      </c>
    </row>
    <row r="5" spans="1:10" x14ac:dyDescent="0.2">
      <c r="B5" s="7" t="s">
        <v>39</v>
      </c>
    </row>
    <row r="6" spans="1:10" x14ac:dyDescent="0.2">
      <c r="B6" s="16" t="s">
        <v>99</v>
      </c>
    </row>
    <row r="7" spans="1:10" x14ac:dyDescent="0.2">
      <c r="B7" s="16" t="s">
        <v>88</v>
      </c>
    </row>
    <row r="8" spans="1:10" x14ac:dyDescent="0.2">
      <c r="B8" s="16" t="s">
        <v>90</v>
      </c>
      <c r="E8" s="5"/>
    </row>
    <row r="9" spans="1:10" x14ac:dyDescent="0.2">
      <c r="B9" s="16" t="s">
        <v>94</v>
      </c>
    </row>
    <row r="10" spans="1:10" x14ac:dyDescent="0.2">
      <c r="B10" s="16" t="s">
        <v>95</v>
      </c>
      <c r="J10" s="5"/>
    </row>
    <row r="11" spans="1:10" x14ac:dyDescent="0.2">
      <c r="B11" s="16" t="s">
        <v>96</v>
      </c>
      <c r="J11" s="5"/>
    </row>
    <row r="12" spans="1:10" x14ac:dyDescent="0.2">
      <c r="B12" s="16" t="s">
        <v>98</v>
      </c>
      <c r="J12" s="5"/>
    </row>
    <row r="13" spans="1:10" x14ac:dyDescent="0.2">
      <c r="B13" s="16" t="s">
        <v>100</v>
      </c>
      <c r="E13" s="7" t="s">
        <v>1</v>
      </c>
      <c r="F13" s="4">
        <v>45</v>
      </c>
    </row>
    <row r="14" spans="1:10" x14ac:dyDescent="0.2">
      <c r="B14" s="16" t="s">
        <v>101</v>
      </c>
      <c r="E14" s="7" t="s">
        <v>2</v>
      </c>
      <c r="F14" s="8">
        <v>596.82000000000005</v>
      </c>
      <c r="G14" s="16" t="s">
        <v>19</v>
      </c>
    </row>
    <row r="15" spans="1:10" x14ac:dyDescent="0.2">
      <c r="B15" s="16" t="s">
        <v>102</v>
      </c>
      <c r="E15" s="7" t="s">
        <v>3</v>
      </c>
      <c r="F15" s="4">
        <f>F14*F13</f>
        <v>26856.9</v>
      </c>
    </row>
    <row r="16" spans="1:10" x14ac:dyDescent="0.2">
      <c r="B16" s="16" t="s">
        <v>103</v>
      </c>
      <c r="E16" s="7" t="s">
        <v>4</v>
      </c>
      <c r="F16" s="4">
        <v>1430</v>
      </c>
      <c r="G16" s="16" t="s">
        <v>19</v>
      </c>
    </row>
    <row r="17" spans="2:7" x14ac:dyDescent="0.2">
      <c r="B17" s="18" t="s">
        <v>114</v>
      </c>
      <c r="E17" s="7" t="s">
        <v>5</v>
      </c>
      <c r="F17" s="4">
        <f>1700+53+289</f>
        <v>2042</v>
      </c>
      <c r="G17" s="16" t="s">
        <v>19</v>
      </c>
    </row>
    <row r="18" spans="2:7" x14ac:dyDescent="0.2">
      <c r="E18" s="7" t="s">
        <v>6</v>
      </c>
      <c r="F18" s="4">
        <f>F15+F17-F16</f>
        <v>27468.9</v>
      </c>
    </row>
    <row r="20" spans="2:7" x14ac:dyDescent="0.2">
      <c r="B20" s="16" t="s">
        <v>111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95"/>
  <sheetViews>
    <sheetView tabSelected="1" zoomScaleNormal="100" workbookViewId="0">
      <pane xSplit="2" ySplit="1" topLeftCell="P18" activePane="bottomRight" state="frozen"/>
      <selection pane="topRight" activeCell="B1" sqref="B1"/>
      <selection pane="bottomLeft" activeCell="A2" sqref="A2"/>
      <selection pane="bottomRight" activeCell="V21" sqref="V21"/>
    </sheetView>
  </sheetViews>
  <sheetFormatPr defaultRowHeight="14.25" x14ac:dyDescent="0.2"/>
  <cols>
    <col min="1" max="1" width="6" style="8" customWidth="1"/>
    <col min="2" max="2" width="21.5703125" style="8" customWidth="1"/>
    <col min="3" max="20" width="9.140625" style="8"/>
    <col min="21" max="21" width="9.85546875" style="8" bestFit="1" customWidth="1"/>
    <col min="22" max="22" width="10.85546875" style="8" customWidth="1"/>
    <col min="23" max="25" width="9.140625" style="8"/>
    <col min="26" max="26" width="11" style="8" customWidth="1"/>
    <col min="27" max="29" width="9.140625" style="8"/>
    <col min="30" max="30" width="9.140625" style="8" customWidth="1"/>
    <col min="31" max="16384" width="9.140625" style="8"/>
  </cols>
  <sheetData>
    <row r="1" spans="1:31" x14ac:dyDescent="0.2">
      <c r="A1" s="1" t="s">
        <v>48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34</v>
      </c>
      <c r="L1" s="8" t="s">
        <v>35</v>
      </c>
      <c r="M1" s="8" t="s">
        <v>46</v>
      </c>
      <c r="N1" s="8" t="s">
        <v>47</v>
      </c>
      <c r="P1" s="9">
        <v>2020</v>
      </c>
      <c r="Q1" s="9">
        <v>2021</v>
      </c>
      <c r="R1" s="9">
        <v>2022</v>
      </c>
      <c r="S1" s="9">
        <v>2023</v>
      </c>
      <c r="T1" s="9">
        <v>2024</v>
      </c>
      <c r="U1" s="10">
        <f t="shared" ref="U1:Z1" si="0">T1+1</f>
        <v>2025</v>
      </c>
      <c r="V1" s="9">
        <f t="shared" si="0"/>
        <v>2026</v>
      </c>
      <c r="W1" s="9">
        <f t="shared" si="0"/>
        <v>2027</v>
      </c>
      <c r="X1" s="9">
        <f t="shared" si="0"/>
        <v>2028</v>
      </c>
      <c r="Y1" s="9">
        <f t="shared" si="0"/>
        <v>2029</v>
      </c>
      <c r="Z1" s="9">
        <f t="shared" si="0"/>
        <v>2030</v>
      </c>
      <c r="AA1" s="9">
        <f t="shared" ref="AA1" si="1">Z1+1</f>
        <v>2031</v>
      </c>
      <c r="AB1" s="9">
        <f t="shared" ref="AB1" si="2">AA1+1</f>
        <v>2032</v>
      </c>
      <c r="AC1" s="9">
        <f t="shared" ref="AC1" si="3">AB1+1</f>
        <v>2033</v>
      </c>
      <c r="AD1" s="9">
        <f t="shared" ref="AD1" si="4">AC1+1</f>
        <v>2034</v>
      </c>
      <c r="AE1" s="9">
        <f t="shared" ref="AE1" si="5">AD1+1</f>
        <v>2035</v>
      </c>
    </row>
    <row r="2" spans="1:31" x14ac:dyDescent="0.2">
      <c r="A2" s="1"/>
      <c r="B2" s="8" t="s">
        <v>91</v>
      </c>
      <c r="C2" s="13">
        <v>0.76</v>
      </c>
      <c r="I2" s="13">
        <v>0.6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31" x14ac:dyDescent="0.2">
      <c r="A3" s="1"/>
      <c r="B3" s="8" t="s">
        <v>92</v>
      </c>
      <c r="C3" s="13">
        <v>0.11</v>
      </c>
      <c r="I3" s="13">
        <v>0.3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31" x14ac:dyDescent="0.2">
      <c r="A4" s="1"/>
      <c r="B4" s="8" t="s">
        <v>93</v>
      </c>
      <c r="C4" s="13">
        <v>0.13</v>
      </c>
      <c r="I4" s="13">
        <v>0.1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31" x14ac:dyDescent="0.2">
      <c r="A5" s="1"/>
      <c r="E5" s="13"/>
      <c r="I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31" x14ac:dyDescent="0.2">
      <c r="A6" s="1"/>
      <c r="B6" s="8" t="s">
        <v>104</v>
      </c>
      <c r="I6" s="13"/>
      <c r="P6" s="9"/>
      <c r="Q6" s="9"/>
      <c r="R6" s="9"/>
      <c r="S6" s="9"/>
      <c r="T6" s="9"/>
      <c r="U6" s="9"/>
      <c r="V6" s="8">
        <f>SUM(V7:V10)</f>
        <v>271000</v>
      </c>
      <c r="W6" s="8">
        <f t="shared" ref="W6:Z6" si="6">SUM(W7:W10)</f>
        <v>284550</v>
      </c>
      <c r="X6" s="8">
        <f t="shared" si="6"/>
        <v>298777.5</v>
      </c>
      <c r="Y6" s="8">
        <f t="shared" si="6"/>
        <v>313716.375</v>
      </c>
      <c r="Z6" s="8">
        <f t="shared" si="6"/>
        <v>329402.19374999998</v>
      </c>
    </row>
    <row r="7" spans="1:31" x14ac:dyDescent="0.2">
      <c r="A7" s="1"/>
      <c r="B7" s="8" t="s">
        <v>109</v>
      </c>
      <c r="V7" s="8">
        <v>75000</v>
      </c>
      <c r="W7" s="8">
        <f>V7*1.05</f>
        <v>78750</v>
      </c>
      <c r="X7" s="8">
        <f t="shared" ref="X7:Z7" si="7">W7*1.05</f>
        <v>82687.5</v>
      </c>
      <c r="Y7" s="8">
        <f t="shared" si="7"/>
        <v>86821.875</v>
      </c>
      <c r="Z7" s="8">
        <f t="shared" si="7"/>
        <v>91162.96875</v>
      </c>
    </row>
    <row r="8" spans="1:31" x14ac:dyDescent="0.2">
      <c r="A8" s="1"/>
      <c r="B8" s="8" t="s">
        <v>108</v>
      </c>
      <c r="V8" s="8">
        <v>80000</v>
      </c>
      <c r="W8" s="8">
        <f t="shared" ref="W8:Z10" si="8">V8*1.05</f>
        <v>84000</v>
      </c>
      <c r="X8" s="8">
        <f t="shared" si="8"/>
        <v>88200</v>
      </c>
      <c r="Y8" s="8">
        <f t="shared" si="8"/>
        <v>92610</v>
      </c>
      <c r="Z8" s="8">
        <f t="shared" si="8"/>
        <v>97240.5</v>
      </c>
    </row>
    <row r="9" spans="1:31" x14ac:dyDescent="0.2">
      <c r="A9" s="1"/>
      <c r="B9" s="8" t="s">
        <v>107</v>
      </c>
      <c r="V9" s="8">
        <v>100000</v>
      </c>
      <c r="W9" s="8">
        <f t="shared" si="8"/>
        <v>105000</v>
      </c>
      <c r="X9" s="8">
        <f t="shared" si="8"/>
        <v>110250</v>
      </c>
      <c r="Y9" s="8">
        <f t="shared" si="8"/>
        <v>115762.5</v>
      </c>
      <c r="Z9" s="8">
        <f t="shared" si="8"/>
        <v>121550.625</v>
      </c>
    </row>
    <row r="10" spans="1:31" x14ac:dyDescent="0.2">
      <c r="A10" s="1"/>
      <c r="B10" s="8" t="s">
        <v>106</v>
      </c>
      <c r="V10" s="8">
        <v>16000</v>
      </c>
      <c r="W10" s="8">
        <f t="shared" si="8"/>
        <v>16800</v>
      </c>
      <c r="X10" s="8">
        <f t="shared" si="8"/>
        <v>17640</v>
      </c>
      <c r="Y10" s="8">
        <f t="shared" si="8"/>
        <v>18522</v>
      </c>
      <c r="Z10" s="8">
        <f t="shared" si="8"/>
        <v>19448.100000000002</v>
      </c>
    </row>
    <row r="11" spans="1:31" x14ac:dyDescent="0.2">
      <c r="A11" s="1"/>
      <c r="B11" s="8" t="s">
        <v>105</v>
      </c>
      <c r="J11" s="8">
        <v>500</v>
      </c>
      <c r="S11" s="13" t="e">
        <f>S20/S6</f>
        <v>#DIV/0!</v>
      </c>
      <c r="T11" s="13" t="e">
        <f>T20/T6</f>
        <v>#DIV/0!</v>
      </c>
      <c r="U11" s="13" t="e">
        <f>U20/U6</f>
        <v>#DIV/0!</v>
      </c>
      <c r="V11" s="13">
        <f>V20/V6</f>
        <v>0.12915129151291513</v>
      </c>
      <c r="W11" s="13">
        <f t="shared" ref="W11:Z11" si="9">W20/W6</f>
        <v>0.14760147601476015</v>
      </c>
      <c r="X11" s="13">
        <f t="shared" si="9"/>
        <v>0.16868740115972589</v>
      </c>
      <c r="Y11" s="13">
        <f t="shared" si="9"/>
        <v>0.19278560132540101</v>
      </c>
      <c r="Z11" s="13">
        <f t="shared" si="9"/>
        <v>0.22032640151474403</v>
      </c>
    </row>
    <row r="12" spans="1:31" x14ac:dyDescent="0.2">
      <c r="A12" s="1"/>
      <c r="J12" s="13">
        <f>J11/I15</f>
        <v>4.3859649122807015E-2</v>
      </c>
    </row>
    <row r="13" spans="1:31" x14ac:dyDescent="0.2">
      <c r="A13" s="1"/>
      <c r="B13" s="8" t="s">
        <v>110</v>
      </c>
      <c r="I13" s="13">
        <f>I20/I15</f>
        <v>0.40350877192982454</v>
      </c>
      <c r="T13" s="13">
        <f>T20/T14</f>
        <v>0.11530153846153847</v>
      </c>
      <c r="U13" s="13">
        <f>U20/U14</f>
        <v>0.12752583237657864</v>
      </c>
      <c r="V13" s="13">
        <f t="shared" ref="V13:Z13" si="10">V20/V14</f>
        <v>0.15455268038505696</v>
      </c>
      <c r="W13" s="13">
        <f t="shared" si="10"/>
        <v>0.1426640126631295</v>
      </c>
      <c r="X13" s="13">
        <f t="shared" si="10"/>
        <v>0.13168985784288875</v>
      </c>
      <c r="Y13" s="13">
        <f t="shared" si="10"/>
        <v>0.12155986877805117</v>
      </c>
      <c r="Z13" s="13">
        <f t="shared" si="10"/>
        <v>0.11220910964127799</v>
      </c>
    </row>
    <row r="14" spans="1:31" x14ac:dyDescent="0.2">
      <c r="A14" s="1"/>
      <c r="B14" s="8" t="s">
        <v>84</v>
      </c>
      <c r="I14" s="13"/>
      <c r="T14" s="8">
        <v>130000</v>
      </c>
      <c r="U14" s="8">
        <f>T14*1.34</f>
        <v>174200</v>
      </c>
      <c r="V14" s="8">
        <f>U14*1.3</f>
        <v>226460</v>
      </c>
      <c r="W14" s="8">
        <f t="shared" ref="W14:Z14" si="11">V14*1.3</f>
        <v>294398</v>
      </c>
      <c r="X14" s="8">
        <f t="shared" si="11"/>
        <v>382717.4</v>
      </c>
      <c r="Y14" s="8">
        <f t="shared" si="11"/>
        <v>497532.62000000005</v>
      </c>
      <c r="Z14" s="8">
        <f t="shared" si="11"/>
        <v>646792.40600000008</v>
      </c>
    </row>
    <row r="15" spans="1:31" x14ac:dyDescent="0.2">
      <c r="A15" s="1"/>
      <c r="B15" s="8" t="s">
        <v>85</v>
      </c>
      <c r="I15" s="8">
        <v>11400</v>
      </c>
    </row>
    <row r="16" spans="1:31" x14ac:dyDescent="0.2">
      <c r="A16" s="1"/>
      <c r="B16" s="8" t="s">
        <v>87</v>
      </c>
    </row>
    <row r="17" spans="1:26" x14ac:dyDescent="0.2">
      <c r="A17" s="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"/>
      <c r="B18" s="8" t="s">
        <v>89</v>
      </c>
      <c r="E18" s="8">
        <f>I18*0.97</f>
        <v>1843</v>
      </c>
      <c r="H18" s="8">
        <f>H20*0.25</f>
        <v>1419.5</v>
      </c>
      <c r="I18" s="8">
        <v>1900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1"/>
      <c r="I19" s="13"/>
      <c r="P19" s="9"/>
      <c r="Q19" s="9"/>
      <c r="R19" s="9"/>
      <c r="S19" s="9"/>
      <c r="T19" s="9"/>
      <c r="U19" s="9"/>
      <c r="V19" s="9"/>
    </row>
    <row r="20" spans="1:26" s="19" customFormat="1" ht="15" x14ac:dyDescent="0.25">
      <c r="A20" s="2"/>
      <c r="B20" s="19" t="s">
        <v>112</v>
      </c>
      <c r="C20" s="19">
        <v>2119.6</v>
      </c>
      <c r="D20" s="19">
        <v>3664.9</v>
      </c>
      <c r="E20" s="19">
        <v>3850</v>
      </c>
      <c r="F20" s="19">
        <v>5308.2</v>
      </c>
      <c r="G20" s="19">
        <v>5937</v>
      </c>
      <c r="H20" s="19">
        <v>5678</v>
      </c>
      <c r="I20" s="19">
        <v>4600</v>
      </c>
      <c r="J20" s="19">
        <v>6000</v>
      </c>
      <c r="K20" s="19">
        <f>J20*1.2</f>
        <v>7200</v>
      </c>
      <c r="L20" s="19">
        <f>K20*1.03</f>
        <v>7416</v>
      </c>
      <c r="M20" s="19">
        <f>L20*1.03</f>
        <v>7638.4800000000005</v>
      </c>
      <c r="N20" s="19">
        <f>M20*1.4</f>
        <v>10693.871999999999</v>
      </c>
      <c r="O20" s="19">
        <f>SUM(K20:N20)</f>
        <v>32948.351999999999</v>
      </c>
      <c r="P20" s="19">
        <v>3339.3</v>
      </c>
      <c r="Q20" s="19">
        <v>3557.4</v>
      </c>
      <c r="R20" s="19">
        <v>5196.1000000000004</v>
      </c>
      <c r="S20" s="19">
        <v>7123.4</v>
      </c>
      <c r="T20" s="19">
        <v>14989.2</v>
      </c>
      <c r="U20" s="19">
        <f>SUM(G20:J20)</f>
        <v>22215</v>
      </c>
      <c r="V20" s="19">
        <v>35000</v>
      </c>
      <c r="W20" s="19">
        <f>V20*1.2</f>
        <v>42000</v>
      </c>
      <c r="X20" s="19">
        <f t="shared" ref="X20:Z20" si="12">W20*1.2</f>
        <v>50400</v>
      </c>
      <c r="Y20" s="19">
        <f t="shared" si="12"/>
        <v>60480</v>
      </c>
      <c r="Z20" s="19">
        <f t="shared" si="12"/>
        <v>72576</v>
      </c>
    </row>
    <row r="21" spans="1:26" s="2" customFormat="1" ht="15" x14ac:dyDescent="0.25">
      <c r="B21" s="19" t="s">
        <v>113</v>
      </c>
      <c r="V21" s="19">
        <v>4000</v>
      </c>
      <c r="W21" s="19">
        <v>4000</v>
      </c>
      <c r="X21" s="19">
        <v>4000</v>
      </c>
      <c r="Y21" s="19">
        <v>4000</v>
      </c>
      <c r="Z21" s="19">
        <v>4000</v>
      </c>
    </row>
    <row r="22" spans="1:26" s="2" customFormat="1" ht="15" x14ac:dyDescent="0.25">
      <c r="B22" s="2" t="s">
        <v>7</v>
      </c>
      <c r="V22" s="2">
        <f>SUM(V20:V21)</f>
        <v>39000</v>
      </c>
      <c r="W22" s="2">
        <f t="shared" ref="W22:Z22" si="13">SUM(W20:W21)</f>
        <v>46000</v>
      </c>
      <c r="X22" s="2">
        <f t="shared" si="13"/>
        <v>54400</v>
      </c>
      <c r="Y22" s="2">
        <f t="shared" si="13"/>
        <v>64480</v>
      </c>
      <c r="Z22" s="2">
        <f t="shared" si="13"/>
        <v>76576</v>
      </c>
    </row>
    <row r="23" spans="1:26" x14ac:dyDescent="0.2">
      <c r="B23" s="8" t="s">
        <v>21</v>
      </c>
      <c r="C23" s="8">
        <v>353.6</v>
      </c>
      <c r="D23" s="8">
        <v>3100.6</v>
      </c>
      <c r="E23" s="8">
        <v>3252.7</v>
      </c>
      <c r="F23" s="8">
        <v>4711.8999999999996</v>
      </c>
      <c r="G23" s="8">
        <v>5161.6000000000004</v>
      </c>
      <c r="H23" s="8">
        <v>5007.8999999999996</v>
      </c>
      <c r="I23" s="8">
        <v>4159</v>
      </c>
      <c r="J23" s="8">
        <f t="shared" ref="J23:L23" si="14">J20*(1-J42)</f>
        <v>5280</v>
      </c>
      <c r="K23" s="8">
        <f t="shared" si="14"/>
        <v>6336</v>
      </c>
      <c r="L23" s="8">
        <f t="shared" si="14"/>
        <v>6526.08</v>
      </c>
      <c r="M23" s="8">
        <f t="shared" ref="M23:N23" si="15">M20*(1-M42)</f>
        <v>6721.8624000000009</v>
      </c>
      <c r="N23" s="8">
        <f t="shared" si="15"/>
        <v>9410.60736</v>
      </c>
      <c r="P23" s="8">
        <v>2813.1</v>
      </c>
      <c r="Q23" s="8">
        <v>3022.9</v>
      </c>
      <c r="R23" s="8">
        <v>4396.1000000000004</v>
      </c>
      <c r="S23" s="8">
        <v>5840.4</v>
      </c>
      <c r="T23" s="8">
        <v>12927.8</v>
      </c>
      <c r="U23" s="8">
        <f>SUM(G23:J23)</f>
        <v>19608.5</v>
      </c>
      <c r="V23" s="8">
        <f>V22*(1-V42)</f>
        <v>34320</v>
      </c>
      <c r="W23" s="8">
        <f t="shared" ref="W23:Z23" si="16">W22*(1-W42)</f>
        <v>40314.400000000001</v>
      </c>
      <c r="X23" s="8">
        <f t="shared" si="16"/>
        <v>47474.444800000005</v>
      </c>
      <c r="Y23" s="8">
        <f t="shared" si="16"/>
        <v>56024.915564800001</v>
      </c>
      <c r="Z23" s="8">
        <f t="shared" si="16"/>
        <v>66233.56448385281</v>
      </c>
    </row>
    <row r="24" spans="1:26" x14ac:dyDescent="0.2">
      <c r="B24" s="8" t="s">
        <v>22</v>
      </c>
      <c r="C24" s="8">
        <f>C20-C23</f>
        <v>1766</v>
      </c>
      <c r="D24" s="8">
        <f t="shared" ref="D24:F24" si="17">D20-D23</f>
        <v>564.30000000000018</v>
      </c>
      <c r="E24" s="8">
        <f t="shared" si="17"/>
        <v>597.30000000000018</v>
      </c>
      <c r="F24" s="8">
        <f t="shared" si="17"/>
        <v>596.30000000000018</v>
      </c>
      <c r="G24" s="8">
        <f>G20-G23</f>
        <v>775.39999999999964</v>
      </c>
      <c r="H24" s="8">
        <f>H20-H23</f>
        <v>670.10000000000036</v>
      </c>
      <c r="I24" s="8">
        <f t="shared" ref="I24:L24" si="18">I20-I23</f>
        <v>441</v>
      </c>
      <c r="J24" s="8">
        <f t="shared" si="18"/>
        <v>720</v>
      </c>
      <c r="K24" s="8">
        <f t="shared" si="18"/>
        <v>864</v>
      </c>
      <c r="L24" s="8">
        <f t="shared" si="18"/>
        <v>889.92000000000007</v>
      </c>
      <c r="M24" s="8">
        <f t="shared" ref="M24:N24" si="19">M20-M23</f>
        <v>916.61759999999958</v>
      </c>
      <c r="N24" s="8">
        <f t="shared" si="19"/>
        <v>1283.2646399999994</v>
      </c>
      <c r="P24" s="8">
        <f t="shared" ref="P24:R24" si="20">P20-P23</f>
        <v>526.20000000000027</v>
      </c>
      <c r="Q24" s="8">
        <f t="shared" si="20"/>
        <v>534.5</v>
      </c>
      <c r="R24" s="8">
        <f t="shared" si="20"/>
        <v>800</v>
      </c>
      <c r="S24" s="8">
        <f t="shared" ref="S24:T24" si="21">S20-S23</f>
        <v>1283</v>
      </c>
      <c r="T24" s="8">
        <f t="shared" si="21"/>
        <v>2061.4000000000015</v>
      </c>
      <c r="U24" s="8">
        <f t="shared" ref="U24:V24" si="22">U20-U23</f>
        <v>2606.5</v>
      </c>
      <c r="V24" s="8">
        <f>V22-V23</f>
        <v>4680</v>
      </c>
      <c r="W24" s="8">
        <f t="shared" ref="W24:Z24" si="23">W22-W23</f>
        <v>5685.5999999999985</v>
      </c>
      <c r="X24" s="8">
        <f t="shared" si="23"/>
        <v>6925.5551999999952</v>
      </c>
      <c r="Y24" s="8">
        <f t="shared" si="23"/>
        <v>8455.0844351999986</v>
      </c>
      <c r="Z24" s="8">
        <f t="shared" si="23"/>
        <v>10342.43551614719</v>
      </c>
    </row>
    <row r="25" spans="1:26" x14ac:dyDescent="0.2">
      <c r="B25" s="8" t="s">
        <v>11</v>
      </c>
      <c r="C25" s="8">
        <v>111</v>
      </c>
      <c r="D25" s="8">
        <v>108.8</v>
      </c>
      <c r="E25" s="8">
        <v>116.2</v>
      </c>
      <c r="F25" s="8">
        <v>126.9</v>
      </c>
      <c r="G25" s="8">
        <v>132.19999999999999</v>
      </c>
      <c r="H25" s="8">
        <v>158.19999999999999</v>
      </c>
      <c r="I25" s="8">
        <v>162.9</v>
      </c>
      <c r="J25" s="8">
        <f>I25*(1+J39)</f>
        <v>212.47826086956522</v>
      </c>
      <c r="K25" s="8">
        <f t="shared" ref="K25:L25" si="24">J25*1.01</f>
        <v>214.60304347826087</v>
      </c>
      <c r="L25" s="8">
        <f t="shared" si="24"/>
        <v>216.74907391304347</v>
      </c>
      <c r="M25" s="8">
        <f t="shared" ref="M25" si="25">L25*1.01</f>
        <v>218.91656465217392</v>
      </c>
      <c r="N25" s="8">
        <f t="shared" ref="N25" si="26">M25*1.01</f>
        <v>221.10573029869565</v>
      </c>
      <c r="P25" s="8">
        <v>221.5</v>
      </c>
      <c r="Q25" s="8">
        <v>224.4</v>
      </c>
      <c r="R25" s="8">
        <v>272.3</v>
      </c>
      <c r="S25" s="8">
        <v>307.26</v>
      </c>
      <c r="T25" s="8">
        <v>463.5</v>
      </c>
      <c r="U25" s="8">
        <f>SUM(G25:J25)</f>
        <v>665.7782608695652</v>
      </c>
      <c r="V25" s="8">
        <f t="shared" ref="V25:Z25" si="27">U25*(1+V38)</f>
        <v>1168.8207145583185</v>
      </c>
      <c r="W25" s="8">
        <f t="shared" si="27"/>
        <v>1378.6090479405809</v>
      </c>
      <c r="X25" s="8">
        <f t="shared" si="27"/>
        <v>1630.3550479992957</v>
      </c>
      <c r="Y25" s="8">
        <f t="shared" si="27"/>
        <v>1932.4502480697536</v>
      </c>
      <c r="Z25" s="8">
        <f t="shared" si="27"/>
        <v>2294.9644881543027</v>
      </c>
    </row>
    <row r="26" spans="1:26" x14ac:dyDescent="0.2">
      <c r="B26" s="8" t="s">
        <v>24</v>
      </c>
      <c r="C26" s="8">
        <v>37.200000000000003</v>
      </c>
      <c r="D26" s="8">
        <v>46.8</v>
      </c>
      <c r="E26" s="8">
        <v>49.7</v>
      </c>
      <c r="F26" s="8">
        <v>55.7</v>
      </c>
      <c r="G26" s="8">
        <v>68.8</v>
      </c>
      <c r="H26" s="8">
        <v>79.5</v>
      </c>
      <c r="I26" s="8">
        <v>60</v>
      </c>
      <c r="J26" s="8">
        <f t="shared" ref="J26:L26" si="28">I26*(1+J39)</f>
        <v>78.260869565217391</v>
      </c>
      <c r="K26" s="8">
        <f t="shared" si="28"/>
        <v>93.91304347826086</v>
      </c>
      <c r="L26" s="8">
        <f t="shared" si="28"/>
        <v>96.730434782608683</v>
      </c>
      <c r="M26" s="8">
        <f t="shared" ref="M26" si="29">L26*(1+M39)</f>
        <v>99.632347826086942</v>
      </c>
      <c r="N26" s="8">
        <f t="shared" ref="N26" si="30">M26*(1+N39)</f>
        <v>139.48528695652172</v>
      </c>
      <c r="P26" s="8">
        <v>85.1</v>
      </c>
      <c r="Q26" s="8">
        <v>85.7</v>
      </c>
      <c r="R26" s="8">
        <v>90.1</v>
      </c>
      <c r="S26" s="8">
        <v>115</v>
      </c>
      <c r="T26" s="8">
        <v>189.7</v>
      </c>
      <c r="U26" s="8">
        <f>SUM(G26:J26)</f>
        <v>286.56086956521739</v>
      </c>
      <c r="V26" s="8">
        <f t="shared" ref="V26:Z26" si="31">U26*(1+V38)</f>
        <v>503.07782638053021</v>
      </c>
      <c r="W26" s="8">
        <f t="shared" si="31"/>
        <v>593.37384650011256</v>
      </c>
      <c r="X26" s="8">
        <f t="shared" si="31"/>
        <v>701.72907064361141</v>
      </c>
      <c r="Y26" s="8">
        <f t="shared" si="31"/>
        <v>831.75533961581004</v>
      </c>
      <c r="Z26" s="8">
        <f t="shared" si="31"/>
        <v>987.78686238244836</v>
      </c>
    </row>
    <row r="27" spans="1:26" x14ac:dyDescent="0.2">
      <c r="B27" s="8" t="s">
        <v>25</v>
      </c>
      <c r="C27" s="8">
        <v>33.9</v>
      </c>
      <c r="D27" s="8">
        <v>37.200000000000003</v>
      </c>
      <c r="E27" s="8">
        <v>53.1</v>
      </c>
      <c r="F27" s="8">
        <v>70.400000000000006</v>
      </c>
      <c r="G27" s="8">
        <v>65.2</v>
      </c>
      <c r="H27" s="8">
        <v>63.6</v>
      </c>
      <c r="I27" s="8">
        <v>70.599999999999994</v>
      </c>
      <c r="J27" s="8">
        <f t="shared" ref="J27:L27" si="32">I27*(1+J39)</f>
        <v>92.086956521739125</v>
      </c>
      <c r="K27" s="8">
        <f t="shared" si="32"/>
        <v>110.50434782608694</v>
      </c>
      <c r="L27" s="8">
        <f t="shared" si="32"/>
        <v>113.81947826086956</v>
      </c>
      <c r="M27" s="8">
        <f t="shared" ref="M27" si="33">L27*(1+M39)</f>
        <v>117.23406260869565</v>
      </c>
      <c r="N27" s="8">
        <f t="shared" ref="N27" si="34">M27*(1+N39)</f>
        <v>164.1276876521739</v>
      </c>
      <c r="P27" s="8">
        <v>134</v>
      </c>
      <c r="Q27" s="8">
        <v>100.5</v>
      </c>
      <c r="R27" s="8">
        <v>102.4</v>
      </c>
      <c r="S27" s="8">
        <v>99.5</v>
      </c>
      <c r="T27" s="8">
        <v>197.3</v>
      </c>
      <c r="U27" s="8">
        <f>SUM(G27:J27)</f>
        <v>291.4869565217391</v>
      </c>
      <c r="V27" s="8">
        <f t="shared" ref="V27:Z27" si="35">U27*(1+V38)</f>
        <v>511.7259196195285</v>
      </c>
      <c r="W27" s="8">
        <f t="shared" si="35"/>
        <v>603.5741616025208</v>
      </c>
      <c r="X27" s="8">
        <f t="shared" si="35"/>
        <v>713.79205198211162</v>
      </c>
      <c r="Y27" s="8">
        <f t="shared" si="35"/>
        <v>846.05352043762059</v>
      </c>
      <c r="Z27" s="8">
        <f t="shared" si="35"/>
        <v>1004.7672825842312</v>
      </c>
    </row>
    <row r="28" spans="1:26" x14ac:dyDescent="0.2">
      <c r="B28" s="8" t="s">
        <v>26</v>
      </c>
      <c r="C28" s="8">
        <f>SUM(C25:C27)</f>
        <v>182.1</v>
      </c>
      <c r="D28" s="8">
        <f t="shared" ref="D28:F28" si="36">SUM(D25:D27)</f>
        <v>192.8</v>
      </c>
      <c r="E28" s="8">
        <f t="shared" si="36"/>
        <v>219</v>
      </c>
      <c r="F28" s="8">
        <f t="shared" si="36"/>
        <v>253.00000000000003</v>
      </c>
      <c r="G28" s="8">
        <f>SUM(G25:G27)</f>
        <v>266.2</v>
      </c>
      <c r="H28" s="8">
        <f>SUM(H25:H27)</f>
        <v>301.3</v>
      </c>
      <c r="I28" s="8">
        <f t="shared" ref="I28:L28" si="37">SUM(I25:I27)</f>
        <v>293.5</v>
      </c>
      <c r="J28" s="8">
        <f t="shared" si="37"/>
        <v>382.82608695652175</v>
      </c>
      <c r="K28" s="8">
        <f t="shared" si="37"/>
        <v>419.02043478260867</v>
      </c>
      <c r="L28" s="8">
        <f t="shared" si="37"/>
        <v>427.29898695652173</v>
      </c>
      <c r="M28" s="8">
        <f t="shared" ref="M28:N28" si="38">SUM(M25:M27)</f>
        <v>435.78297508695647</v>
      </c>
      <c r="N28" s="8">
        <f t="shared" si="38"/>
        <v>524.71870490739127</v>
      </c>
      <c r="P28" s="8">
        <f t="shared" ref="P28:R28" si="39">SUM(P25:P27)</f>
        <v>440.6</v>
      </c>
      <c r="Q28" s="8">
        <f t="shared" si="39"/>
        <v>410.6</v>
      </c>
      <c r="R28" s="8">
        <f t="shared" si="39"/>
        <v>464.79999999999995</v>
      </c>
      <c r="S28" s="8">
        <f t="shared" ref="S28:T28" si="40">SUM(S25:S27)</f>
        <v>521.76</v>
      </c>
      <c r="T28" s="8">
        <f t="shared" si="40"/>
        <v>850.5</v>
      </c>
      <c r="U28" s="8">
        <f t="shared" ref="U28:Y28" si="41">SUM(U25:U27)</f>
        <v>1243.8260869565217</v>
      </c>
      <c r="V28" s="8">
        <f t="shared" si="41"/>
        <v>2183.6244605583775</v>
      </c>
      <c r="W28" s="8">
        <f t="shared" si="41"/>
        <v>2575.5570560432143</v>
      </c>
      <c r="X28" s="8">
        <f t="shared" si="41"/>
        <v>3045.8761706250189</v>
      </c>
      <c r="Y28" s="8">
        <f t="shared" si="41"/>
        <v>3610.2591081231844</v>
      </c>
      <c r="Z28" s="8">
        <f t="shared" ref="Z28" si="42">SUM(Z25:Z27)</f>
        <v>4287.5186331209825</v>
      </c>
    </row>
    <row r="29" spans="1:26" s="2" customFormat="1" ht="15" x14ac:dyDescent="0.25">
      <c r="B29" s="2" t="s">
        <v>27</v>
      </c>
      <c r="C29" s="2">
        <f>C24-C28</f>
        <v>1583.9</v>
      </c>
      <c r="D29" s="2">
        <f t="shared" ref="D29:F29" si="43">D24-D28</f>
        <v>371.50000000000017</v>
      </c>
      <c r="E29" s="2">
        <f t="shared" si="43"/>
        <v>378.30000000000018</v>
      </c>
      <c r="F29" s="2">
        <f t="shared" si="43"/>
        <v>343.30000000000018</v>
      </c>
      <c r="G29" s="2">
        <f>G24-G28</f>
        <v>509.19999999999965</v>
      </c>
      <c r="H29" s="2">
        <f>H24-H28</f>
        <v>368.80000000000035</v>
      </c>
      <c r="I29" s="2">
        <f t="shared" ref="I29:L29" si="44">I24-I28</f>
        <v>147.5</v>
      </c>
      <c r="J29" s="2">
        <f t="shared" si="44"/>
        <v>337.17391304347825</v>
      </c>
      <c r="K29" s="2">
        <f t="shared" si="44"/>
        <v>444.97956521739133</v>
      </c>
      <c r="L29" s="2">
        <f t="shared" si="44"/>
        <v>462.62101304347834</v>
      </c>
      <c r="M29" s="2">
        <f t="shared" ref="M29:N29" si="45">M24-M28</f>
        <v>480.83462491304311</v>
      </c>
      <c r="N29" s="2">
        <f t="shared" si="45"/>
        <v>758.54593509260815</v>
      </c>
      <c r="P29" s="2">
        <f t="shared" ref="P29:R29" si="46">P24-P28</f>
        <v>85.60000000000025</v>
      </c>
      <c r="Q29" s="2">
        <f t="shared" si="46"/>
        <v>123.89999999999998</v>
      </c>
      <c r="R29" s="2">
        <f t="shared" si="46"/>
        <v>335.20000000000005</v>
      </c>
      <c r="S29" s="2">
        <f t="shared" ref="S29:T29" si="47">S24-S28</f>
        <v>761.24</v>
      </c>
      <c r="T29" s="2">
        <f t="shared" si="47"/>
        <v>1210.9000000000015</v>
      </c>
      <c r="U29" s="2">
        <f t="shared" ref="U29:V29" si="48">U24-U28</f>
        <v>1362.6739130434783</v>
      </c>
      <c r="V29" s="2">
        <f t="shared" si="48"/>
        <v>2496.3755394416225</v>
      </c>
      <c r="W29" s="2">
        <f t="shared" ref="W29" si="49">W24-W28</f>
        <v>3110.0429439567843</v>
      </c>
      <c r="X29" s="2">
        <f t="shared" ref="X29" si="50">X24-X28</f>
        <v>3879.6790293749764</v>
      </c>
      <c r="Y29" s="2">
        <f t="shared" ref="Y29:Z29" si="51">Y24-Y28</f>
        <v>4844.8253270768146</v>
      </c>
      <c r="Z29" s="2">
        <f t="shared" si="51"/>
        <v>6054.9168830262079</v>
      </c>
    </row>
    <row r="30" spans="1:26" x14ac:dyDescent="0.2">
      <c r="B30" s="8" t="s">
        <v>32</v>
      </c>
      <c r="C30" s="8">
        <v>6.6</v>
      </c>
      <c r="D30" s="8">
        <v>-8</v>
      </c>
      <c r="E30" s="8">
        <v>10</v>
      </c>
      <c r="F30" s="8">
        <v>14</v>
      </c>
      <c r="G30" s="8">
        <v>7.2</v>
      </c>
      <c r="H30" s="8">
        <v>12.9</v>
      </c>
      <c r="I30" s="8">
        <v>-18.3</v>
      </c>
      <c r="P30" s="8">
        <v>1.4</v>
      </c>
      <c r="Q30" s="8">
        <v>-2.8</v>
      </c>
      <c r="R30" s="8">
        <v>8.1</v>
      </c>
      <c r="T30" s="8">
        <v>22.7</v>
      </c>
      <c r="U30" s="8">
        <f>SUM(G30:J30)</f>
        <v>1.8000000000000007</v>
      </c>
    </row>
    <row r="31" spans="1:26" x14ac:dyDescent="0.2">
      <c r="B31" s="8" t="s">
        <v>28</v>
      </c>
      <c r="C31" s="8">
        <v>-1.8</v>
      </c>
      <c r="D31" s="8">
        <v>-8</v>
      </c>
      <c r="E31" s="8">
        <v>-6.3</v>
      </c>
      <c r="F31" s="8">
        <v>-3.1</v>
      </c>
      <c r="G31" s="8">
        <v>-17.3</v>
      </c>
      <c r="H31" s="8">
        <v>-6.5</v>
      </c>
      <c r="I31" s="8">
        <v>-13.4</v>
      </c>
      <c r="J31" s="8">
        <f>I46*$AC$38/4</f>
        <v>-1.2270000000000028</v>
      </c>
      <c r="K31" s="8">
        <f>J46*$AC$38/4</f>
        <v>3.0563231413043455</v>
      </c>
      <c r="L31" s="8">
        <f>K46*$AC$38/4</f>
        <v>8.768780717877716</v>
      </c>
      <c r="M31" s="8">
        <f>L46*$AC$38/4</f>
        <v>14.779000588335006</v>
      </c>
      <c r="N31" s="8">
        <f>M46*$AC$38/4</f>
        <v>21.098074313477575</v>
      </c>
      <c r="P31" s="8">
        <v>-2.2000000000000002</v>
      </c>
      <c r="Q31" s="8">
        <v>-2.5</v>
      </c>
      <c r="R31" s="8">
        <v>-6.4</v>
      </c>
      <c r="T31" s="8">
        <v>-19.350000000000001</v>
      </c>
      <c r="U31" s="8">
        <f>SUM(G31:J31)</f>
        <v>-38.427000000000007</v>
      </c>
      <c r="V31" s="8">
        <f>U46*$AC$38</f>
        <v>12.225292565217382</v>
      </c>
      <c r="W31" s="8">
        <f>V46*$AC$38</f>
        <v>134.28266133599328</v>
      </c>
      <c r="X31" s="8">
        <f>W46*$AC$38</f>
        <v>293.48770809245258</v>
      </c>
      <c r="Y31" s="8">
        <f>X46*$AC$38</f>
        <v>499.64937140562364</v>
      </c>
      <c r="Z31" s="8">
        <f>Y46*$AC$38</f>
        <v>765.08684458589414</v>
      </c>
    </row>
    <row r="32" spans="1:26" x14ac:dyDescent="0.2">
      <c r="B32" s="8" t="s">
        <v>29</v>
      </c>
      <c r="C32" s="8">
        <f>C29+SUM(C30:C31)</f>
        <v>1588.7</v>
      </c>
      <c r="D32" s="8">
        <f t="shared" ref="D32:F32" si="52">D29+SUM(D30:D31)</f>
        <v>355.50000000000017</v>
      </c>
      <c r="E32" s="8">
        <f t="shared" si="52"/>
        <v>382.00000000000017</v>
      </c>
      <c r="F32" s="8">
        <f t="shared" si="52"/>
        <v>354.20000000000016</v>
      </c>
      <c r="G32" s="8">
        <f>G29+SUM(G30:G31)</f>
        <v>499.09999999999962</v>
      </c>
      <c r="H32" s="8">
        <f>H29+SUM(H30:H31)</f>
        <v>375.20000000000033</v>
      </c>
      <c r="I32" s="8">
        <f t="shared" ref="I32:L32" si="53">I29+SUM(I30:I31)</f>
        <v>115.8</v>
      </c>
      <c r="J32" s="8">
        <f t="shared" si="53"/>
        <v>335.94691304347828</v>
      </c>
      <c r="K32" s="8">
        <f t="shared" si="53"/>
        <v>448.03588835869567</v>
      </c>
      <c r="L32" s="8">
        <f t="shared" si="53"/>
        <v>471.38979376135603</v>
      </c>
      <c r="M32" s="8">
        <f t="shared" ref="M32:N32" si="54">M29+SUM(M30:M31)</f>
        <v>495.61362550137812</v>
      </c>
      <c r="N32" s="8">
        <f t="shared" si="54"/>
        <v>779.64400940608573</v>
      </c>
      <c r="P32" s="8">
        <f t="shared" ref="P32:R32" si="55">P29+SUM(P30:P31)</f>
        <v>84.800000000000253</v>
      </c>
      <c r="Q32" s="8">
        <f t="shared" si="55"/>
        <v>118.59999999999998</v>
      </c>
      <c r="R32" s="8">
        <f t="shared" si="55"/>
        <v>336.90000000000003</v>
      </c>
      <c r="S32" s="8">
        <f t="shared" ref="S32:T32" si="56">S29+SUM(S30:S31)</f>
        <v>761.24</v>
      </c>
      <c r="T32" s="8">
        <f t="shared" si="56"/>
        <v>1214.2500000000014</v>
      </c>
      <c r="U32" s="8">
        <f t="shared" ref="U32:V32" si="57">U29+SUM(U30:U31)</f>
        <v>1326.0469130434783</v>
      </c>
      <c r="V32" s="8">
        <f t="shared" si="57"/>
        <v>2508.6008320068399</v>
      </c>
      <c r="W32" s="8">
        <f t="shared" ref="W32" si="58">W29+SUM(W30:W31)</f>
        <v>3244.3256052927777</v>
      </c>
      <c r="X32" s="8">
        <f t="shared" ref="X32" si="59">X29+SUM(X30:X31)</f>
        <v>4173.1667374674289</v>
      </c>
      <c r="Y32" s="8">
        <f t="shared" ref="Y32:Z32" si="60">Y29+SUM(Y30:Y31)</f>
        <v>5344.4746984824378</v>
      </c>
      <c r="Z32" s="8">
        <f t="shared" si="60"/>
        <v>6820.003727612102</v>
      </c>
    </row>
    <row r="33" spans="2:92" x14ac:dyDescent="0.2">
      <c r="B33" s="8" t="s">
        <v>30</v>
      </c>
      <c r="C33" s="8">
        <v>20.2</v>
      </c>
      <c r="D33" s="8">
        <v>-61.5</v>
      </c>
      <c r="E33" s="8">
        <v>-20</v>
      </c>
      <c r="F33" s="8">
        <v>1</v>
      </c>
      <c r="G33" s="8">
        <v>74.7</v>
      </c>
      <c r="H33" s="8">
        <v>56.9</v>
      </c>
      <c r="I33" s="8">
        <v>5.8</v>
      </c>
      <c r="J33" s="8">
        <f>J32*J40</f>
        <v>50.392036956521743</v>
      </c>
      <c r="K33" s="8">
        <f t="shared" ref="K33:N33" si="61">K32*K40</f>
        <v>67.205383253804342</v>
      </c>
      <c r="L33" s="8">
        <f t="shared" si="61"/>
        <v>70.708469064203399</v>
      </c>
      <c r="M33" s="8">
        <f t="shared" si="61"/>
        <v>74.342043825206716</v>
      </c>
      <c r="N33" s="8">
        <f t="shared" si="61"/>
        <v>116.94660141091285</v>
      </c>
      <c r="P33" s="8">
        <v>2.9</v>
      </c>
      <c r="Q33" s="8">
        <v>6.9</v>
      </c>
      <c r="R33" s="8">
        <v>52.9</v>
      </c>
      <c r="S33" s="8">
        <v>110.6</v>
      </c>
      <c r="T33" s="8">
        <v>63.3</v>
      </c>
      <c r="U33" s="8">
        <f>SUM(G33:J33)</f>
        <v>187.79203695652174</v>
      </c>
      <c r="V33" s="8">
        <f t="shared" ref="V33:Z33" si="62">V40*V29</f>
        <v>474.31135249390832</v>
      </c>
      <c r="W33" s="8">
        <f t="shared" si="62"/>
        <v>590.90815935178898</v>
      </c>
      <c r="X33" s="8">
        <f t="shared" si="62"/>
        <v>737.13901558124553</v>
      </c>
      <c r="Y33" s="8">
        <f t="shared" si="62"/>
        <v>920.51681214459472</v>
      </c>
      <c r="Z33" s="8">
        <f t="shared" si="62"/>
        <v>1150.4342077749795</v>
      </c>
    </row>
    <row r="34" spans="2:92" ht="15" x14ac:dyDescent="0.25">
      <c r="B34" s="2" t="s">
        <v>8</v>
      </c>
      <c r="C34" s="2">
        <f>C32-C33</f>
        <v>1568.5</v>
      </c>
      <c r="D34" s="2">
        <f t="shared" ref="D34:F34" si="63">D32-D33</f>
        <v>417.00000000000017</v>
      </c>
      <c r="E34" s="2">
        <f t="shared" si="63"/>
        <v>402.00000000000017</v>
      </c>
      <c r="F34" s="2">
        <f t="shared" si="63"/>
        <v>353.20000000000016</v>
      </c>
      <c r="G34" s="2">
        <f>G32-G33</f>
        <v>424.39999999999964</v>
      </c>
      <c r="H34" s="2">
        <f>H32-H33</f>
        <v>318.30000000000035</v>
      </c>
      <c r="I34" s="2">
        <f>I32-I33</f>
        <v>110</v>
      </c>
      <c r="J34" s="2">
        <f>J32-J33</f>
        <v>285.55487608695654</v>
      </c>
      <c r="K34" s="2">
        <f t="shared" ref="K34:L34" si="64">K32-K33</f>
        <v>380.83050510489136</v>
      </c>
      <c r="L34" s="2">
        <f t="shared" si="64"/>
        <v>400.6813246971526</v>
      </c>
      <c r="M34" s="2">
        <f t="shared" ref="M34:N34" si="65">M32-M33</f>
        <v>421.27158167617142</v>
      </c>
      <c r="N34" s="2">
        <f t="shared" si="65"/>
        <v>662.69740799517285</v>
      </c>
      <c r="O34" s="2"/>
      <c r="P34" s="2">
        <f t="shared" ref="P34:R34" si="66">P32-P33</f>
        <v>81.900000000000247</v>
      </c>
      <c r="Q34" s="2">
        <f t="shared" si="66"/>
        <v>111.69999999999997</v>
      </c>
      <c r="R34" s="2">
        <f t="shared" si="66"/>
        <v>284.00000000000006</v>
      </c>
      <c r="S34" s="2">
        <f t="shared" ref="S34:Y34" si="67">S32-S33</f>
        <v>650.64</v>
      </c>
      <c r="T34" s="2">
        <f t="shared" si="67"/>
        <v>1150.9500000000014</v>
      </c>
      <c r="U34" s="2">
        <f t="shared" si="67"/>
        <v>1138.2548760869565</v>
      </c>
      <c r="V34" s="2">
        <f t="shared" si="67"/>
        <v>2034.2894795129316</v>
      </c>
      <c r="W34" s="2">
        <f t="shared" si="67"/>
        <v>2653.4174459409887</v>
      </c>
      <c r="X34" s="2">
        <f t="shared" si="67"/>
        <v>3436.0277218861834</v>
      </c>
      <c r="Y34" s="2">
        <f t="shared" si="67"/>
        <v>4423.9578863378429</v>
      </c>
      <c r="Z34" s="2">
        <f t="shared" ref="Z34" si="68">Z32-Z33</f>
        <v>5669.5695198371222</v>
      </c>
      <c r="AA34" s="2">
        <f t="shared" ref="AA34:BF34" si="69">Z34*(1+$AC$39)</f>
        <v>5726.2652150354934</v>
      </c>
      <c r="AB34" s="2">
        <f t="shared" si="69"/>
        <v>5783.5278671858487</v>
      </c>
      <c r="AC34" s="2">
        <f t="shared" si="69"/>
        <v>5841.3631458577074</v>
      </c>
      <c r="AD34" s="2">
        <f t="shared" si="69"/>
        <v>5899.7767773162841</v>
      </c>
      <c r="AE34" s="2">
        <f t="shared" si="69"/>
        <v>5958.7745450894472</v>
      </c>
      <c r="AF34" s="2">
        <f t="shared" si="69"/>
        <v>6018.3622905403417</v>
      </c>
      <c r="AG34" s="2">
        <f t="shared" si="69"/>
        <v>6078.5459134457451</v>
      </c>
      <c r="AH34" s="2">
        <f t="shared" si="69"/>
        <v>6139.3313725802027</v>
      </c>
      <c r="AI34" s="2">
        <f t="shared" si="69"/>
        <v>6200.7246863060045</v>
      </c>
      <c r="AJ34" s="2">
        <f t="shared" si="69"/>
        <v>6262.7319331690642</v>
      </c>
      <c r="AK34" s="2">
        <f t="shared" si="69"/>
        <v>6325.3592525007552</v>
      </c>
      <c r="AL34" s="2">
        <f t="shared" si="69"/>
        <v>6388.6128450257629</v>
      </c>
      <c r="AM34" s="2">
        <f t="shared" si="69"/>
        <v>6452.4989734760202</v>
      </c>
      <c r="AN34" s="2">
        <f t="shared" si="69"/>
        <v>6517.0239632107805</v>
      </c>
      <c r="AO34" s="2">
        <f t="shared" si="69"/>
        <v>6582.1942028428884</v>
      </c>
      <c r="AP34" s="2">
        <f t="shared" si="69"/>
        <v>6648.016144871317</v>
      </c>
      <c r="AQ34" s="2">
        <f t="shared" si="69"/>
        <v>6714.4963063200303</v>
      </c>
      <c r="AR34" s="2">
        <f t="shared" si="69"/>
        <v>6781.6412693832308</v>
      </c>
      <c r="AS34" s="2">
        <f t="shared" si="69"/>
        <v>6849.4576820770635</v>
      </c>
      <c r="AT34" s="2">
        <f t="shared" si="69"/>
        <v>6917.9522588978343</v>
      </c>
      <c r="AU34" s="2">
        <f t="shared" si="69"/>
        <v>6987.1317814868125</v>
      </c>
      <c r="AV34" s="2">
        <f t="shared" si="69"/>
        <v>7057.0030993016808</v>
      </c>
      <c r="AW34" s="2">
        <f t="shared" si="69"/>
        <v>7127.5731302946979</v>
      </c>
      <c r="AX34" s="2">
        <f t="shared" si="69"/>
        <v>7198.8488615976448</v>
      </c>
      <c r="AY34" s="2">
        <f t="shared" si="69"/>
        <v>7270.837350213621</v>
      </c>
      <c r="AZ34" s="2">
        <f t="shared" si="69"/>
        <v>7343.545723715757</v>
      </c>
      <c r="BA34" s="2">
        <f t="shared" si="69"/>
        <v>7416.9811809529147</v>
      </c>
      <c r="BB34" s="2">
        <f t="shared" si="69"/>
        <v>7491.1509927624438</v>
      </c>
      <c r="BC34" s="2">
        <f t="shared" si="69"/>
        <v>7566.062502690068</v>
      </c>
      <c r="BD34" s="2">
        <f t="shared" si="69"/>
        <v>7641.7231277169685</v>
      </c>
      <c r="BE34" s="2">
        <f t="shared" si="69"/>
        <v>7718.1403589941383</v>
      </c>
      <c r="BF34" s="2">
        <f t="shared" si="69"/>
        <v>7795.3217625840798</v>
      </c>
      <c r="BG34" s="2">
        <f t="shared" ref="BG34:CN34" si="70">BF34*(1+$AC$39)</f>
        <v>7873.2749802099206</v>
      </c>
      <c r="BH34" s="2">
        <f t="shared" si="70"/>
        <v>7952.0077300120201</v>
      </c>
      <c r="BI34" s="2">
        <f t="shared" si="70"/>
        <v>8031.5278073121408</v>
      </c>
      <c r="BJ34" s="2">
        <f t="shared" si="70"/>
        <v>8111.8430853852624</v>
      </c>
      <c r="BK34" s="2">
        <f t="shared" si="70"/>
        <v>8192.9615162391146</v>
      </c>
      <c r="BL34" s="2">
        <f t="shared" si="70"/>
        <v>8274.8911314015058</v>
      </c>
      <c r="BM34" s="2">
        <f t="shared" si="70"/>
        <v>8357.6400427155204</v>
      </c>
      <c r="BN34" s="2">
        <f t="shared" si="70"/>
        <v>8441.2164431426754</v>
      </c>
      <c r="BO34" s="2">
        <f t="shared" si="70"/>
        <v>8525.6286075741027</v>
      </c>
      <c r="BP34" s="2">
        <f t="shared" si="70"/>
        <v>8610.8848936498434</v>
      </c>
      <c r="BQ34" s="2">
        <f t="shared" si="70"/>
        <v>8696.9937425863427</v>
      </c>
      <c r="BR34" s="2">
        <f t="shared" si="70"/>
        <v>8783.9636800122062</v>
      </c>
      <c r="BS34" s="2">
        <f t="shared" si="70"/>
        <v>8871.8033168123275</v>
      </c>
      <c r="BT34" s="2">
        <f t="shared" si="70"/>
        <v>8960.5213499804504</v>
      </c>
      <c r="BU34" s="2">
        <f t="shared" si="70"/>
        <v>9050.1265634802548</v>
      </c>
      <c r="BV34" s="2">
        <f t="shared" si="70"/>
        <v>9140.6278291150575</v>
      </c>
      <c r="BW34" s="2">
        <f t="shared" si="70"/>
        <v>9232.0341074062089</v>
      </c>
      <c r="BX34" s="2">
        <f t="shared" si="70"/>
        <v>9324.3544484802715</v>
      </c>
      <c r="BY34" s="2">
        <f t="shared" si="70"/>
        <v>9417.5979929650748</v>
      </c>
      <c r="BZ34" s="2">
        <f t="shared" si="70"/>
        <v>9511.7739728947254</v>
      </c>
      <c r="CA34" s="2">
        <f t="shared" si="70"/>
        <v>9606.891712623672</v>
      </c>
      <c r="CB34" s="2">
        <f t="shared" si="70"/>
        <v>9702.9606297499085</v>
      </c>
      <c r="CC34" s="2">
        <f t="shared" si="70"/>
        <v>9799.990236047408</v>
      </c>
      <c r="CD34" s="2">
        <f t="shared" si="70"/>
        <v>9897.9901384078821</v>
      </c>
      <c r="CE34" s="2">
        <f t="shared" si="70"/>
        <v>9996.9700397919605</v>
      </c>
      <c r="CF34" s="2">
        <f t="shared" si="70"/>
        <v>10096.93974018988</v>
      </c>
      <c r="CG34" s="2">
        <f t="shared" si="70"/>
        <v>10197.90913759178</v>
      </c>
      <c r="CH34" s="2">
        <f t="shared" si="70"/>
        <v>10299.888228967697</v>
      </c>
      <c r="CI34" s="2">
        <f t="shared" si="70"/>
        <v>10402.887111257374</v>
      </c>
      <c r="CJ34" s="2">
        <f t="shared" si="70"/>
        <v>10506.915982369948</v>
      </c>
      <c r="CK34" s="2">
        <f t="shared" si="70"/>
        <v>10611.985142193647</v>
      </c>
      <c r="CL34" s="2">
        <f t="shared" si="70"/>
        <v>10718.104993615583</v>
      </c>
      <c r="CM34" s="2">
        <f t="shared" si="70"/>
        <v>10825.28604355174</v>
      </c>
      <c r="CN34" s="2">
        <f t="shared" si="70"/>
        <v>10933.538903987257</v>
      </c>
    </row>
    <row r="35" spans="2:92" x14ac:dyDescent="0.2">
      <c r="B35" s="8" t="s">
        <v>2</v>
      </c>
      <c r="C35" s="8">
        <v>531</v>
      </c>
      <c r="D35" s="8">
        <v>541</v>
      </c>
      <c r="E35" s="8">
        <v>564</v>
      </c>
      <c r="F35" s="8">
        <v>587</v>
      </c>
      <c r="G35" s="8">
        <v>593.48099999999999</v>
      </c>
      <c r="H35" s="8">
        <v>593.48099999999999</v>
      </c>
      <c r="I35" s="8">
        <v>593.48099999999999</v>
      </c>
      <c r="J35" s="8">
        <v>628</v>
      </c>
      <c r="K35" s="8">
        <v>628</v>
      </c>
      <c r="L35" s="8">
        <v>628</v>
      </c>
      <c r="M35" s="8">
        <v>628</v>
      </c>
      <c r="N35" s="8">
        <v>628</v>
      </c>
      <c r="P35" s="8">
        <v>510</v>
      </c>
      <c r="Q35" s="8">
        <v>511</v>
      </c>
      <c r="R35" s="8">
        <v>514</v>
      </c>
      <c r="T35" s="8">
        <v>593.48099999999999</v>
      </c>
      <c r="U35" s="8">
        <f>J35</f>
        <v>628</v>
      </c>
      <c r="V35" s="8">
        <v>628</v>
      </c>
      <c r="W35" s="8">
        <v>628</v>
      </c>
      <c r="X35" s="8">
        <v>628</v>
      </c>
      <c r="Y35" s="8">
        <v>628</v>
      </c>
      <c r="Z35" s="8">
        <v>628</v>
      </c>
    </row>
    <row r="36" spans="2:92" x14ac:dyDescent="0.2">
      <c r="B36" s="8" t="s">
        <v>31</v>
      </c>
      <c r="C36" s="11">
        <f>C34/C35</f>
        <v>2.9538606403013183</v>
      </c>
      <c r="D36" s="11">
        <f t="shared" ref="D36:F36" si="71">D34/D35</f>
        <v>0.77079482439926095</v>
      </c>
      <c r="E36" s="11">
        <f t="shared" si="71"/>
        <v>0.71276595744680882</v>
      </c>
      <c r="F36" s="11">
        <f t="shared" si="71"/>
        <v>0.60170357751277714</v>
      </c>
      <c r="G36" s="11">
        <f>G34/G35</f>
        <v>0.71510292663118047</v>
      </c>
      <c r="H36" s="11">
        <f>H34/H35</f>
        <v>0.53632719497338643</v>
      </c>
      <c r="I36" s="11">
        <f t="shared" ref="I36:L36" si="72">I34/I35</f>
        <v>0.18534712989969351</v>
      </c>
      <c r="J36" s="11">
        <f t="shared" si="72"/>
        <v>0.4547052166989754</v>
      </c>
      <c r="K36" s="11">
        <f t="shared" si="72"/>
        <v>0.6064180017593811</v>
      </c>
      <c r="L36" s="11">
        <f t="shared" si="72"/>
        <v>0.63802758709737672</v>
      </c>
      <c r="M36" s="11">
        <f t="shared" ref="M36:N36" si="73">M34/M35</f>
        <v>0.67081462050345764</v>
      </c>
      <c r="N36" s="11">
        <f t="shared" si="73"/>
        <v>1.0552506496738421</v>
      </c>
      <c r="O36" s="11"/>
      <c r="P36" s="11">
        <f t="shared" ref="P36:S36" si="74">P34/P35</f>
        <v>0.16058823529411814</v>
      </c>
      <c r="Q36" s="11">
        <f t="shared" si="74"/>
        <v>0.21859099804305279</v>
      </c>
      <c r="R36" s="11">
        <f t="shared" si="74"/>
        <v>0.55252918287937758</v>
      </c>
      <c r="S36" s="11" t="e">
        <f t="shared" si="74"/>
        <v>#DIV/0!</v>
      </c>
      <c r="T36" s="11">
        <f t="shared" ref="T36:Y36" si="75">T34/T35</f>
        <v>1.939320719618659</v>
      </c>
      <c r="U36" s="11">
        <f t="shared" si="75"/>
        <v>1.8125077644696761</v>
      </c>
      <c r="V36" s="11">
        <f t="shared" si="75"/>
        <v>3.2393144578231396</v>
      </c>
      <c r="W36" s="11">
        <f t="shared" si="75"/>
        <v>4.2251870158295999</v>
      </c>
      <c r="X36" s="11">
        <f t="shared" si="75"/>
        <v>5.4713817227487</v>
      </c>
      <c r="Y36" s="11">
        <f t="shared" si="75"/>
        <v>7.044518927289559</v>
      </c>
      <c r="Z36" s="11">
        <f t="shared" ref="Z36" si="76">Z34/Z35</f>
        <v>9.0279769424157994</v>
      </c>
      <c r="AA36" s="11"/>
      <c r="AB36" s="11"/>
      <c r="AC36" s="11"/>
      <c r="AD36" s="11"/>
      <c r="AE36" s="11"/>
    </row>
    <row r="37" spans="2:92" x14ac:dyDescent="0.2">
      <c r="S37" s="12"/>
      <c r="T37" s="12"/>
      <c r="U37" s="12"/>
      <c r="V37" s="11"/>
      <c r="W37" s="12"/>
      <c r="X37" s="12"/>
      <c r="Y37" s="12"/>
    </row>
    <row r="38" spans="2:92" ht="15" x14ac:dyDescent="0.25">
      <c r="B38" s="2" t="s">
        <v>23</v>
      </c>
      <c r="G38" s="3">
        <f t="shared" ref="G38:L38" si="77">G20/C20-1</f>
        <v>1.8010001887148519</v>
      </c>
      <c r="H38" s="3">
        <f t="shared" si="77"/>
        <v>0.54929193156702771</v>
      </c>
      <c r="I38" s="3">
        <f t="shared" si="77"/>
        <v>0.19480519480519476</v>
      </c>
      <c r="J38" s="3">
        <f t="shared" si="77"/>
        <v>0.13032666440601348</v>
      </c>
      <c r="K38" s="3">
        <f t="shared" si="77"/>
        <v>0.21273370389085389</v>
      </c>
      <c r="L38" s="3">
        <f t="shared" si="77"/>
        <v>0.30609369496301508</v>
      </c>
      <c r="M38" s="3">
        <f t="shared" ref="M38" si="78">M20/I20-1</f>
        <v>0.66053913043478274</v>
      </c>
      <c r="N38" s="3">
        <f t="shared" ref="N38" si="79">N20/J20-1</f>
        <v>0.7823119999999999</v>
      </c>
      <c r="O38" s="13"/>
      <c r="P38" s="13"/>
      <c r="Q38" s="3">
        <f t="shared" ref="Q38" si="80">Q20/P20-1</f>
        <v>6.5313089569670302E-2</v>
      </c>
      <c r="R38" s="3">
        <f t="shared" ref="R38" si="81">R20/Q20-1</f>
        <v>0.46064541519086988</v>
      </c>
      <c r="S38" s="3">
        <f t="shared" ref="S38" si="82">S20/R20-1</f>
        <v>0.37091279998460358</v>
      </c>
      <c r="T38" s="3">
        <f t="shared" ref="T38:Z38" si="83">T20/S20-1</f>
        <v>1.1042198949939639</v>
      </c>
      <c r="U38" s="3">
        <f t="shared" si="83"/>
        <v>0.48206708830357847</v>
      </c>
      <c r="V38" s="3">
        <f>V22/U20-1</f>
        <v>0.75557056043214055</v>
      </c>
      <c r="W38" s="3">
        <f>W22/V22-1</f>
        <v>0.17948717948717952</v>
      </c>
      <c r="X38" s="3">
        <f t="shared" ref="X38:Z38" si="84">X22/W22-1</f>
        <v>0.18260869565217397</v>
      </c>
      <c r="Y38" s="3">
        <f t="shared" si="84"/>
        <v>0.18529411764705883</v>
      </c>
      <c r="Z38" s="3">
        <f t="shared" si="84"/>
        <v>0.18759305210918109</v>
      </c>
      <c r="AA38" s="3"/>
      <c r="AB38" s="8" t="s">
        <v>40</v>
      </c>
      <c r="AC38" s="13">
        <v>0.06</v>
      </c>
      <c r="AD38" s="3"/>
      <c r="AE38" s="3"/>
    </row>
    <row r="39" spans="2:92" x14ac:dyDescent="0.2">
      <c r="B39" s="8" t="s">
        <v>38</v>
      </c>
      <c r="D39" s="13">
        <f t="shared" ref="D39:J39" si="85">D20/C20-1</f>
        <v>0.72905265144366882</v>
      </c>
      <c r="E39" s="13">
        <f t="shared" si="85"/>
        <v>5.0506152964610251E-2</v>
      </c>
      <c r="F39" s="13">
        <f t="shared" si="85"/>
        <v>0.37875324675324662</v>
      </c>
      <c r="G39" s="13">
        <f t="shared" si="85"/>
        <v>0.11845823442975023</v>
      </c>
      <c r="H39" s="13">
        <f t="shared" si="85"/>
        <v>-4.362472629274039E-2</v>
      </c>
      <c r="I39" s="13">
        <f t="shared" si="85"/>
        <v>-0.18985558295174354</v>
      </c>
      <c r="J39" s="13">
        <f t="shared" si="85"/>
        <v>0.30434782608695654</v>
      </c>
      <c r="K39" s="13">
        <f t="shared" ref="K39:L39" si="86">K20/J20-1</f>
        <v>0.19999999999999996</v>
      </c>
      <c r="L39" s="13">
        <f t="shared" si="86"/>
        <v>3.0000000000000027E-2</v>
      </c>
      <c r="M39" s="13">
        <f t="shared" ref="M39" si="87">M20/L20-1</f>
        <v>3.0000000000000027E-2</v>
      </c>
      <c r="N39" s="13">
        <f t="shared" ref="N39" si="88">N20/M20-1</f>
        <v>0.39999999999999991</v>
      </c>
      <c r="O39" s="13"/>
      <c r="P39" s="13"/>
      <c r="Q39" s="13"/>
      <c r="AB39" s="8" t="s">
        <v>12</v>
      </c>
      <c r="AC39" s="13">
        <v>0.01</v>
      </c>
    </row>
    <row r="40" spans="2:92" x14ac:dyDescent="0.2">
      <c r="B40" s="8" t="s">
        <v>37</v>
      </c>
      <c r="C40" s="13">
        <f t="shared" ref="C40:I40" si="89">C33/C29</f>
        <v>1.2753330387019382E-2</v>
      </c>
      <c r="D40" s="13">
        <f t="shared" si="89"/>
        <v>-0.16554508748317623</v>
      </c>
      <c r="E40" s="13">
        <f t="shared" si="89"/>
        <v>-5.2868094105207479E-2</v>
      </c>
      <c r="F40" s="13">
        <f t="shared" si="89"/>
        <v>2.9129041654529552E-3</v>
      </c>
      <c r="G40" s="13">
        <f t="shared" si="89"/>
        <v>0.14670070699135909</v>
      </c>
      <c r="H40" s="13">
        <f t="shared" si="89"/>
        <v>0.15428416485900201</v>
      </c>
      <c r="I40" s="13">
        <f t="shared" si="89"/>
        <v>3.9322033898305082E-2</v>
      </c>
      <c r="J40" s="13">
        <v>0.15</v>
      </c>
      <c r="K40" s="13">
        <v>0.15</v>
      </c>
      <c r="L40" s="13">
        <v>0.15</v>
      </c>
      <c r="M40" s="13">
        <v>0.15</v>
      </c>
      <c r="N40" s="13">
        <v>0.15</v>
      </c>
      <c r="O40" s="13"/>
      <c r="P40" s="13">
        <f t="shared" ref="P40:U40" si="90">P33/P29</f>
        <v>3.3878504672897096E-2</v>
      </c>
      <c r="Q40" s="13">
        <f t="shared" si="90"/>
        <v>5.5690072639225194E-2</v>
      </c>
      <c r="R40" s="13">
        <f t="shared" si="90"/>
        <v>0.15781622911694509</v>
      </c>
      <c r="S40" s="13">
        <f t="shared" si="90"/>
        <v>0.14528926488361094</v>
      </c>
      <c r="T40" s="13">
        <f t="shared" si="90"/>
        <v>5.2275167230985152E-2</v>
      </c>
      <c r="U40" s="13">
        <f t="shared" si="90"/>
        <v>0.13781142734074631</v>
      </c>
      <c r="V40" s="13">
        <v>0.19</v>
      </c>
      <c r="W40" s="13">
        <v>0.19</v>
      </c>
      <c r="X40" s="13">
        <v>0.19</v>
      </c>
      <c r="Y40" s="13">
        <v>0.19</v>
      </c>
      <c r="Z40" s="13">
        <v>0.19</v>
      </c>
      <c r="AA40" s="13"/>
      <c r="AB40" s="8" t="s">
        <v>10</v>
      </c>
      <c r="AC40" s="14">
        <v>0.09</v>
      </c>
      <c r="AD40" s="13"/>
      <c r="AE40" s="13"/>
    </row>
    <row r="41" spans="2:92" ht="15" x14ac:dyDescent="0.2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" t="s">
        <v>13</v>
      </c>
      <c r="AC41" s="2">
        <f>NPV(AC40,V34:CN34)+main!F16-main!F17</f>
        <v>59176.874874969391</v>
      </c>
      <c r="AD41" s="13"/>
      <c r="AE41" s="13"/>
    </row>
    <row r="42" spans="2:92" ht="15" x14ac:dyDescent="0.25">
      <c r="B42" s="2" t="s">
        <v>9</v>
      </c>
      <c r="C42" s="3">
        <f t="shared" ref="C42:I42" si="91">C24/C20</f>
        <v>0.83317607095678436</v>
      </c>
      <c r="D42" s="3">
        <f t="shared" si="91"/>
        <v>0.15397418756309864</v>
      </c>
      <c r="E42" s="3">
        <f t="shared" si="91"/>
        <v>0.15514285714285719</v>
      </c>
      <c r="F42" s="3">
        <f t="shared" si="91"/>
        <v>0.11233563166421766</v>
      </c>
      <c r="G42" s="3">
        <f t="shared" si="91"/>
        <v>0.13060468249957885</v>
      </c>
      <c r="H42" s="3">
        <f t="shared" si="91"/>
        <v>0.11801690736174716</v>
      </c>
      <c r="I42" s="3">
        <f t="shared" si="91"/>
        <v>9.5869565217391303E-2</v>
      </c>
      <c r="J42" s="3">
        <v>0.12</v>
      </c>
      <c r="K42" s="3">
        <v>0.12</v>
      </c>
      <c r="L42" s="3">
        <v>0.12</v>
      </c>
      <c r="M42" s="3">
        <v>0.12</v>
      </c>
      <c r="N42" s="3">
        <v>0.12</v>
      </c>
      <c r="O42" s="3"/>
      <c r="P42" s="17">
        <f t="shared" ref="P42" si="92">P24/P20</f>
        <v>0.1575779354954632</v>
      </c>
      <c r="Q42" s="17">
        <f t="shared" ref="Q42:U42" si="93">Q24/Q20</f>
        <v>0.15025018271771517</v>
      </c>
      <c r="R42" s="17">
        <f t="shared" si="93"/>
        <v>0.15396162506495256</v>
      </c>
      <c r="S42" s="17">
        <f t="shared" si="93"/>
        <v>0.18011062133250977</v>
      </c>
      <c r="T42" s="17">
        <f t="shared" si="93"/>
        <v>0.13752568515998195</v>
      </c>
      <c r="U42" s="17">
        <f t="shared" si="93"/>
        <v>0.11733063245554805</v>
      </c>
      <c r="V42" s="17">
        <v>0.12</v>
      </c>
      <c r="W42" s="17">
        <f>V42*1.03</f>
        <v>0.1236</v>
      </c>
      <c r="X42" s="17">
        <f t="shared" ref="X42:Z42" si="94">W42*1.03</f>
        <v>0.127308</v>
      </c>
      <c r="Y42" s="17">
        <f t="shared" si="94"/>
        <v>0.13112724000000001</v>
      </c>
      <c r="Z42" s="17">
        <f t="shared" si="94"/>
        <v>0.1350610572</v>
      </c>
      <c r="AA42" s="17"/>
      <c r="AB42" s="8" t="s">
        <v>1</v>
      </c>
      <c r="AC42" s="15">
        <f>AC41/main!F14</f>
        <v>99.153639078732922</v>
      </c>
      <c r="AD42" s="17"/>
      <c r="AE42" s="17"/>
    </row>
    <row r="43" spans="2:92" x14ac:dyDescent="0.2">
      <c r="B43" s="8" t="s">
        <v>33</v>
      </c>
      <c r="C43" s="13" t="e">
        <f>#REF!/C20</f>
        <v>#REF!</v>
      </c>
      <c r="D43" s="13" t="e">
        <f>#REF!/D20</f>
        <v>#REF!</v>
      </c>
      <c r="E43" s="13" t="e">
        <f>#REF!/E20</f>
        <v>#REF!</v>
      </c>
      <c r="F43" s="13" t="e">
        <f>#REF!/F20</f>
        <v>#REF!</v>
      </c>
      <c r="G43" s="13" t="e">
        <f>#REF!/G20</f>
        <v>#REF!</v>
      </c>
      <c r="H43" s="13" t="e">
        <f>#REF!/H20</f>
        <v>#REF!</v>
      </c>
      <c r="I43" s="13" t="e">
        <f>#REF!/I20</f>
        <v>#REF!</v>
      </c>
      <c r="J43" s="13">
        <v>6.2E-2</v>
      </c>
      <c r="K43" s="13">
        <v>6.2E-2</v>
      </c>
      <c r="L43" s="13">
        <v>6.5000000000000002E-2</v>
      </c>
      <c r="M43" s="13">
        <v>6.5000000000000002E-2</v>
      </c>
      <c r="N43" s="13">
        <v>6.5000000000000002E-2</v>
      </c>
      <c r="O43" s="13"/>
      <c r="P43" s="13">
        <v>6.5000000000000002E-2</v>
      </c>
      <c r="Q43" s="13">
        <v>6.5000000000000002E-2</v>
      </c>
      <c r="R43" s="13" t="e">
        <f>#REF!/R34</f>
        <v>#REF!</v>
      </c>
      <c r="S43" s="13" t="e">
        <f>#REF!/S20</f>
        <v>#REF!</v>
      </c>
      <c r="T43" s="13" t="e">
        <f>#REF!/T20</f>
        <v>#REF!</v>
      </c>
      <c r="U43" s="13" t="e">
        <f>#REF!/U20</f>
        <v>#REF!</v>
      </c>
      <c r="V43" s="13" t="e">
        <f>#REF!/V20</f>
        <v>#REF!</v>
      </c>
      <c r="W43" s="13" t="e">
        <f>#REF!/W20</f>
        <v>#REF!</v>
      </c>
      <c r="X43" s="13" t="e">
        <f>#REF!/X20</f>
        <v>#REF!</v>
      </c>
      <c r="Y43" s="13" t="e">
        <f>#REF!/Y20</f>
        <v>#REF!</v>
      </c>
      <c r="Z43" s="13" t="e">
        <f>#REF!/Z20</f>
        <v>#REF!</v>
      </c>
      <c r="AA43" s="13"/>
      <c r="AB43" s="8" t="s">
        <v>14</v>
      </c>
      <c r="AC43" s="13">
        <f>AC42/main!F13-1</f>
        <v>1.2034142017496205</v>
      </c>
      <c r="AD43" s="13"/>
      <c r="AE43" s="13"/>
    </row>
    <row r="44" spans="2:92" x14ac:dyDescent="0.2">
      <c r="B44" s="8" t="s">
        <v>49</v>
      </c>
      <c r="C44" s="13">
        <f>C28/C20</f>
        <v>8.5912436308737503E-2</v>
      </c>
      <c r="D44" s="13">
        <f t="shared" ref="D44:N44" si="95">D28/D20</f>
        <v>5.2607165270539442E-2</v>
      </c>
      <c r="E44" s="13">
        <f t="shared" si="95"/>
        <v>5.6883116883116883E-2</v>
      </c>
      <c r="F44" s="13">
        <f t="shared" si="95"/>
        <v>4.7662107682453568E-2</v>
      </c>
      <c r="G44" s="13">
        <f t="shared" si="95"/>
        <v>4.4837459996631295E-2</v>
      </c>
      <c r="H44" s="13">
        <f t="shared" si="95"/>
        <v>5.3064459316660796E-2</v>
      </c>
      <c r="I44" s="13">
        <f t="shared" si="95"/>
        <v>6.380434782608696E-2</v>
      </c>
      <c r="J44" s="13">
        <f t="shared" si="95"/>
        <v>6.380434782608696E-2</v>
      </c>
      <c r="K44" s="13">
        <f t="shared" si="95"/>
        <v>5.8197282608695652E-2</v>
      </c>
      <c r="L44" s="13">
        <f t="shared" si="95"/>
        <v>5.7618525749261289E-2</v>
      </c>
      <c r="M44" s="13">
        <f t="shared" si="95"/>
        <v>5.7051006887097494E-2</v>
      </c>
      <c r="N44" s="13">
        <f t="shared" si="95"/>
        <v>4.9067232608300461E-2</v>
      </c>
      <c r="O44" s="13"/>
      <c r="P44" s="14">
        <f t="shared" ref="P44:U44" si="96">P28/P20</f>
        <v>0.13194382056119547</v>
      </c>
      <c r="Q44" s="14">
        <f t="shared" si="96"/>
        <v>0.11542137516163491</v>
      </c>
      <c r="R44" s="14">
        <f t="shared" si="96"/>
        <v>8.9451704162737428E-2</v>
      </c>
      <c r="S44" s="14">
        <f t="shared" si="96"/>
        <v>7.3245921891231719E-2</v>
      </c>
      <c r="T44" s="14">
        <f t="shared" si="96"/>
        <v>5.6740853414458406E-2</v>
      </c>
      <c r="U44" s="14">
        <f t="shared" si="96"/>
        <v>5.5990370783548134E-2</v>
      </c>
      <c r="V44" s="14">
        <f t="shared" ref="V44:Z44" si="97">V28/V20</f>
        <v>6.238927030166793E-2</v>
      </c>
      <c r="W44" s="14">
        <f t="shared" si="97"/>
        <v>6.1322787048647957E-2</v>
      </c>
      <c r="X44" s="14">
        <f t="shared" si="97"/>
        <v>6.043405100446466E-2</v>
      </c>
      <c r="Y44" s="14">
        <f t="shared" si="97"/>
        <v>5.9693437634311911E-2</v>
      </c>
      <c r="Z44" s="14">
        <f t="shared" si="97"/>
        <v>5.9076259825851282E-2</v>
      </c>
      <c r="AA44" s="14"/>
      <c r="AB44" s="14"/>
      <c r="AC44" s="14"/>
      <c r="AD44" s="14"/>
      <c r="AE44" s="14"/>
    </row>
    <row r="45" spans="2:92" x14ac:dyDescent="0.2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2:92" x14ac:dyDescent="0.2">
      <c r="B46" s="8" t="s">
        <v>41</v>
      </c>
      <c r="G46" s="13"/>
      <c r="H46" s="8">
        <f>H47-H48</f>
        <v>0</v>
      </c>
      <c r="I46" s="8">
        <f>I47-I48</f>
        <v>-81.800000000000182</v>
      </c>
      <c r="J46" s="8">
        <f>I46+J34</f>
        <v>203.75487608695636</v>
      </c>
      <c r="K46" s="8">
        <f t="shared" ref="K46:N46" si="98">J46+K34</f>
        <v>584.58538119184777</v>
      </c>
      <c r="L46" s="8">
        <f t="shared" si="98"/>
        <v>985.26670588900038</v>
      </c>
      <c r="M46" s="8">
        <f t="shared" si="98"/>
        <v>1406.5382875651717</v>
      </c>
      <c r="N46" s="8">
        <f t="shared" si="98"/>
        <v>2069.2356955603445</v>
      </c>
      <c r="R46" s="13"/>
      <c r="T46" s="8">
        <f>T47-T48</f>
        <v>-172.20000000000005</v>
      </c>
      <c r="U46" s="8">
        <f>J46</f>
        <v>203.75487608695636</v>
      </c>
      <c r="V46" s="8">
        <f>U46+V34</f>
        <v>2238.0443555998881</v>
      </c>
      <c r="W46" s="8">
        <f>V46+W34</f>
        <v>4891.4618015408769</v>
      </c>
      <c r="X46" s="8">
        <f>W46+X34</f>
        <v>8327.4895234270607</v>
      </c>
      <c r="Y46" s="8">
        <f>X46+Y34</f>
        <v>12751.447409764904</v>
      </c>
      <c r="Z46" s="8">
        <f>Y46+Z34</f>
        <v>18421.016929602025</v>
      </c>
    </row>
    <row r="47" spans="2:92" x14ac:dyDescent="0.2">
      <c r="B47" s="8" t="s">
        <v>4</v>
      </c>
      <c r="H47" s="8">
        <f>H50</f>
        <v>0</v>
      </c>
      <c r="I47" s="8">
        <f>I50</f>
        <v>2536.1</v>
      </c>
      <c r="S47" s="8">
        <f>S50</f>
        <v>440.459</v>
      </c>
      <c r="T47" s="8">
        <f>T50</f>
        <v>1669.8</v>
      </c>
      <c r="U47" s="8">
        <f>J47</f>
        <v>0</v>
      </c>
    </row>
    <row r="48" spans="2:92" x14ac:dyDescent="0.2">
      <c r="B48" s="8" t="s">
        <v>5</v>
      </c>
      <c r="H48" s="8">
        <f>SUM(H65:H67)</f>
        <v>0</v>
      </c>
      <c r="I48" s="8">
        <f>SUM(I65:I67)</f>
        <v>2617.9</v>
      </c>
      <c r="S48" s="8">
        <f>SUM(S65:S67)</f>
        <v>158.19999999999999</v>
      </c>
      <c r="T48" s="8">
        <f>SUM(T65:T67)</f>
        <v>1842</v>
      </c>
      <c r="U48" s="8">
        <f>J48</f>
        <v>0</v>
      </c>
    </row>
    <row r="50" spans="2:26" x14ac:dyDescent="0.2">
      <c r="B50" s="8" t="s">
        <v>4</v>
      </c>
      <c r="I50" s="8">
        <v>2536.1</v>
      </c>
      <c r="S50" s="8">
        <v>440.459</v>
      </c>
      <c r="T50" s="8">
        <v>1669.8</v>
      </c>
      <c r="U50" s="8">
        <f>J50</f>
        <v>0</v>
      </c>
    </row>
    <row r="51" spans="2:26" x14ac:dyDescent="0.2">
      <c r="B51" s="8" t="s">
        <v>50</v>
      </c>
      <c r="I51" s="8">
        <v>2642.5</v>
      </c>
      <c r="S51" s="8">
        <v>1148.3</v>
      </c>
      <c r="T51" s="8">
        <v>2737.3</v>
      </c>
      <c r="U51" s="8">
        <f t="shared" ref="U51:U56" si="99">J51</f>
        <v>0</v>
      </c>
    </row>
    <row r="52" spans="2:26" x14ac:dyDescent="0.2">
      <c r="B52" s="8" t="s">
        <v>51</v>
      </c>
      <c r="I52" s="8">
        <v>3870.2</v>
      </c>
      <c r="S52" s="8">
        <v>1445.6</v>
      </c>
      <c r="T52" s="8">
        <v>4333</v>
      </c>
      <c r="U52" s="8">
        <f t="shared" si="99"/>
        <v>0</v>
      </c>
    </row>
    <row r="53" spans="2:26" x14ac:dyDescent="0.2">
      <c r="B53" s="8" t="s">
        <v>52</v>
      </c>
      <c r="I53" s="8">
        <v>464.7</v>
      </c>
      <c r="S53" s="8">
        <v>145.1</v>
      </c>
      <c r="T53" s="8">
        <v>191.8</v>
      </c>
      <c r="U53" s="8">
        <f t="shared" si="99"/>
        <v>0</v>
      </c>
    </row>
    <row r="54" spans="2:26" x14ac:dyDescent="0.2">
      <c r="B54" s="8" t="s">
        <v>53</v>
      </c>
      <c r="I54" s="8">
        <v>492.6</v>
      </c>
      <c r="S54" s="8">
        <v>290.2</v>
      </c>
      <c r="T54" s="8">
        <v>414.1</v>
      </c>
      <c r="U54" s="8">
        <f t="shared" si="99"/>
        <v>0</v>
      </c>
    </row>
    <row r="55" spans="2:26" x14ac:dyDescent="0.2">
      <c r="B55" s="8" t="s">
        <v>54</v>
      </c>
      <c r="I55" s="8">
        <v>481.2</v>
      </c>
      <c r="S55" s="8">
        <v>162.6</v>
      </c>
      <c r="T55" s="8">
        <v>365.2</v>
      </c>
      <c r="U55" s="8">
        <f t="shared" si="99"/>
        <v>0</v>
      </c>
    </row>
    <row r="56" spans="2:26" x14ac:dyDescent="0.2">
      <c r="B56" s="8" t="s">
        <v>55</v>
      </c>
      <c r="I56" s="8">
        <v>251.2</v>
      </c>
      <c r="S56" s="8">
        <v>42.4</v>
      </c>
      <c r="T56" s="8">
        <v>114.95</v>
      </c>
      <c r="U56" s="8">
        <f t="shared" si="99"/>
        <v>0</v>
      </c>
    </row>
    <row r="57" spans="2:26" x14ac:dyDescent="0.2">
      <c r="B57" s="8" t="s">
        <v>56</v>
      </c>
      <c r="C57" s="8">
        <f>SUM(C50:C56)</f>
        <v>0</v>
      </c>
      <c r="D57" s="8">
        <f t="shared" ref="D57:P57" si="100">SUM(D50:D56)</f>
        <v>0</v>
      </c>
      <c r="E57" s="8">
        <f t="shared" si="100"/>
        <v>0</v>
      </c>
      <c r="F57" s="8">
        <f t="shared" si="100"/>
        <v>0</v>
      </c>
      <c r="G57" s="8">
        <f t="shared" si="100"/>
        <v>0</v>
      </c>
      <c r="H57" s="8">
        <f t="shared" si="100"/>
        <v>0</v>
      </c>
      <c r="I57" s="8">
        <f t="shared" si="100"/>
        <v>10738.500000000002</v>
      </c>
      <c r="J57" s="8">
        <f t="shared" si="100"/>
        <v>0</v>
      </c>
      <c r="K57" s="8">
        <f t="shared" si="100"/>
        <v>0</v>
      </c>
      <c r="L57" s="8">
        <f t="shared" si="100"/>
        <v>0</v>
      </c>
      <c r="M57" s="8">
        <f t="shared" si="100"/>
        <v>0</v>
      </c>
      <c r="N57" s="8">
        <f t="shared" si="100"/>
        <v>0</v>
      </c>
      <c r="P57" s="8">
        <f t="shared" si="100"/>
        <v>0</v>
      </c>
      <c r="Q57" s="8">
        <f t="shared" ref="Q57" si="101">SUM(Q50:Q56)</f>
        <v>0</v>
      </c>
      <c r="R57" s="8">
        <f t="shared" ref="R57" si="102">SUM(R50:R56)</f>
        <v>0</v>
      </c>
      <c r="S57" s="8">
        <f t="shared" ref="S57" si="103">SUM(S50:S56)</f>
        <v>3674.6589999999997</v>
      </c>
      <c r="T57" s="8">
        <f t="shared" ref="T57" si="104">SUM(T50:T56)</f>
        <v>9826.1500000000015</v>
      </c>
      <c r="U57" s="8">
        <f t="shared" ref="U57" si="105">SUM(U50:U56)</f>
        <v>0</v>
      </c>
      <c r="V57" s="8">
        <f t="shared" ref="V57" si="106">SUM(V50:V56)</f>
        <v>0</v>
      </c>
      <c r="W57" s="8">
        <f t="shared" ref="W57" si="107">SUM(W50:W56)</f>
        <v>0</v>
      </c>
      <c r="X57" s="8">
        <f t="shared" ref="X57" si="108">SUM(X50:X56)</f>
        <v>0</v>
      </c>
      <c r="Y57" s="8">
        <f t="shared" ref="Y57" si="109">SUM(Y50:Y56)</f>
        <v>0</v>
      </c>
      <c r="Z57" s="8">
        <f t="shared" ref="Z57" si="110">SUM(Z50:Z56)</f>
        <v>0</v>
      </c>
    </row>
    <row r="59" spans="2:26" x14ac:dyDescent="0.2">
      <c r="B59" s="8" t="s">
        <v>57</v>
      </c>
      <c r="I59" s="8">
        <v>643.1</v>
      </c>
      <c r="S59" s="8">
        <v>776.9</v>
      </c>
      <c r="T59" s="8">
        <v>1472.4</v>
      </c>
      <c r="U59" s="8">
        <f t="shared" ref="U59:U67" si="111">J59</f>
        <v>0</v>
      </c>
    </row>
    <row r="60" spans="2:26" x14ac:dyDescent="0.2">
      <c r="B60" s="8" t="s">
        <v>58</v>
      </c>
      <c r="I60" s="8">
        <v>344.7</v>
      </c>
      <c r="S60" s="8">
        <v>163.9</v>
      </c>
      <c r="T60" s="8">
        <v>259.7</v>
      </c>
      <c r="U60" s="8">
        <f t="shared" si="111"/>
        <v>0</v>
      </c>
    </row>
    <row r="61" spans="2:26" x14ac:dyDescent="0.2">
      <c r="B61" s="8" t="s">
        <v>63</v>
      </c>
      <c r="I61" s="8">
        <v>23.6</v>
      </c>
      <c r="S61" s="8">
        <v>129.19999999999999</v>
      </c>
      <c r="T61" s="8">
        <v>18.3</v>
      </c>
      <c r="U61" s="8">
        <f t="shared" si="111"/>
        <v>0</v>
      </c>
    </row>
    <row r="62" spans="2:26" x14ac:dyDescent="0.2">
      <c r="B62" s="8" t="s">
        <v>60</v>
      </c>
      <c r="I62" s="8">
        <v>63.97</v>
      </c>
      <c r="S62" s="8">
        <v>170.12</v>
      </c>
      <c r="T62" s="8">
        <v>402.4</v>
      </c>
      <c r="U62" s="8">
        <f t="shared" si="111"/>
        <v>0</v>
      </c>
    </row>
    <row r="63" spans="2:26" x14ac:dyDescent="0.2">
      <c r="B63" s="8" t="s">
        <v>62</v>
      </c>
      <c r="I63" s="8">
        <v>352.8</v>
      </c>
      <c r="S63" s="8">
        <v>134.66</v>
      </c>
      <c r="T63" s="8">
        <v>193.1</v>
      </c>
      <c r="U63" s="8">
        <f t="shared" si="111"/>
        <v>0</v>
      </c>
    </row>
    <row r="64" spans="2:26" x14ac:dyDescent="0.2">
      <c r="B64" s="8" t="s">
        <v>64</v>
      </c>
      <c r="I64" s="8">
        <v>312.99</v>
      </c>
      <c r="S64" s="8">
        <v>169.8</v>
      </c>
      <c r="T64" s="8">
        <v>223.3</v>
      </c>
      <c r="U64" s="8">
        <f t="shared" si="111"/>
        <v>0</v>
      </c>
    </row>
    <row r="65" spans="2:26" x14ac:dyDescent="0.2">
      <c r="B65" s="8" t="s">
        <v>65</v>
      </c>
      <c r="I65" s="8">
        <v>43</v>
      </c>
      <c r="S65" s="8">
        <v>120.2</v>
      </c>
      <c r="T65" s="8">
        <v>74</v>
      </c>
      <c r="U65" s="8">
        <f t="shared" si="111"/>
        <v>0</v>
      </c>
    </row>
    <row r="66" spans="2:26" x14ac:dyDescent="0.2">
      <c r="B66" s="8" t="s">
        <v>66</v>
      </c>
      <c r="I66" s="8">
        <v>2385.3000000000002</v>
      </c>
      <c r="S66" s="8">
        <v>0</v>
      </c>
      <c r="T66" s="8">
        <v>1700</v>
      </c>
      <c r="U66" s="8">
        <f t="shared" si="111"/>
        <v>0</v>
      </c>
    </row>
    <row r="67" spans="2:26" x14ac:dyDescent="0.2">
      <c r="B67" s="8" t="s">
        <v>67</v>
      </c>
      <c r="I67" s="8">
        <v>189.6</v>
      </c>
      <c r="S67" s="8">
        <v>38</v>
      </c>
      <c r="T67" s="8">
        <v>68</v>
      </c>
      <c r="U67" s="8">
        <f t="shared" si="111"/>
        <v>0</v>
      </c>
    </row>
    <row r="68" spans="2:26" x14ac:dyDescent="0.2">
      <c r="B68" s="8" t="s">
        <v>68</v>
      </c>
      <c r="C68" s="8">
        <f t="shared" ref="C68:N68" si="112">SUM(C59:C67)</f>
        <v>0</v>
      </c>
      <c r="D68" s="8">
        <f t="shared" si="112"/>
        <v>0</v>
      </c>
      <c r="E68" s="8">
        <f t="shared" si="112"/>
        <v>0</v>
      </c>
      <c r="F68" s="8">
        <f t="shared" si="112"/>
        <v>0</v>
      </c>
      <c r="G68" s="8">
        <f t="shared" si="112"/>
        <v>0</v>
      </c>
      <c r="H68" s="8">
        <f t="shared" si="112"/>
        <v>0</v>
      </c>
      <c r="I68" s="8">
        <f t="shared" si="112"/>
        <v>4359.0600000000004</v>
      </c>
      <c r="J68" s="8">
        <f t="shared" si="112"/>
        <v>0</v>
      </c>
      <c r="K68" s="8">
        <f t="shared" si="112"/>
        <v>0</v>
      </c>
      <c r="L68" s="8">
        <f t="shared" si="112"/>
        <v>0</v>
      </c>
      <c r="M68" s="8">
        <f t="shared" si="112"/>
        <v>0</v>
      </c>
      <c r="N68" s="8">
        <f t="shared" si="112"/>
        <v>0</v>
      </c>
      <c r="P68" s="8">
        <f t="shared" ref="P68:Z68" si="113">SUM(P59:P67)</f>
        <v>0</v>
      </c>
      <c r="Q68" s="8">
        <f t="shared" si="113"/>
        <v>0</v>
      </c>
      <c r="R68" s="8">
        <f t="shared" si="113"/>
        <v>0</v>
      </c>
      <c r="S68" s="8">
        <f t="shared" si="113"/>
        <v>1702.78</v>
      </c>
      <c r="T68" s="8">
        <f t="shared" si="113"/>
        <v>4411.2000000000007</v>
      </c>
      <c r="U68" s="8">
        <f t="shared" si="113"/>
        <v>0</v>
      </c>
      <c r="V68" s="8">
        <f t="shared" si="113"/>
        <v>0</v>
      </c>
      <c r="W68" s="8">
        <f t="shared" si="113"/>
        <v>0</v>
      </c>
      <c r="X68" s="8">
        <f t="shared" si="113"/>
        <v>0</v>
      </c>
      <c r="Y68" s="8">
        <f t="shared" si="113"/>
        <v>0</v>
      </c>
      <c r="Z68" s="8">
        <f t="shared" si="113"/>
        <v>0</v>
      </c>
    </row>
    <row r="69" spans="2:26" x14ac:dyDescent="0.2">
      <c r="B69" s="8" t="s">
        <v>69</v>
      </c>
      <c r="C69" s="8">
        <f t="shared" ref="C69:N69" si="114">C57-C68</f>
        <v>0</v>
      </c>
      <c r="D69" s="8">
        <f t="shared" si="114"/>
        <v>0</v>
      </c>
      <c r="E69" s="8">
        <f t="shared" si="114"/>
        <v>0</v>
      </c>
      <c r="F69" s="8">
        <f t="shared" si="114"/>
        <v>0</v>
      </c>
      <c r="G69" s="8">
        <f t="shared" si="114"/>
        <v>0</v>
      </c>
      <c r="H69" s="8">
        <f t="shared" si="114"/>
        <v>0</v>
      </c>
      <c r="I69" s="8">
        <f t="shared" si="114"/>
        <v>6379.4400000000014</v>
      </c>
      <c r="J69" s="8">
        <f t="shared" si="114"/>
        <v>0</v>
      </c>
      <c r="K69" s="8">
        <f t="shared" si="114"/>
        <v>0</v>
      </c>
      <c r="L69" s="8">
        <f t="shared" si="114"/>
        <v>0</v>
      </c>
      <c r="M69" s="8">
        <f t="shared" si="114"/>
        <v>0</v>
      </c>
      <c r="N69" s="8">
        <f t="shared" si="114"/>
        <v>0</v>
      </c>
      <c r="P69" s="8">
        <f t="shared" ref="P69:Z69" si="115">P57-P68</f>
        <v>0</v>
      </c>
      <c r="Q69" s="8">
        <f t="shared" si="115"/>
        <v>0</v>
      </c>
      <c r="R69" s="8">
        <f t="shared" si="115"/>
        <v>0</v>
      </c>
      <c r="S69" s="8">
        <f t="shared" si="115"/>
        <v>1971.8789999999997</v>
      </c>
      <c r="T69" s="8">
        <f t="shared" si="115"/>
        <v>5414.9500000000007</v>
      </c>
      <c r="U69" s="8">
        <f t="shared" si="115"/>
        <v>0</v>
      </c>
      <c r="V69" s="8">
        <f t="shared" si="115"/>
        <v>0</v>
      </c>
      <c r="W69" s="8">
        <f t="shared" si="115"/>
        <v>0</v>
      </c>
      <c r="X69" s="8">
        <f t="shared" si="115"/>
        <v>0</v>
      </c>
      <c r="Y69" s="8">
        <f t="shared" si="115"/>
        <v>0</v>
      </c>
      <c r="Z69" s="8">
        <f t="shared" si="115"/>
        <v>0</v>
      </c>
    </row>
    <row r="70" spans="2:26" x14ac:dyDescent="0.2">
      <c r="B70" s="8" t="s">
        <v>70</v>
      </c>
      <c r="C70" s="8">
        <f>C68+C69</f>
        <v>0</v>
      </c>
      <c r="D70" s="8">
        <f t="shared" ref="D70:P70" si="116">D68+D69</f>
        <v>0</v>
      </c>
      <c r="E70" s="8">
        <f t="shared" si="116"/>
        <v>0</v>
      </c>
      <c r="F70" s="8">
        <f t="shared" si="116"/>
        <v>0</v>
      </c>
      <c r="G70" s="8">
        <f t="shared" si="116"/>
        <v>0</v>
      </c>
      <c r="H70" s="8">
        <f t="shared" si="116"/>
        <v>0</v>
      </c>
      <c r="I70" s="8">
        <f t="shared" si="116"/>
        <v>10738.500000000002</v>
      </c>
      <c r="J70" s="8">
        <f t="shared" si="116"/>
        <v>0</v>
      </c>
      <c r="K70" s="8">
        <f t="shared" si="116"/>
        <v>0</v>
      </c>
      <c r="L70" s="8">
        <f t="shared" si="116"/>
        <v>0</v>
      </c>
      <c r="M70" s="8">
        <f t="shared" si="116"/>
        <v>0</v>
      </c>
      <c r="N70" s="8">
        <f t="shared" si="116"/>
        <v>0</v>
      </c>
      <c r="P70" s="8">
        <f t="shared" si="116"/>
        <v>0</v>
      </c>
      <c r="Q70" s="8">
        <f t="shared" ref="Q70" si="117">Q68+Q69</f>
        <v>0</v>
      </c>
      <c r="R70" s="8">
        <f t="shared" ref="R70" si="118">R68+R69</f>
        <v>0</v>
      </c>
      <c r="S70" s="8">
        <f t="shared" ref="S70" si="119">S68+S69</f>
        <v>3674.6589999999997</v>
      </c>
      <c r="T70" s="8">
        <f t="shared" ref="T70" si="120">T68+T69</f>
        <v>9826.1500000000015</v>
      </c>
      <c r="U70" s="8">
        <f t="shared" ref="U70" si="121">U68+U69</f>
        <v>0</v>
      </c>
      <c r="V70" s="8">
        <f t="shared" ref="V70" si="122">V68+V69</f>
        <v>0</v>
      </c>
      <c r="W70" s="8">
        <f t="shared" ref="W70" si="123">W68+W69</f>
        <v>0</v>
      </c>
      <c r="X70" s="8">
        <f t="shared" ref="X70" si="124">X68+X69</f>
        <v>0</v>
      </c>
      <c r="Y70" s="8">
        <f t="shared" ref="Y70" si="125">Y68+Y69</f>
        <v>0</v>
      </c>
      <c r="Z70" s="8">
        <f t="shared" ref="Z70" si="126">Z68+Z69</f>
        <v>0</v>
      </c>
    </row>
    <row r="72" spans="2:26" x14ac:dyDescent="0.2">
      <c r="B72" s="8" t="s">
        <v>71</v>
      </c>
      <c r="C72" s="8">
        <f>C51/C20*90</f>
        <v>0</v>
      </c>
      <c r="D72" s="8">
        <f t="shared" ref="D72:N72" si="127">D51/D20*90</f>
        <v>0</v>
      </c>
      <c r="E72" s="8">
        <f t="shared" si="127"/>
        <v>0</v>
      </c>
      <c r="F72" s="8">
        <f t="shared" si="127"/>
        <v>0</v>
      </c>
      <c r="G72" s="8">
        <f t="shared" si="127"/>
        <v>0</v>
      </c>
      <c r="H72" s="8">
        <f t="shared" si="127"/>
        <v>0</v>
      </c>
      <c r="I72" s="8">
        <f t="shared" si="127"/>
        <v>51.701086956521735</v>
      </c>
      <c r="J72" s="8">
        <f t="shared" si="127"/>
        <v>0</v>
      </c>
      <c r="K72" s="8">
        <f t="shared" si="127"/>
        <v>0</v>
      </c>
      <c r="L72" s="8">
        <f t="shared" si="127"/>
        <v>0</v>
      </c>
      <c r="M72" s="8">
        <f t="shared" si="127"/>
        <v>0</v>
      </c>
      <c r="N72" s="8">
        <f t="shared" si="127"/>
        <v>0</v>
      </c>
      <c r="P72" s="8">
        <f>P51/P20*360</f>
        <v>0</v>
      </c>
      <c r="Q72" s="8">
        <f t="shared" ref="Q72:R72" si="128">Q51/Q20*360</f>
        <v>0</v>
      </c>
      <c r="R72" s="8">
        <f t="shared" si="128"/>
        <v>0</v>
      </c>
      <c r="S72" s="8">
        <f>S51/S20*360</f>
        <v>58.032400258303625</v>
      </c>
      <c r="T72" s="8">
        <f>T51/T20*360</f>
        <v>65.742534624929945</v>
      </c>
      <c r="U72" s="8">
        <f t="shared" ref="U72:Z72" si="129">U51/U20*360</f>
        <v>0</v>
      </c>
      <c r="V72" s="8">
        <f t="shared" si="129"/>
        <v>0</v>
      </c>
      <c r="W72" s="8">
        <f t="shared" si="129"/>
        <v>0</v>
      </c>
      <c r="X72" s="8">
        <f t="shared" si="129"/>
        <v>0</v>
      </c>
      <c r="Y72" s="8">
        <f t="shared" si="129"/>
        <v>0</v>
      </c>
      <c r="Z72" s="8">
        <f t="shared" si="129"/>
        <v>0</v>
      </c>
    </row>
    <row r="74" spans="2:26" x14ac:dyDescent="0.2">
      <c r="B74" s="8" t="s">
        <v>72</v>
      </c>
      <c r="C74" s="8">
        <f>C34</f>
        <v>1568.5</v>
      </c>
      <c r="D74" s="8">
        <f t="shared" ref="D74:N74" si="130">D34</f>
        <v>417.00000000000017</v>
      </c>
      <c r="E74" s="8">
        <f t="shared" si="130"/>
        <v>402.00000000000017</v>
      </c>
      <c r="F74" s="8">
        <f t="shared" si="130"/>
        <v>353.20000000000016</v>
      </c>
      <c r="G74" s="8">
        <f t="shared" si="130"/>
        <v>424.39999999999964</v>
      </c>
      <c r="H74" s="8">
        <f t="shared" si="130"/>
        <v>318.30000000000035</v>
      </c>
      <c r="I74" s="8">
        <f t="shared" si="130"/>
        <v>110</v>
      </c>
      <c r="J74" s="8">
        <f t="shared" si="130"/>
        <v>285.55487608695654</v>
      </c>
      <c r="K74" s="8">
        <f t="shared" si="130"/>
        <v>380.83050510489136</v>
      </c>
      <c r="L74" s="8">
        <f t="shared" si="130"/>
        <v>400.6813246971526</v>
      </c>
      <c r="M74" s="8">
        <f t="shared" si="130"/>
        <v>421.27158167617142</v>
      </c>
      <c r="N74" s="8">
        <f t="shared" si="130"/>
        <v>662.69740799517285</v>
      </c>
      <c r="R74" s="8">
        <f>R34</f>
        <v>284.00000000000006</v>
      </c>
      <c r="S74" s="8">
        <f t="shared" ref="S74:Z74" si="131">S34</f>
        <v>650.64</v>
      </c>
      <c r="T74" s="8">
        <f t="shared" si="131"/>
        <v>1150.9500000000014</v>
      </c>
      <c r="U74" s="8">
        <f t="shared" si="131"/>
        <v>1138.2548760869565</v>
      </c>
      <c r="V74" s="8">
        <f t="shared" si="131"/>
        <v>2034.2894795129316</v>
      </c>
      <c r="W74" s="8">
        <f t="shared" si="131"/>
        <v>2653.4174459409887</v>
      </c>
      <c r="X74" s="8">
        <f t="shared" si="131"/>
        <v>3436.0277218861834</v>
      </c>
      <c r="Y74" s="8">
        <f t="shared" si="131"/>
        <v>4423.9578863378429</v>
      </c>
      <c r="Z74" s="8">
        <f t="shared" si="131"/>
        <v>5669.5695198371222</v>
      </c>
    </row>
    <row r="75" spans="2:26" x14ac:dyDescent="0.2">
      <c r="B75" s="8" t="s">
        <v>73</v>
      </c>
      <c r="I75" s="8">
        <v>853.7</v>
      </c>
      <c r="R75" s="8">
        <v>285.2</v>
      </c>
      <c r="S75" s="8">
        <v>640</v>
      </c>
      <c r="T75" s="8">
        <v>1152.7</v>
      </c>
    </row>
    <row r="76" spans="2:26" x14ac:dyDescent="0.2">
      <c r="B76" s="8" t="s">
        <v>74</v>
      </c>
      <c r="I76" s="8">
        <v>39.700000000000003</v>
      </c>
      <c r="R76" s="8">
        <v>32.5</v>
      </c>
      <c r="S76" s="8">
        <v>35</v>
      </c>
      <c r="T76" s="8">
        <v>41</v>
      </c>
    </row>
    <row r="77" spans="2:26" x14ac:dyDescent="0.2">
      <c r="B77" s="8" t="s">
        <v>75</v>
      </c>
      <c r="I77" s="8">
        <v>230.84</v>
      </c>
      <c r="R77" s="8">
        <v>32.799999999999997</v>
      </c>
      <c r="S77" s="8">
        <v>54.4</v>
      </c>
      <c r="T77" s="8">
        <v>231.5</v>
      </c>
    </row>
    <row r="78" spans="2:26" x14ac:dyDescent="0.2">
      <c r="B78" s="8" t="s">
        <v>76</v>
      </c>
      <c r="I78" s="8">
        <v>-2</v>
      </c>
      <c r="R78" s="8">
        <v>-1.2</v>
      </c>
      <c r="S78" s="8">
        <v>3.6</v>
      </c>
      <c r="T78" s="8">
        <v>-1.8</v>
      </c>
    </row>
    <row r="79" spans="2:26" x14ac:dyDescent="0.2">
      <c r="B79" s="8" t="s">
        <v>83</v>
      </c>
      <c r="I79" s="8">
        <v>2.7</v>
      </c>
      <c r="R79" s="8">
        <v>-13.7</v>
      </c>
      <c r="S79" s="8">
        <v>-2.6</v>
      </c>
      <c r="T79" s="8">
        <v>-0.5</v>
      </c>
    </row>
    <row r="80" spans="2:26" x14ac:dyDescent="0.2">
      <c r="B80" s="8" t="s">
        <v>54</v>
      </c>
      <c r="I80" s="8">
        <v>-134.4</v>
      </c>
      <c r="R80" s="8">
        <v>-6.8</v>
      </c>
      <c r="S80" s="8">
        <v>-93</v>
      </c>
      <c r="T80" s="8">
        <v>-168.5</v>
      </c>
    </row>
    <row r="81" spans="1:122" x14ac:dyDescent="0.2">
      <c r="B81" s="8" t="s">
        <v>77</v>
      </c>
      <c r="I81" s="8">
        <v>5.6</v>
      </c>
      <c r="R81" s="8">
        <v>0.4</v>
      </c>
      <c r="S81" s="8">
        <v>-0.7</v>
      </c>
      <c r="T81" s="8">
        <v>12.3</v>
      </c>
    </row>
    <row r="82" spans="1:122" x14ac:dyDescent="0.2">
      <c r="B82" s="8" t="s">
        <v>50</v>
      </c>
      <c r="I82" s="8">
        <v>94.8</v>
      </c>
      <c r="R82" s="8">
        <v>-372.4</v>
      </c>
      <c r="S82" s="8">
        <v>-311.89999999999998</v>
      </c>
      <c r="T82" s="8">
        <v>-1589</v>
      </c>
    </row>
    <row r="83" spans="1:122" x14ac:dyDescent="0.2">
      <c r="B83" s="8" t="s">
        <v>51</v>
      </c>
      <c r="I83" s="8">
        <v>457.9</v>
      </c>
      <c r="R83" s="8">
        <v>-504.6</v>
      </c>
      <c r="S83" s="8">
        <v>100</v>
      </c>
      <c r="T83" s="8">
        <v>-2900</v>
      </c>
    </row>
    <row r="84" spans="1:122" x14ac:dyDescent="0.2">
      <c r="B84" s="8" t="s">
        <v>52</v>
      </c>
      <c r="I84" s="8">
        <v>-284.3</v>
      </c>
      <c r="R84" s="8">
        <v>-29</v>
      </c>
      <c r="S84" s="8">
        <v>8.3000000000000007</v>
      </c>
      <c r="T84" s="8">
        <v>-44.7</v>
      </c>
    </row>
    <row r="85" spans="1:122" x14ac:dyDescent="0.2">
      <c r="B85" s="8" t="s">
        <v>57</v>
      </c>
      <c r="I85" s="8">
        <v>-811.7</v>
      </c>
      <c r="R85" s="8">
        <v>50.1</v>
      </c>
      <c r="S85" s="8">
        <v>127.1</v>
      </c>
      <c r="T85" s="8">
        <v>679.2</v>
      </c>
    </row>
    <row r="86" spans="1:122" x14ac:dyDescent="0.2">
      <c r="B86" s="8" t="s">
        <v>78</v>
      </c>
      <c r="I86" s="8">
        <v>52.7</v>
      </c>
      <c r="R86" s="8">
        <v>36</v>
      </c>
      <c r="S86" s="8">
        <v>-50.3</v>
      </c>
      <c r="T86" s="8">
        <v>93</v>
      </c>
    </row>
    <row r="87" spans="1:122" x14ac:dyDescent="0.2">
      <c r="B87" s="8" t="s">
        <v>59</v>
      </c>
      <c r="I87" s="8">
        <v>5.4</v>
      </c>
      <c r="R87" s="8">
        <v>29</v>
      </c>
      <c r="S87" s="8">
        <v>87.4</v>
      </c>
      <c r="T87" s="8">
        <v>-111</v>
      </c>
    </row>
    <row r="88" spans="1:122" x14ac:dyDescent="0.2">
      <c r="B88" s="8" t="s">
        <v>61</v>
      </c>
      <c r="I88" s="8">
        <v>250</v>
      </c>
      <c r="R88" s="8">
        <v>31.6</v>
      </c>
      <c r="S88" s="8">
        <v>70.599999999999994</v>
      </c>
      <c r="T88" s="8">
        <v>112</v>
      </c>
    </row>
    <row r="89" spans="1:122" x14ac:dyDescent="0.2">
      <c r="B89" s="8" t="s">
        <v>67</v>
      </c>
      <c r="I89" s="8">
        <v>5.4</v>
      </c>
      <c r="R89" s="8">
        <v>-10.5</v>
      </c>
      <c r="S89" s="8">
        <v>-4.4000000000000004</v>
      </c>
      <c r="T89" s="8">
        <v>8.0399999999999991</v>
      </c>
    </row>
    <row r="90" spans="1:122" s="2" customFormat="1" ht="15" x14ac:dyDescent="0.25">
      <c r="A90" s="8"/>
      <c r="B90" s="2" t="s">
        <v>16</v>
      </c>
      <c r="C90" s="2">
        <f>SUM(C75:C89)</f>
        <v>0</v>
      </c>
      <c r="D90" s="2">
        <f t="shared" ref="D90:H90" si="132">SUM(D75:D89)</f>
        <v>0</v>
      </c>
      <c r="E90" s="2">
        <f t="shared" si="132"/>
        <v>0</v>
      </c>
      <c r="F90" s="2">
        <f t="shared" si="132"/>
        <v>0</v>
      </c>
      <c r="G90" s="2">
        <f t="shared" si="132"/>
        <v>0</v>
      </c>
      <c r="H90" s="2">
        <f t="shared" si="132"/>
        <v>0</v>
      </c>
      <c r="I90" s="2">
        <f>SUM(I75:I89)</f>
        <v>766.34</v>
      </c>
      <c r="J90" s="2">
        <f>SUM(J76:J89,J74)</f>
        <v>285.55487608695654</v>
      </c>
      <c r="K90" s="2">
        <f t="shared" ref="K90:N90" si="133">SUM(K76:K89,K74)</f>
        <v>380.83050510489136</v>
      </c>
      <c r="L90" s="2">
        <f t="shared" si="133"/>
        <v>400.6813246971526</v>
      </c>
      <c r="M90" s="2">
        <f t="shared" si="133"/>
        <v>421.27158167617142</v>
      </c>
      <c r="N90" s="2">
        <f t="shared" si="133"/>
        <v>662.69740799517285</v>
      </c>
      <c r="R90" s="2">
        <f>SUM(R75:R89)</f>
        <v>-440.59999999999991</v>
      </c>
      <c r="S90" s="2">
        <f>SUM(S75:S89)</f>
        <v>663.5</v>
      </c>
      <c r="T90" s="2">
        <f>SUM(T75:T89)</f>
        <v>-2485.7600000000002</v>
      </c>
      <c r="U90" s="2">
        <f t="shared" ref="U90:Z90" si="134">SUM(U76:U89,U74)</f>
        <v>1138.2548760869565</v>
      </c>
      <c r="V90" s="2">
        <f t="shared" si="134"/>
        <v>2034.2894795129316</v>
      </c>
      <c r="W90" s="2">
        <f t="shared" si="134"/>
        <v>2653.4174459409887</v>
      </c>
      <c r="X90" s="2">
        <f t="shared" si="134"/>
        <v>3436.0277218861834</v>
      </c>
      <c r="Y90" s="2">
        <f t="shared" si="134"/>
        <v>4423.9578863378429</v>
      </c>
      <c r="Z90" s="2">
        <f t="shared" si="134"/>
        <v>5669.5695198371222</v>
      </c>
    </row>
    <row r="91" spans="1:122" x14ac:dyDescent="0.2">
      <c r="B91" s="8" t="s">
        <v>79</v>
      </c>
      <c r="I91" s="8">
        <v>-104.5</v>
      </c>
      <c r="R91" s="8">
        <v>-45.2</v>
      </c>
      <c r="S91" s="8">
        <v>-36.799999999999997</v>
      </c>
      <c r="T91" s="8">
        <v>-124.3</v>
      </c>
    </row>
    <row r="92" spans="1:122" x14ac:dyDescent="0.2">
      <c r="B92" s="8" t="s">
        <v>80</v>
      </c>
      <c r="I92" s="8">
        <v>0</v>
      </c>
      <c r="R92" s="8">
        <v>-1.1000000000000001</v>
      </c>
      <c r="S92" s="8">
        <v>-0.5</v>
      </c>
      <c r="T92" s="8">
        <v>-69.7</v>
      </c>
    </row>
    <row r="93" spans="1:122" x14ac:dyDescent="0.2">
      <c r="B93" s="8" t="s">
        <v>81</v>
      </c>
      <c r="I93" s="8">
        <v>0</v>
      </c>
      <c r="R93" s="8">
        <v>0</v>
      </c>
      <c r="S93" s="8">
        <v>-2.2000000000000002</v>
      </c>
      <c r="T93" s="8">
        <v>-0.3</v>
      </c>
    </row>
    <row r="94" spans="1:122" s="2" customFormat="1" ht="15" x14ac:dyDescent="0.25">
      <c r="A94" s="8"/>
      <c r="B94" s="2" t="s">
        <v>82</v>
      </c>
      <c r="C94" s="2">
        <f>C91</f>
        <v>0</v>
      </c>
      <c r="D94" s="2">
        <f t="shared" ref="D94:N94" si="135">D91</f>
        <v>0</v>
      </c>
      <c r="E94" s="2">
        <f t="shared" si="135"/>
        <v>0</v>
      </c>
      <c r="F94" s="2">
        <f t="shared" si="135"/>
        <v>0</v>
      </c>
      <c r="G94" s="2">
        <f t="shared" si="135"/>
        <v>0</v>
      </c>
      <c r="H94" s="2">
        <f t="shared" si="135"/>
        <v>0</v>
      </c>
      <c r="I94" s="2">
        <f t="shared" si="135"/>
        <v>-104.5</v>
      </c>
      <c r="J94" s="2">
        <v>-50</v>
      </c>
      <c r="K94" s="2">
        <f t="shared" si="135"/>
        <v>0</v>
      </c>
      <c r="L94" s="2">
        <f t="shared" si="135"/>
        <v>0</v>
      </c>
      <c r="M94" s="2">
        <f t="shared" si="135"/>
        <v>0</v>
      </c>
      <c r="N94" s="2">
        <f t="shared" si="135"/>
        <v>0</v>
      </c>
      <c r="R94" s="2">
        <f>R91</f>
        <v>-45.2</v>
      </c>
      <c r="S94" s="2">
        <f t="shared" ref="S94:Z94" si="136">S91</f>
        <v>-36.799999999999997</v>
      </c>
      <c r="T94" s="2">
        <f t="shared" si="136"/>
        <v>-124.3</v>
      </c>
      <c r="U94" s="2">
        <f t="shared" si="136"/>
        <v>0</v>
      </c>
      <c r="V94" s="2">
        <f t="shared" si="136"/>
        <v>0</v>
      </c>
      <c r="W94" s="2">
        <f t="shared" si="136"/>
        <v>0</v>
      </c>
      <c r="X94" s="2">
        <f t="shared" si="136"/>
        <v>0</v>
      </c>
      <c r="Y94" s="2">
        <f t="shared" si="136"/>
        <v>0</v>
      </c>
      <c r="Z94" s="2">
        <f t="shared" si="136"/>
        <v>0</v>
      </c>
    </row>
    <row r="95" spans="1:122" s="2" customFormat="1" ht="15" x14ac:dyDescent="0.25">
      <c r="A95" s="8"/>
      <c r="B95" s="2" t="s">
        <v>15</v>
      </c>
      <c r="C95" s="2">
        <f>C90+C94</f>
        <v>0</v>
      </c>
      <c r="D95" s="2">
        <f t="shared" ref="D95:N95" si="137">D90+D94</f>
        <v>0</v>
      </c>
      <c r="E95" s="2">
        <f t="shared" si="137"/>
        <v>0</v>
      </c>
      <c r="F95" s="2">
        <f t="shared" si="137"/>
        <v>0</v>
      </c>
      <c r="G95" s="2">
        <f t="shared" si="137"/>
        <v>0</v>
      </c>
      <c r="H95" s="2">
        <f t="shared" si="137"/>
        <v>0</v>
      </c>
      <c r="I95" s="2">
        <f t="shared" si="137"/>
        <v>661.84</v>
      </c>
      <c r="J95" s="2">
        <f t="shared" si="137"/>
        <v>235.55487608695654</v>
      </c>
      <c r="K95" s="2">
        <f t="shared" si="137"/>
        <v>380.83050510489136</v>
      </c>
      <c r="L95" s="2">
        <f t="shared" si="137"/>
        <v>400.6813246971526</v>
      </c>
      <c r="M95" s="2">
        <f t="shared" si="137"/>
        <v>421.27158167617142</v>
      </c>
      <c r="N95" s="2">
        <f t="shared" si="137"/>
        <v>662.69740799517285</v>
      </c>
      <c r="R95" s="2">
        <f>R90+R94</f>
        <v>-485.7999999999999</v>
      </c>
      <c r="S95" s="2">
        <f t="shared" ref="S95:T95" si="138">S90+S94</f>
        <v>626.70000000000005</v>
      </c>
      <c r="T95" s="2">
        <f t="shared" si="138"/>
        <v>-2610.0600000000004</v>
      </c>
      <c r="U95" s="2">
        <f t="shared" ref="U95" si="139">U90+U94</f>
        <v>1138.2548760869565</v>
      </c>
      <c r="V95" s="2">
        <f t="shared" ref="V95" si="140">V90+V94</f>
        <v>2034.2894795129316</v>
      </c>
      <c r="W95" s="2">
        <f t="shared" ref="W95" si="141">W90+W94</f>
        <v>2653.4174459409887</v>
      </c>
      <c r="X95" s="2">
        <f t="shared" ref="X95" si="142">X90+X94</f>
        <v>3436.0277218861834</v>
      </c>
      <c r="Y95" s="2">
        <f t="shared" ref="Y95" si="143">Y90+Y94</f>
        <v>4423.9578863378429</v>
      </c>
      <c r="Z95" s="2">
        <f t="shared" ref="Z95" si="144">Z90+Z94</f>
        <v>5669.5695198371222</v>
      </c>
      <c r="AA95" s="2">
        <f t="shared" ref="AA95:BF95" si="145">Z95*(1+$AC$39)</f>
        <v>5726.2652150354934</v>
      </c>
      <c r="AB95" s="2">
        <f t="shared" si="145"/>
        <v>5783.5278671858487</v>
      </c>
      <c r="AC95" s="2">
        <f t="shared" si="145"/>
        <v>5841.3631458577074</v>
      </c>
      <c r="AD95" s="2">
        <f t="shared" si="145"/>
        <v>5899.7767773162841</v>
      </c>
      <c r="AE95" s="2">
        <f t="shared" si="145"/>
        <v>5958.7745450894472</v>
      </c>
      <c r="AF95" s="2">
        <f t="shared" si="145"/>
        <v>6018.3622905403417</v>
      </c>
      <c r="AG95" s="2">
        <f t="shared" si="145"/>
        <v>6078.5459134457451</v>
      </c>
      <c r="AH95" s="2">
        <f t="shared" si="145"/>
        <v>6139.3313725802027</v>
      </c>
      <c r="AI95" s="2">
        <f t="shared" si="145"/>
        <v>6200.7246863060045</v>
      </c>
      <c r="AJ95" s="2">
        <f t="shared" si="145"/>
        <v>6262.7319331690642</v>
      </c>
      <c r="AK95" s="2">
        <f t="shared" si="145"/>
        <v>6325.3592525007552</v>
      </c>
      <c r="AL95" s="2">
        <f t="shared" si="145"/>
        <v>6388.6128450257629</v>
      </c>
      <c r="AM95" s="2">
        <f t="shared" si="145"/>
        <v>6452.4989734760202</v>
      </c>
      <c r="AN95" s="2">
        <f t="shared" si="145"/>
        <v>6517.0239632107805</v>
      </c>
      <c r="AO95" s="2">
        <f t="shared" si="145"/>
        <v>6582.1942028428884</v>
      </c>
      <c r="AP95" s="2">
        <f t="shared" si="145"/>
        <v>6648.016144871317</v>
      </c>
      <c r="AQ95" s="2">
        <f t="shared" si="145"/>
        <v>6714.4963063200303</v>
      </c>
      <c r="AR95" s="2">
        <f t="shared" si="145"/>
        <v>6781.6412693832308</v>
      </c>
      <c r="AS95" s="2">
        <f t="shared" si="145"/>
        <v>6849.4576820770635</v>
      </c>
      <c r="AT95" s="2">
        <f t="shared" si="145"/>
        <v>6917.9522588978343</v>
      </c>
      <c r="AU95" s="2">
        <f t="shared" si="145"/>
        <v>6987.1317814868125</v>
      </c>
      <c r="AV95" s="2">
        <f t="shared" si="145"/>
        <v>7057.0030993016808</v>
      </c>
      <c r="AW95" s="2">
        <f t="shared" si="145"/>
        <v>7127.5731302946979</v>
      </c>
      <c r="AX95" s="2">
        <f t="shared" si="145"/>
        <v>7198.8488615976448</v>
      </c>
      <c r="AY95" s="2">
        <f t="shared" si="145"/>
        <v>7270.837350213621</v>
      </c>
      <c r="AZ95" s="2">
        <f t="shared" si="145"/>
        <v>7343.545723715757</v>
      </c>
      <c r="BA95" s="2">
        <f t="shared" si="145"/>
        <v>7416.9811809529147</v>
      </c>
      <c r="BB95" s="2">
        <f t="shared" si="145"/>
        <v>7491.1509927624438</v>
      </c>
      <c r="BC95" s="2">
        <f t="shared" si="145"/>
        <v>7566.062502690068</v>
      </c>
      <c r="BD95" s="2">
        <f t="shared" si="145"/>
        <v>7641.7231277169685</v>
      </c>
      <c r="BE95" s="2">
        <f t="shared" si="145"/>
        <v>7718.1403589941383</v>
      </c>
      <c r="BF95" s="2">
        <f t="shared" si="145"/>
        <v>7795.3217625840798</v>
      </c>
      <c r="BG95" s="2">
        <f t="shared" ref="BG95:CL95" si="146">BF95*(1+$AC$39)</f>
        <v>7873.2749802099206</v>
      </c>
      <c r="BH95" s="2">
        <f t="shared" si="146"/>
        <v>7952.0077300120201</v>
      </c>
      <c r="BI95" s="2">
        <f t="shared" si="146"/>
        <v>8031.5278073121408</v>
      </c>
      <c r="BJ95" s="2">
        <f t="shared" si="146"/>
        <v>8111.8430853852624</v>
      </c>
      <c r="BK95" s="2">
        <f t="shared" si="146"/>
        <v>8192.9615162391146</v>
      </c>
      <c r="BL95" s="2">
        <f t="shared" si="146"/>
        <v>8274.8911314015058</v>
      </c>
      <c r="BM95" s="2">
        <f t="shared" si="146"/>
        <v>8357.6400427155204</v>
      </c>
      <c r="BN95" s="2">
        <f t="shared" si="146"/>
        <v>8441.2164431426754</v>
      </c>
      <c r="BO95" s="2">
        <f t="shared" si="146"/>
        <v>8525.6286075741027</v>
      </c>
      <c r="BP95" s="2">
        <f t="shared" si="146"/>
        <v>8610.8848936498434</v>
      </c>
      <c r="BQ95" s="2">
        <f t="shared" si="146"/>
        <v>8696.9937425863427</v>
      </c>
      <c r="BR95" s="2">
        <f t="shared" si="146"/>
        <v>8783.9636800122062</v>
      </c>
      <c r="BS95" s="2">
        <f t="shared" si="146"/>
        <v>8871.8033168123275</v>
      </c>
      <c r="BT95" s="2">
        <f t="shared" si="146"/>
        <v>8960.5213499804504</v>
      </c>
      <c r="BU95" s="2">
        <f t="shared" si="146"/>
        <v>9050.1265634802548</v>
      </c>
      <c r="BV95" s="2">
        <f t="shared" si="146"/>
        <v>9140.6278291150575</v>
      </c>
      <c r="BW95" s="2">
        <f t="shared" si="146"/>
        <v>9232.0341074062089</v>
      </c>
      <c r="BX95" s="2">
        <f t="shared" si="146"/>
        <v>9324.3544484802715</v>
      </c>
      <c r="BY95" s="2">
        <f t="shared" si="146"/>
        <v>9417.5979929650748</v>
      </c>
      <c r="BZ95" s="2">
        <f t="shared" si="146"/>
        <v>9511.7739728947254</v>
      </c>
      <c r="CA95" s="2">
        <f t="shared" si="146"/>
        <v>9606.891712623672</v>
      </c>
      <c r="CB95" s="2">
        <f t="shared" si="146"/>
        <v>9702.9606297499085</v>
      </c>
      <c r="CC95" s="2">
        <f t="shared" si="146"/>
        <v>9799.990236047408</v>
      </c>
      <c r="CD95" s="2">
        <f t="shared" si="146"/>
        <v>9897.9901384078821</v>
      </c>
      <c r="CE95" s="2">
        <f t="shared" si="146"/>
        <v>9996.9700397919605</v>
      </c>
      <c r="CF95" s="2">
        <f t="shared" si="146"/>
        <v>10096.93974018988</v>
      </c>
      <c r="CG95" s="2">
        <f t="shared" si="146"/>
        <v>10197.90913759178</v>
      </c>
      <c r="CH95" s="2">
        <f t="shared" si="146"/>
        <v>10299.888228967697</v>
      </c>
      <c r="CI95" s="2">
        <f t="shared" si="146"/>
        <v>10402.887111257374</v>
      </c>
      <c r="CJ95" s="2">
        <f t="shared" si="146"/>
        <v>10506.915982369948</v>
      </c>
      <c r="CK95" s="2">
        <f t="shared" si="146"/>
        <v>10611.985142193647</v>
      </c>
      <c r="CL95" s="2">
        <f t="shared" si="146"/>
        <v>10718.104993615583</v>
      </c>
      <c r="CM95" s="2">
        <f t="shared" ref="CM95:DR95" si="147">CL95*(1+$AC$39)</f>
        <v>10825.28604355174</v>
      </c>
      <c r="CN95" s="2">
        <f t="shared" si="147"/>
        <v>10933.538903987257</v>
      </c>
      <c r="CO95" s="2">
        <f t="shared" si="147"/>
        <v>11042.874293027129</v>
      </c>
      <c r="CP95" s="2">
        <f t="shared" si="147"/>
        <v>11153.3030359574</v>
      </c>
      <c r="CQ95" s="2">
        <f t="shared" si="147"/>
        <v>11264.836066316975</v>
      </c>
      <c r="CR95" s="2">
        <f t="shared" si="147"/>
        <v>11377.484426980145</v>
      </c>
      <c r="CS95" s="2">
        <f t="shared" si="147"/>
        <v>11491.259271249946</v>
      </c>
      <c r="CT95" s="2">
        <f t="shared" si="147"/>
        <v>11606.171863962445</v>
      </c>
      <c r="CU95" s="2">
        <f t="shared" si="147"/>
        <v>11722.23358260207</v>
      </c>
      <c r="CV95" s="2">
        <f t="shared" si="147"/>
        <v>11839.455918428092</v>
      </c>
      <c r="CW95" s="2">
        <f t="shared" si="147"/>
        <v>11957.850477612372</v>
      </c>
      <c r="CX95" s="2">
        <f t="shared" si="147"/>
        <v>12077.428982388496</v>
      </c>
      <c r="CY95" s="2">
        <f t="shared" si="147"/>
        <v>12198.20327221238</v>
      </c>
      <c r="CZ95" s="2">
        <f t="shared" si="147"/>
        <v>12320.185304934505</v>
      </c>
      <c r="DA95" s="2">
        <f t="shared" si="147"/>
        <v>12443.387157983851</v>
      </c>
      <c r="DB95" s="2">
        <f t="shared" si="147"/>
        <v>12567.821029563689</v>
      </c>
      <c r="DC95" s="2">
        <f t="shared" si="147"/>
        <v>12693.499239859326</v>
      </c>
      <c r="DD95" s="2">
        <f t="shared" si="147"/>
        <v>12820.43423225792</v>
      </c>
      <c r="DE95" s="2">
        <f t="shared" si="147"/>
        <v>12948.638574580498</v>
      </c>
      <c r="DF95" s="2">
        <f t="shared" si="147"/>
        <v>13078.124960326304</v>
      </c>
      <c r="DG95" s="2">
        <f t="shared" si="147"/>
        <v>13208.906209929568</v>
      </c>
      <c r="DH95" s="2">
        <f t="shared" si="147"/>
        <v>13340.995272028864</v>
      </c>
      <c r="DI95" s="2">
        <f t="shared" si="147"/>
        <v>13474.405224749153</v>
      </c>
      <c r="DJ95" s="2">
        <f t="shared" si="147"/>
        <v>13609.149276996644</v>
      </c>
      <c r="DK95" s="2">
        <f t="shared" si="147"/>
        <v>13745.240769766611</v>
      </c>
      <c r="DL95" s="2">
        <f t="shared" si="147"/>
        <v>13882.693177464278</v>
      </c>
      <c r="DM95" s="2">
        <f t="shared" si="147"/>
        <v>14021.520109238922</v>
      </c>
      <c r="DN95" s="2">
        <f t="shared" si="147"/>
        <v>14161.735310331311</v>
      </c>
      <c r="DO95" s="2">
        <f t="shared" si="147"/>
        <v>14303.352663434624</v>
      </c>
      <c r="DP95" s="2">
        <f t="shared" si="147"/>
        <v>14446.38619006897</v>
      </c>
      <c r="DQ95" s="2">
        <f t="shared" si="147"/>
        <v>14590.850051969659</v>
      </c>
      <c r="DR95" s="2">
        <f t="shared" si="147"/>
        <v>14736.758552489357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2025-05-14T20:45:28Z</dcterms:modified>
</cp:coreProperties>
</file>