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88B2F206-EFD8-455A-B64F-E90D4DAE301F}" xr6:coauthVersionLast="47" xr6:coauthVersionMax="47" xr10:uidLastSave="{00000000-0000-0000-0000-000000000000}"/>
  <bookViews>
    <workbookView xWindow="3120" yWindow="1860" windowWidth="22200" windowHeight="14340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9" i="2" l="1"/>
  <c r="AA91" i="2"/>
  <c r="AB91" i="2"/>
  <c r="AC91" i="2"/>
  <c r="Z91" i="2"/>
  <c r="U38" i="2"/>
  <c r="Y11" i="2"/>
  <c r="Y10" i="2"/>
  <c r="Z10" i="2" s="1"/>
  <c r="AA10" i="2" s="1"/>
  <c r="AB10" i="2" s="1"/>
  <c r="AC10" i="2" s="1"/>
  <c r="M16" i="2"/>
  <c r="L16" i="2"/>
  <c r="M20" i="2"/>
  <c r="L20" i="2"/>
  <c r="Y31" i="2"/>
  <c r="M36" i="2"/>
  <c r="Y36" i="2" s="1"/>
  <c r="Z36" i="2" s="1"/>
  <c r="AA36" i="2" s="1"/>
  <c r="AB36" i="2" s="1"/>
  <c r="AC36" i="2" s="1"/>
  <c r="L36" i="2"/>
  <c r="X92" i="2"/>
  <c r="W92" i="2"/>
  <c r="V92" i="2"/>
  <c r="I92" i="2"/>
  <c r="J53" i="2"/>
  <c r="K53" i="2"/>
  <c r="D10" i="2"/>
  <c r="E10" i="2"/>
  <c r="J10" i="2"/>
  <c r="I10" i="2"/>
  <c r="H10" i="2"/>
  <c r="G10" i="2"/>
  <c r="F10" i="2"/>
  <c r="K10" i="2"/>
  <c r="K21" i="2"/>
  <c r="J21" i="2"/>
  <c r="P24" i="2"/>
  <c r="Q24" i="2"/>
  <c r="R24" i="2"/>
  <c r="P28" i="2"/>
  <c r="P29" i="2" s="1"/>
  <c r="Q28" i="2"/>
  <c r="Q29" i="2" s="1"/>
  <c r="R28" i="2"/>
  <c r="R29" i="2" s="1"/>
  <c r="O28" i="2"/>
  <c r="O24" i="2"/>
  <c r="O41" i="2"/>
  <c r="P41" i="2"/>
  <c r="Q41" i="2"/>
  <c r="R41" i="2"/>
  <c r="P38" i="2"/>
  <c r="Q38" i="2"/>
  <c r="R38" i="2"/>
  <c r="O94" i="2"/>
  <c r="P94" i="2"/>
  <c r="Q94" i="2"/>
  <c r="R94" i="2"/>
  <c r="S94" i="2"/>
  <c r="T94" i="2"/>
  <c r="U94" i="2"/>
  <c r="C94" i="2"/>
  <c r="D94" i="2"/>
  <c r="E94" i="2"/>
  <c r="F94" i="2"/>
  <c r="G94" i="2"/>
  <c r="H94" i="2"/>
  <c r="J94" i="2"/>
  <c r="K94" i="2"/>
  <c r="B94" i="2"/>
  <c r="L15" i="2"/>
  <c r="M15" i="2" s="1"/>
  <c r="L17" i="2"/>
  <c r="M17" i="2" s="1"/>
  <c r="L18" i="2"/>
  <c r="M18" i="2" s="1"/>
  <c r="J19" i="2"/>
  <c r="O53" i="2"/>
  <c r="P53" i="2"/>
  <c r="Q53" i="2"/>
  <c r="R53" i="2"/>
  <c r="P1" i="2"/>
  <c r="Q1" i="2" s="1"/>
  <c r="R1" i="2" s="1"/>
  <c r="K3" i="1"/>
  <c r="K6" i="1"/>
  <c r="K5" i="1"/>
  <c r="Y78" i="2"/>
  <c r="Z78" i="2" s="1"/>
  <c r="AA78" i="2" s="1"/>
  <c r="AB78" i="2" s="1"/>
  <c r="AC78" i="2" s="1"/>
  <c r="V10" i="2"/>
  <c r="W10" i="2"/>
  <c r="B13" i="2"/>
  <c r="C13" i="2"/>
  <c r="D13" i="2"/>
  <c r="E13" i="2"/>
  <c r="F13" i="2"/>
  <c r="G13" i="2"/>
  <c r="H13" i="2"/>
  <c r="I13" i="2"/>
  <c r="X10" i="2"/>
  <c r="Y79" i="2"/>
  <c r="Z79" i="2" s="1"/>
  <c r="AA79" i="2" s="1"/>
  <c r="AB79" i="2" s="1"/>
  <c r="AC79" i="2" s="1"/>
  <c r="V13" i="2"/>
  <c r="W13" i="2"/>
  <c r="X13" i="2"/>
  <c r="I90" i="2"/>
  <c r="I94" i="2" s="1"/>
  <c r="T19" i="2"/>
  <c r="T22" i="2" s="1"/>
  <c r="U19" i="2"/>
  <c r="U22" i="2" s="1"/>
  <c r="V19" i="2"/>
  <c r="W19" i="2"/>
  <c r="X19" i="2"/>
  <c r="S19" i="2"/>
  <c r="S22" i="2" s="1"/>
  <c r="S38" i="2" s="1"/>
  <c r="C19" i="2"/>
  <c r="D19" i="2"/>
  <c r="E19" i="2"/>
  <c r="F19" i="2"/>
  <c r="G19" i="2"/>
  <c r="H19" i="2"/>
  <c r="I19" i="2"/>
  <c r="B19" i="2"/>
  <c r="Z31" i="2"/>
  <c r="AA31" i="2" s="1"/>
  <c r="AB31" i="2" s="1"/>
  <c r="AC31" i="2" s="1"/>
  <c r="E3" i="2"/>
  <c r="I3" i="2"/>
  <c r="I8" i="2"/>
  <c r="E8" i="2"/>
  <c r="W31" i="2"/>
  <c r="X31" i="2"/>
  <c r="F21" i="2"/>
  <c r="B21" i="2"/>
  <c r="X54" i="2"/>
  <c r="S27" i="2"/>
  <c r="S28" i="2" s="1"/>
  <c r="S53" i="2"/>
  <c r="T28" i="2"/>
  <c r="G21" i="2"/>
  <c r="C21" i="2"/>
  <c r="D21" i="2"/>
  <c r="H21" i="2"/>
  <c r="H36" i="2"/>
  <c r="W90" i="2"/>
  <c r="W94" i="2" s="1"/>
  <c r="X90" i="2"/>
  <c r="X94" i="2" s="1"/>
  <c r="V90" i="2"/>
  <c r="V94" i="2" s="1"/>
  <c r="O29" i="2" l="1"/>
  <c r="Q42" i="2"/>
  <c r="Q32" i="2"/>
  <c r="Q34" i="2" s="1"/>
  <c r="Q95" i="2" s="1"/>
  <c r="R42" i="2"/>
  <c r="R32" i="2"/>
  <c r="R34" i="2" s="1"/>
  <c r="R76" i="2" s="1"/>
  <c r="P42" i="2"/>
  <c r="P32" i="2"/>
  <c r="P34" i="2" s="1"/>
  <c r="P76" i="2" s="1"/>
  <c r="O32" i="2"/>
  <c r="O34" i="2" s="1"/>
  <c r="O42" i="2"/>
  <c r="M13" i="2"/>
  <c r="K19" i="2"/>
  <c r="X44" i="2"/>
  <c r="J13" i="2"/>
  <c r="W44" i="2"/>
  <c r="M6" i="2"/>
  <c r="K13" i="2"/>
  <c r="V44" i="2"/>
  <c r="Y20" i="2"/>
  <c r="Z20" i="2" s="1"/>
  <c r="AA20" i="2" s="1"/>
  <c r="AB20" i="2" s="1"/>
  <c r="AC20" i="2" s="1"/>
  <c r="G22" i="2"/>
  <c r="E44" i="2"/>
  <c r="F22" i="2"/>
  <c r="I44" i="2"/>
  <c r="B22" i="2"/>
  <c r="U44" i="2"/>
  <c r="T44" i="2"/>
  <c r="H44" i="2"/>
  <c r="D44" i="2"/>
  <c r="C22" i="2"/>
  <c r="G44" i="2"/>
  <c r="F44" i="2"/>
  <c r="C44" i="2"/>
  <c r="D22" i="2"/>
  <c r="H22" i="2"/>
  <c r="L6" i="2"/>
  <c r="K6" i="2"/>
  <c r="L45" i="2"/>
  <c r="M45" i="2"/>
  <c r="S24" i="2"/>
  <c r="S41" i="2" s="1"/>
  <c r="I71" i="2"/>
  <c r="I72" i="2" s="1"/>
  <c r="I61" i="2"/>
  <c r="I54" i="2"/>
  <c r="X71" i="2"/>
  <c r="W71" i="2"/>
  <c r="W72" i="2" s="1"/>
  <c r="X61" i="2"/>
  <c r="W61" i="2"/>
  <c r="W54" i="2"/>
  <c r="W53" i="2" s="1"/>
  <c r="L13" i="2" l="1"/>
  <c r="P95" i="2"/>
  <c r="Q76" i="2"/>
  <c r="R95" i="2"/>
  <c r="O95" i="2"/>
  <c r="O76" i="2"/>
  <c r="X72" i="2"/>
  <c r="J44" i="2"/>
  <c r="Y16" i="2"/>
  <c r="Z16" i="2" s="1"/>
  <c r="AA16" i="2" s="1"/>
  <c r="AB16" i="2" s="1"/>
  <c r="AC16" i="2" s="1"/>
  <c r="Y18" i="2"/>
  <c r="Z18" i="2" s="1"/>
  <c r="AA18" i="2" s="1"/>
  <c r="AB18" i="2" s="1"/>
  <c r="AC18" i="2" s="1"/>
  <c r="Y17" i="2"/>
  <c r="Z17" i="2" s="1"/>
  <c r="AA17" i="2" s="1"/>
  <c r="AB17" i="2" s="1"/>
  <c r="AC17" i="2" s="1"/>
  <c r="S46" i="2"/>
  <c r="S29" i="2"/>
  <c r="S32" i="2" s="1"/>
  <c r="T24" i="2"/>
  <c r="T38" i="2"/>
  <c r="T46" i="2"/>
  <c r="I62" i="2"/>
  <c r="I73" i="2" s="1"/>
  <c r="I74" i="2" s="1"/>
  <c r="W62" i="2"/>
  <c r="W73" i="2" s="1"/>
  <c r="W74" i="2" s="1"/>
  <c r="X62" i="2"/>
  <c r="C53" i="2"/>
  <c r="D53" i="2"/>
  <c r="E53" i="2"/>
  <c r="F53" i="2"/>
  <c r="G53" i="2"/>
  <c r="H53" i="2"/>
  <c r="I53" i="2"/>
  <c r="B53" i="2"/>
  <c r="U53" i="2"/>
  <c r="V53" i="2"/>
  <c r="T53" i="2"/>
  <c r="X53" i="2"/>
  <c r="X73" i="2" l="1"/>
  <c r="Z13" i="2"/>
  <c r="K44" i="2"/>
  <c r="Y13" i="2"/>
  <c r="L19" i="2"/>
  <c r="S42" i="2"/>
  <c r="X74" i="2"/>
  <c r="S34" i="2"/>
  <c r="T41" i="2"/>
  <c r="T29" i="2"/>
  <c r="I21" i="2"/>
  <c r="K22" i="2" s="1"/>
  <c r="E21" i="2"/>
  <c r="C28" i="2"/>
  <c r="D28" i="2"/>
  <c r="E28" i="2"/>
  <c r="F28" i="2"/>
  <c r="G28" i="2"/>
  <c r="H28" i="2"/>
  <c r="I28" i="2"/>
  <c r="D45" i="2"/>
  <c r="E45" i="2"/>
  <c r="F45" i="2"/>
  <c r="G45" i="2"/>
  <c r="H45" i="2"/>
  <c r="I45" i="2"/>
  <c r="J45" i="2"/>
  <c r="K45" i="2"/>
  <c r="C45" i="2"/>
  <c r="B28" i="2"/>
  <c r="E2" i="2"/>
  <c r="X45" i="2"/>
  <c r="W45" i="2"/>
  <c r="X21" i="2"/>
  <c r="X22" i="2" s="1"/>
  <c r="W21" i="2"/>
  <c r="W22" i="2" s="1"/>
  <c r="V21" i="2"/>
  <c r="V22" i="2" s="1"/>
  <c r="U28" i="2"/>
  <c r="X28" i="2"/>
  <c r="W28" i="2"/>
  <c r="V28" i="2"/>
  <c r="I2" i="2"/>
  <c r="U1" i="2"/>
  <c r="V1" i="2" s="1"/>
  <c r="W1" i="2" s="1"/>
  <c r="X1" i="2" s="1"/>
  <c r="Y1" i="2" s="1"/>
  <c r="Z1" i="2" s="1"/>
  <c r="AA1" i="2" s="1"/>
  <c r="AB1" i="2" s="1"/>
  <c r="AC1" i="2" s="1"/>
  <c r="K4" i="1"/>
  <c r="K7" i="1" s="1"/>
  <c r="S76" i="2" l="1"/>
  <c r="S95" i="2"/>
  <c r="AA13" i="2"/>
  <c r="I22" i="2"/>
  <c r="L44" i="2"/>
  <c r="M19" i="2"/>
  <c r="Y15" i="2"/>
  <c r="E4" i="2"/>
  <c r="E22" i="2"/>
  <c r="J22" i="2"/>
  <c r="I4" i="2"/>
  <c r="G24" i="2"/>
  <c r="D24" i="2"/>
  <c r="D41" i="2" s="1"/>
  <c r="C24" i="2"/>
  <c r="T32" i="2"/>
  <c r="T42" i="2"/>
  <c r="U24" i="2"/>
  <c r="U41" i="2" s="1"/>
  <c r="G38" i="2"/>
  <c r="H38" i="2"/>
  <c r="H24" i="2"/>
  <c r="Y45" i="2"/>
  <c r="Z45" i="2"/>
  <c r="Z15" i="2" l="1"/>
  <c r="AC13" i="2"/>
  <c r="AB13" i="2"/>
  <c r="L21" i="2"/>
  <c r="M44" i="2"/>
  <c r="Y19" i="2"/>
  <c r="Y44" i="2" s="1"/>
  <c r="F38" i="2"/>
  <c r="K38" i="2"/>
  <c r="K39" i="2"/>
  <c r="B46" i="2"/>
  <c r="I39" i="2"/>
  <c r="I46" i="2"/>
  <c r="B24" i="2"/>
  <c r="B41" i="2" s="1"/>
  <c r="G46" i="2"/>
  <c r="C46" i="2"/>
  <c r="F39" i="2"/>
  <c r="E46" i="2"/>
  <c r="F46" i="2"/>
  <c r="C39" i="2"/>
  <c r="D46" i="2"/>
  <c r="F24" i="2"/>
  <c r="F41" i="2" s="1"/>
  <c r="G39" i="2"/>
  <c r="D39" i="2"/>
  <c r="H39" i="2"/>
  <c r="H46" i="2"/>
  <c r="J46" i="2"/>
  <c r="J38" i="2"/>
  <c r="D29" i="2"/>
  <c r="D32" i="2" s="1"/>
  <c r="T34" i="2"/>
  <c r="U29" i="2"/>
  <c r="U42" i="2" s="1"/>
  <c r="U46" i="2"/>
  <c r="E24" i="2"/>
  <c r="E39" i="2"/>
  <c r="G29" i="2"/>
  <c r="G41" i="2"/>
  <c r="J39" i="2"/>
  <c r="C29" i="2"/>
  <c r="C41" i="2"/>
  <c r="H29" i="2"/>
  <c r="H41" i="2"/>
  <c r="I38" i="2"/>
  <c r="X24" i="2"/>
  <c r="X41" i="2" s="1"/>
  <c r="X38" i="2"/>
  <c r="X46" i="2"/>
  <c r="I24" i="2"/>
  <c r="W24" i="2"/>
  <c r="W46" i="2"/>
  <c r="V24" i="2"/>
  <c r="V41" i="2" s="1"/>
  <c r="V46" i="2"/>
  <c r="AA45" i="2"/>
  <c r="W38" i="2"/>
  <c r="V38" i="2"/>
  <c r="AB45" i="2"/>
  <c r="T76" i="2" l="1"/>
  <c r="T95" i="2"/>
  <c r="AA15" i="2"/>
  <c r="Z11" i="2"/>
  <c r="M21" i="2"/>
  <c r="M22" i="2" s="1"/>
  <c r="M23" i="2" s="1"/>
  <c r="L22" i="2"/>
  <c r="L38" i="2" s="1"/>
  <c r="K46" i="2"/>
  <c r="Z19" i="2"/>
  <c r="Z44" i="2" s="1"/>
  <c r="B29" i="2"/>
  <c r="B32" i="2" s="1"/>
  <c r="B34" i="2" s="1"/>
  <c r="B95" i="2" s="1"/>
  <c r="F29" i="2"/>
  <c r="F32" i="2" s="1"/>
  <c r="F34" i="2" s="1"/>
  <c r="F95" i="2" s="1"/>
  <c r="D42" i="2"/>
  <c r="X29" i="2"/>
  <c r="X32" i="2" s="1"/>
  <c r="X34" i="2" s="1"/>
  <c r="U32" i="2"/>
  <c r="H32" i="2"/>
  <c r="H42" i="2"/>
  <c r="C32" i="2"/>
  <c r="C42" i="2"/>
  <c r="I29" i="2"/>
  <c r="I41" i="2"/>
  <c r="G32" i="2"/>
  <c r="G42" i="2"/>
  <c r="E29" i="2"/>
  <c r="E41" i="2"/>
  <c r="D34" i="2"/>
  <c r="D95" i="2" s="1"/>
  <c r="V29" i="2"/>
  <c r="V42" i="2" s="1"/>
  <c r="W41" i="2"/>
  <c r="W29" i="2"/>
  <c r="L46" i="2" l="1"/>
  <c r="X35" i="2"/>
  <c r="X95" i="2"/>
  <c r="Y21" i="2"/>
  <c r="AB15" i="2"/>
  <c r="AA11" i="2"/>
  <c r="Y22" i="2"/>
  <c r="L23" i="2"/>
  <c r="L39" i="2"/>
  <c r="F42" i="2"/>
  <c r="L27" i="2"/>
  <c r="L25" i="2"/>
  <c r="L26" i="2"/>
  <c r="Z21" i="2"/>
  <c r="AA21" i="2" s="1"/>
  <c r="AB21" i="2" s="1"/>
  <c r="AC21" i="2" s="1"/>
  <c r="B76" i="2"/>
  <c r="B35" i="2"/>
  <c r="AA19" i="2"/>
  <c r="AA44" i="2" s="1"/>
  <c r="B42" i="2"/>
  <c r="U34" i="2"/>
  <c r="U95" i="2" s="1"/>
  <c r="X42" i="2"/>
  <c r="M46" i="2"/>
  <c r="M38" i="2"/>
  <c r="M39" i="2"/>
  <c r="F35" i="2"/>
  <c r="F76" i="2"/>
  <c r="D35" i="2"/>
  <c r="D76" i="2"/>
  <c r="G34" i="2"/>
  <c r="I32" i="2"/>
  <c r="I42" i="2"/>
  <c r="C34" i="2"/>
  <c r="E32" i="2"/>
  <c r="E42" i="2"/>
  <c r="H34" i="2"/>
  <c r="H95" i="2" s="1"/>
  <c r="V32" i="2"/>
  <c r="X76" i="2"/>
  <c r="W32" i="2"/>
  <c r="W42" i="2"/>
  <c r="AC45" i="2"/>
  <c r="C35" i="2" l="1"/>
  <c r="C95" i="2"/>
  <c r="G35" i="2"/>
  <c r="G95" i="2"/>
  <c r="U76" i="2"/>
  <c r="AC15" i="2"/>
  <c r="AC11" i="2" s="1"/>
  <c r="AB11" i="2"/>
  <c r="Z22" i="2"/>
  <c r="M25" i="2"/>
  <c r="Y25" i="2" s="1"/>
  <c r="M26" i="2"/>
  <c r="Y26" i="2" s="1"/>
  <c r="Z26" i="2" s="1"/>
  <c r="AA26" i="2" s="1"/>
  <c r="AB26" i="2" s="1"/>
  <c r="AC26" i="2" s="1"/>
  <c r="M27" i="2"/>
  <c r="Y27" i="2" s="1"/>
  <c r="Z27" i="2" s="1"/>
  <c r="AA27" i="2" s="1"/>
  <c r="AB27" i="2" s="1"/>
  <c r="AC27" i="2" s="1"/>
  <c r="AC19" i="2"/>
  <c r="AB19" i="2"/>
  <c r="AB44" i="2" s="1"/>
  <c r="Y38" i="2"/>
  <c r="Y46" i="2"/>
  <c r="AA22" i="2"/>
  <c r="H35" i="2"/>
  <c r="H76" i="2"/>
  <c r="G76" i="2"/>
  <c r="C76" i="2"/>
  <c r="E34" i="2"/>
  <c r="E95" i="2" s="1"/>
  <c r="V34" i="2"/>
  <c r="V95" i="2" s="1"/>
  <c r="I34" i="2"/>
  <c r="I95" i="2" s="1"/>
  <c r="W34" i="2"/>
  <c r="W95" i="2" s="1"/>
  <c r="Y85" i="2" l="1"/>
  <c r="Y50" i="2"/>
  <c r="Y49" i="2"/>
  <c r="Z49" i="2" s="1"/>
  <c r="Y86" i="2"/>
  <c r="Z86" i="2" s="1"/>
  <c r="Y84" i="2"/>
  <c r="Z84" i="2" s="1"/>
  <c r="Y83" i="2"/>
  <c r="Z83" i="2" s="1"/>
  <c r="Y48" i="2"/>
  <c r="Z48" i="2" s="1"/>
  <c r="Y82" i="2"/>
  <c r="Z82" i="2" s="1"/>
  <c r="Y89" i="2"/>
  <c r="Y88" i="2"/>
  <c r="Y93" i="2"/>
  <c r="Z93" i="2" s="1"/>
  <c r="Y81" i="2"/>
  <c r="Z81" i="2" s="1"/>
  <c r="Y80" i="2"/>
  <c r="Z80" i="2" s="1"/>
  <c r="Y87" i="2"/>
  <c r="Z87" i="2" s="1"/>
  <c r="Y51" i="2"/>
  <c r="Z51" i="2" s="1"/>
  <c r="Y92" i="2"/>
  <c r="Z92" i="2" s="1"/>
  <c r="Z38" i="2"/>
  <c r="AC44" i="2"/>
  <c r="Z46" i="2"/>
  <c r="AB22" i="2"/>
  <c r="I35" i="2"/>
  <c r="I76" i="2"/>
  <c r="E35" i="2"/>
  <c r="E76" i="2"/>
  <c r="V76" i="2"/>
  <c r="W76" i="2"/>
  <c r="Z88" i="2" l="1"/>
  <c r="Z50" i="2"/>
  <c r="Z25" i="2"/>
  <c r="Z89" i="2"/>
  <c r="Z85" i="2"/>
  <c r="AA46" i="2"/>
  <c r="AA38" i="2"/>
  <c r="Y28" i="2"/>
  <c r="AA25" i="2" l="1"/>
  <c r="AA82" i="2"/>
  <c r="AA85" i="2"/>
  <c r="AA49" i="2"/>
  <c r="AA89" i="2"/>
  <c r="AA88" i="2"/>
  <c r="AA50" i="2"/>
  <c r="AA87" i="2"/>
  <c r="AA51" i="2"/>
  <c r="AA93" i="2"/>
  <c r="AA92" i="2"/>
  <c r="AA86" i="2"/>
  <c r="AA80" i="2"/>
  <c r="AB80" i="2" s="1"/>
  <c r="AA83" i="2"/>
  <c r="AB83" i="2" s="1"/>
  <c r="AA81" i="2"/>
  <c r="AB81" i="2" s="1"/>
  <c r="AA84" i="2"/>
  <c r="AA48" i="2"/>
  <c r="AC22" i="2"/>
  <c r="AB46" i="2"/>
  <c r="AB38" i="2"/>
  <c r="AB87" i="2" l="1"/>
  <c r="AB51" i="2"/>
  <c r="AB25" i="2"/>
  <c r="AB93" i="2"/>
  <c r="AB88" i="2"/>
  <c r="AB49" i="2"/>
  <c r="AB85" i="2"/>
  <c r="AB89" i="2"/>
  <c r="AB84" i="2"/>
  <c r="AC38" i="2"/>
  <c r="AB86" i="2"/>
  <c r="AB92" i="2"/>
  <c r="AB82" i="2"/>
  <c r="AB48" i="2"/>
  <c r="AC48" i="2" s="1"/>
  <c r="AB50" i="2"/>
  <c r="AC50" i="2" s="1"/>
  <c r="AC46" i="2"/>
  <c r="AC84" i="2" l="1"/>
  <c r="AC85" i="2"/>
  <c r="AC49" i="2"/>
  <c r="AC25" i="2"/>
  <c r="AC28" i="2" s="1"/>
  <c r="AC92" i="2"/>
  <c r="AC89" i="2"/>
  <c r="AC82" i="2"/>
  <c r="AC86" i="2"/>
  <c r="AC88" i="2"/>
  <c r="AC80" i="2"/>
  <c r="AC83" i="2"/>
  <c r="AC81" i="2"/>
  <c r="AC93" i="2"/>
  <c r="AC51" i="2"/>
  <c r="AC87" i="2"/>
  <c r="AB28" i="2"/>
  <c r="AA28" i="2"/>
  <c r="Z28" i="2"/>
  <c r="J28" i="2" l="1"/>
  <c r="K28" i="2"/>
  <c r="M28" i="2" l="1"/>
  <c r="L28" i="2"/>
  <c r="M24" i="2"/>
  <c r="L24" i="2"/>
  <c r="K24" i="2"/>
  <c r="K29" i="2" l="1"/>
  <c r="K42" i="2" s="1"/>
  <c r="K41" i="2"/>
  <c r="L29" i="2"/>
  <c r="L42" i="2" s="1"/>
  <c r="M29" i="2"/>
  <c r="M42" i="2" s="1"/>
  <c r="Y23" i="2"/>
  <c r="Y24" i="2" s="1"/>
  <c r="J24" i="2"/>
  <c r="Y29" i="2" l="1"/>
  <c r="Y41" i="2"/>
  <c r="Z41" i="2" s="1"/>
  <c r="AA41" i="2" s="1"/>
  <c r="AB41" i="2" s="1"/>
  <c r="AC41" i="2" s="1"/>
  <c r="J29" i="2"/>
  <c r="J42" i="2" s="1"/>
  <c r="J41" i="2"/>
  <c r="Y42" i="2"/>
  <c r="J32" i="2"/>
  <c r="Z23" i="2" l="1"/>
  <c r="Z24" i="2" s="1"/>
  <c r="Z29" i="2" s="1"/>
  <c r="Z42" i="2" s="1"/>
  <c r="J34" i="2"/>
  <c r="J95" i="2" s="1"/>
  <c r="AA23" i="2" l="1"/>
  <c r="AA24" i="2" s="1"/>
  <c r="AA29" i="2" s="1"/>
  <c r="AA42" i="2" s="1"/>
  <c r="K32" i="2"/>
  <c r="J76" i="2"/>
  <c r="J77" i="2" s="1"/>
  <c r="J35" i="2"/>
  <c r="AC23" i="2" l="1"/>
  <c r="AC24" i="2" s="1"/>
  <c r="AC29" i="2" s="1"/>
  <c r="AC42" i="2" s="1"/>
  <c r="AB23" i="2"/>
  <c r="AB24" i="2" s="1"/>
  <c r="AB29" i="2" s="1"/>
  <c r="AB42" i="2" s="1"/>
  <c r="K34" i="2"/>
  <c r="K95" i="2" l="1"/>
  <c r="L30" i="2"/>
  <c r="L32" i="2" s="1"/>
  <c r="L33" i="2" s="1"/>
  <c r="K35" i="2"/>
  <c r="K76" i="2"/>
  <c r="K77" i="2" s="1"/>
  <c r="L34" i="2" l="1"/>
  <c r="L76" i="2" l="1"/>
  <c r="L77" i="2" s="1"/>
  <c r="L35" i="2"/>
  <c r="L53" i="2"/>
  <c r="M30" i="2" l="1"/>
  <c r="M32" i="2" l="1"/>
  <c r="M33" i="2" s="1"/>
  <c r="Y33" i="2" s="1"/>
  <c r="Y30" i="2"/>
  <c r="Y32" i="2" s="1"/>
  <c r="M34" i="2" l="1"/>
  <c r="Y34" i="2"/>
  <c r="Y35" i="2"/>
  <c r="Y76" i="2"/>
  <c r="Y77" i="2" s="1"/>
  <c r="M76" i="2"/>
  <c r="M77" i="2" s="1"/>
  <c r="M35" i="2"/>
  <c r="M53" i="2"/>
  <c r="Y53" i="2" s="1"/>
  <c r="Z30" i="2" l="1"/>
  <c r="Z32" i="2" s="1"/>
  <c r="Z33" i="2" l="1"/>
  <c r="Z34" i="2"/>
  <c r="Z35" i="2" l="1"/>
  <c r="Z76" i="2"/>
  <c r="Z77" i="2" s="1"/>
  <c r="Z53" i="2"/>
  <c r="AA30" i="2" l="1"/>
  <c r="AA32" i="2" s="1"/>
  <c r="AA33" i="2" l="1"/>
  <c r="AA34" i="2"/>
  <c r="AA76" i="2" l="1"/>
  <c r="AA77" i="2" s="1"/>
  <c r="AA35" i="2"/>
  <c r="AA53" i="2"/>
  <c r="AA90" i="2"/>
  <c r="AA94" i="2" s="1"/>
  <c r="AA95" i="2" s="1"/>
  <c r="Y90" i="2"/>
  <c r="Z90" i="2"/>
  <c r="Z94" i="2" s="1"/>
  <c r="Z95" i="2" s="1"/>
  <c r="AB30" i="2" l="1"/>
  <c r="AB32" i="2" s="1"/>
  <c r="Y94" i="2"/>
  <c r="AB33" i="2" l="1"/>
  <c r="AB34" i="2" s="1"/>
  <c r="Y95" i="2"/>
  <c r="AB35" i="2" l="1"/>
  <c r="AB76" i="2"/>
  <c r="AB77" i="2" s="1"/>
  <c r="AB90" i="2" s="1"/>
  <c r="AB94" i="2" s="1"/>
  <c r="AB95" i="2" s="1"/>
  <c r="AB53" i="2"/>
  <c r="AC30" i="2" l="1"/>
  <c r="AC32" i="2" s="1"/>
  <c r="AC33" i="2" l="1"/>
  <c r="AC34" i="2" s="1"/>
  <c r="AC76" i="2" l="1"/>
  <c r="AC77" i="2" s="1"/>
  <c r="AC90" i="2" s="1"/>
  <c r="AC94" i="2" s="1"/>
  <c r="AC35" i="2"/>
  <c r="AD34" i="2"/>
  <c r="AD94" i="2" s="1"/>
  <c r="AC53" i="2"/>
  <c r="AE94" i="2" l="1"/>
  <c r="AF94" i="2" s="1"/>
  <c r="AG94" i="2" s="1"/>
  <c r="AH94" i="2" s="1"/>
  <c r="AI94" i="2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BK94" i="2" s="1"/>
  <c r="BL94" i="2" s="1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BW94" i="2" s="1"/>
  <c r="BX94" i="2" s="1"/>
  <c r="BY94" i="2" s="1"/>
  <c r="BZ94" i="2" s="1"/>
  <c r="CA94" i="2" s="1"/>
  <c r="CB94" i="2" s="1"/>
  <c r="CC94" i="2" s="1"/>
  <c r="CD94" i="2" s="1"/>
  <c r="CE94" i="2" s="1"/>
  <c r="CF94" i="2" s="1"/>
  <c r="CG94" i="2" s="1"/>
  <c r="CH94" i="2" s="1"/>
  <c r="CI94" i="2" s="1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CU94" i="2" s="1"/>
  <c r="CV94" i="2" s="1"/>
  <c r="CW94" i="2" s="1"/>
  <c r="CX94" i="2" s="1"/>
  <c r="CY94" i="2" s="1"/>
  <c r="CZ94" i="2" s="1"/>
  <c r="DA94" i="2" s="1"/>
  <c r="DB94" i="2" s="1"/>
  <c r="DC94" i="2" s="1"/>
  <c r="DD94" i="2" s="1"/>
  <c r="DE94" i="2" s="1"/>
  <c r="DF94" i="2" s="1"/>
  <c r="DG94" i="2" s="1"/>
  <c r="DH94" i="2" s="1"/>
  <c r="DI94" i="2" s="1"/>
  <c r="DJ94" i="2" s="1"/>
  <c r="DK94" i="2" s="1"/>
  <c r="DL94" i="2" s="1"/>
  <c r="DM94" i="2" s="1"/>
  <c r="DN94" i="2" s="1"/>
  <c r="DO94" i="2" s="1"/>
  <c r="DP94" i="2" s="1"/>
  <c r="DQ94" i="2" s="1"/>
  <c r="DR94" i="2" s="1"/>
  <c r="DS94" i="2" s="1"/>
  <c r="DT94" i="2" s="1"/>
  <c r="DU94" i="2" s="1"/>
  <c r="DV94" i="2" s="1"/>
  <c r="DW94" i="2" s="1"/>
  <c r="DX94" i="2" s="1"/>
  <c r="DY94" i="2" s="1"/>
  <c r="DZ94" i="2" s="1"/>
  <c r="EA94" i="2" s="1"/>
  <c r="EB94" i="2" s="1"/>
  <c r="EC94" i="2" s="1"/>
  <c r="ED94" i="2" s="1"/>
  <c r="EE94" i="2" s="1"/>
  <c r="EF94" i="2" s="1"/>
  <c r="EG94" i="2" s="1"/>
  <c r="EH94" i="2" s="1"/>
  <c r="EI94" i="2" s="1"/>
  <c r="EJ94" i="2" s="1"/>
  <c r="EK94" i="2" s="1"/>
  <c r="EL94" i="2" s="1"/>
  <c r="EM94" i="2" s="1"/>
  <c r="EN94" i="2" s="1"/>
  <c r="EO94" i="2" s="1"/>
  <c r="EP94" i="2" s="1"/>
  <c r="EQ94" i="2" s="1"/>
  <c r="ER94" i="2" s="1"/>
  <c r="ES94" i="2" s="1"/>
  <c r="ET94" i="2" s="1"/>
  <c r="EU94" i="2" s="1"/>
  <c r="EV94" i="2" s="1"/>
  <c r="EW94" i="2" s="1"/>
  <c r="EX94" i="2" s="1"/>
  <c r="EY94" i="2" s="1"/>
  <c r="EZ94" i="2" s="1"/>
  <c r="FA94" i="2" s="1"/>
  <c r="FB94" i="2" s="1"/>
  <c r="FC94" i="2" s="1"/>
  <c r="FD94" i="2" s="1"/>
  <c r="FE94" i="2" s="1"/>
  <c r="FF94" i="2" s="1"/>
  <c r="FG94" i="2" s="1"/>
  <c r="FH94" i="2" s="1"/>
  <c r="FI94" i="2" s="1"/>
  <c r="FJ94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HO34" i="2" s="1"/>
  <c r="AC95" i="2"/>
  <c r="AF40" i="2" l="1"/>
  <c r="AF4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4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tc={B99DE3B8-CC20-4BAA-9DF2-73E63E2833F9}</author>
    <author>tc={DA029D8C-EB1E-4E9F-9C18-38930E694876}</author>
    <author>tc={440A63FC-6E31-4F05-B12C-B063F1D52112}</author>
  </authors>
  <commentList>
    <comment ref="Y13" authorId="0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Z20" authorId="1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Y91" authorId="2" shapeId="0" xr:uid="{440A63FC-6E31-4F05-B12C-B063F1D5211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<sst xmlns="http://schemas.openxmlformats.org/spreadsheetml/2006/main" count="127" uniqueCount="111">
  <si>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</si>
  <si>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</si>
  <si>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</si>
  <si>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</si>
  <si>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</si>
  <si>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</si>
  <si>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</si>
  <si>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</si>
  <si>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</si>
  <si>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</si>
  <si>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</si>
  <si>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</si>
  <si>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</si>
  <si>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</si>
  <si>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</si>
  <si>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</si>
  <si>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</si>
  <si>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</si>
  <si>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</si>
  <si>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</si>
  <si>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</si>
  <si>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</si>
  <si>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</si>
  <si>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</si>
  <si>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</si>
  <si>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</si>
  <si>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</si>
  <si>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</si>
  <si>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</si>
  <si>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</si>
  <si>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</si>
  <si>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</si>
  <si>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</si>
  <si>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</si>
  <si>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</si>
  <si>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</si>
  <si>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</si>
  <si>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</si>
  <si>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</si>
  <si>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</si>
  <si>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</si>
  <si>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</si>
  <si>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</si>
  <si>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</si>
  <si>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</si>
  <si>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</si>
  <si>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</si>
  <si>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</si>
  <si>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</si>
  <si>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</si>
  <si>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</si>
  <si>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</si>
  <si>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</si>
  <si>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</si>
  <si>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</si>
  <si>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</si>
  <si>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</si>
  <si>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</si>
  <si>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Expenses</t>
  </si>
  <si>
    <t>Revenue Share</t>
  </si>
  <si>
    <t>Deferred Revenue</t>
  </si>
  <si>
    <t>D&amp;A</t>
  </si>
  <si>
    <t>Other Assets</t>
  </si>
  <si>
    <t>Accured Expenses</t>
  </si>
  <si>
    <t>Accured Revenue Share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</si>
  <si>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</si>
  <si>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</si>
  <si>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</si>
  <si>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</si>
  <si>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</si>
  <si>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</si>
  <si>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</si>
  <si>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</si>
  <si>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</si>
  <si>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</si>
  <si>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</si>
  <si>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</si>
  <si>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</si>
  <si>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</si>
  <si>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</si>
  <si>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</si>
  <si>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</si>
  <si>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</si>
  <si>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</si>
  <si>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</si>
  <si>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</si>
  <si>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</si>
  <si>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</si>
  <si>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</si>
  <si>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</si>
  <si>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</si>
  <si>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</si>
  <si>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</si>
  <si>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</si>
  <si>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</si>
  <si>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</si>
  <si>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 xml:space="preserve"> </t>
  </si>
  <si>
    <t>Questions</t>
  </si>
  <si>
    <t>How are LLMs affecting Google traffic and ad monetization?</t>
  </si>
  <si>
    <t>CapEx</t>
  </si>
  <si>
    <t>A/R</t>
  </si>
  <si>
    <t>SBC</t>
  </si>
  <si>
    <t>OLL</t>
  </si>
  <si>
    <t>GW</t>
  </si>
  <si>
    <t>OLA</t>
  </si>
  <si>
    <t>Investments</t>
  </si>
  <si>
    <t>Acquisitions</t>
  </si>
  <si>
    <t>Share</t>
  </si>
  <si>
    <t>Is the high CapEx transitory?</t>
  </si>
  <si>
    <t>Gemini 980 trillion monthly tokens; 450 million MAUs; as of Q225</t>
  </si>
  <si>
    <t>Waymo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</si>
</sst>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5" fillId="0" borderId="0" xfId="0" applyFont="1"/>
    <xf numFmtId="10" fontId="5" fillId="0" borderId="0" xfId="0" applyNumberFormat="1" applyFont="1"/>
    <xf numFmtId="0" fontId="7" fillId="0" borderId="0" xfId="0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7327</xdr:colOff>
      <xdr:row>0</xdr:row>
      <xdr:rowOff>0</xdr:rowOff>
    </xdr:from>
    <xdr:to>
      <xdr:col>11</xdr:col>
      <xdr:colOff>13188</xdr:colOff>
      <xdr:row>106</xdr:row>
      <xdr:rowOff>51288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 flipH="1">
          <a:off x="7707923" y="0"/>
          <a:ext cx="5861" cy="171376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</xdr:row>
      <xdr:rowOff>733</xdr:rowOff>
    </xdr:from>
    <xdr:to>
      <xdr:col>24</xdr:col>
      <xdr:colOff>9525</xdr:colOff>
      <xdr:row>110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5906750" y="161925"/>
          <a:ext cx="9525" cy="175692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13C3015-BB25-4E5B-BF38-4138575D9935}" userId="be0b8782fa6c70c8" providerId="Windows Live"/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4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3" dT="2025-04-24T04:47:45.78" personId="{3A2E8EA1-30C2-44C0-B0DD-30A8B6E5D02D}" id="{B99DE3B8-CC20-4BAA-9DF2-73E63E2833F9}">
    <text>“YT &amp; Cloud exit 2024 at a annual run rate of 110B”</text>
  </threadedComment>
  <threadedComment ref="Z20" dT="2025-04-27T02:21:17.68" personId="{3A2E8EA1-30C2-44C0-B0DD-30A8B6E5D02D}" id="{DA029D8C-EB1E-4E9F-9C18-38930E694876}">
    <text>Cloud CAGR 20%</text>
  </threadedComment>
  <threadedComment ref="Y91" dT="2025-08-15T22:13:47.90" personId="{313C3015-BB25-4E5B-BF38-4138575D9935}" id="{440A63FC-6E31-4F05-B12C-B063F1D52112}">
    <text>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L17"/>
  <sheetViews>
    <sheetView zoomScale="115" zoomScaleNormal="115" workbookViewId="0">
      <selection activeCell="K3" sqref="K3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2" x14ac:dyDescent="0.2">
      <c r="A1" s="10"/>
    </row>
    <row r="2" spans="1:12" x14ac:dyDescent="0.2">
      <c r="B2" s="11" t="s">
        <v>87</v>
      </c>
      <c r="J2" s="11" t="s">
        <v>0</v>
      </c>
      <c r="K2" s="7">
        <v>213</v>
      </c>
    </row>
    <row r="3" spans="1:12" x14ac:dyDescent="0.2">
      <c r="B3" s="11" t="s">
        <v>72</v>
      </c>
      <c r="J3" s="11" t="s">
        <v>1</v>
      </c>
      <c r="K3" s="1">
        <f>5817+5430+847</f>
        <v>12094</v>
      </c>
      <c r="L3" s="16" t="s">
        <v>26</v>
      </c>
    </row>
    <row r="4" spans="1:12" x14ac:dyDescent="0.2">
      <c r="B4" s="11" t="s">
        <v>75</v>
      </c>
      <c r="J4" s="11" t="s">
        <v>2</v>
      </c>
      <c r="K4" s="1">
        <f>K3*K2</f>
        <v>2576022</v>
      </c>
    </row>
    <row r="5" spans="1:12" x14ac:dyDescent="0.2">
      <c r="B5" s="1" t="s">
        <v>76</v>
      </c>
      <c r="J5" s="11" t="s">
        <v>3</v>
      </c>
      <c r="K5" s="1">
        <f>21036+74112</f>
        <v>95148</v>
      </c>
      <c r="L5" s="16" t="s">
        <v>26</v>
      </c>
    </row>
    <row r="6" spans="1:12" x14ac:dyDescent="0.2">
      <c r="B6" s="11" t="s">
        <v>89</v>
      </c>
      <c r="J6" s="11" t="s">
        <v>4</v>
      </c>
      <c r="K6" s="1">
        <f>23607+10027</f>
        <v>33634</v>
      </c>
      <c r="L6" s="16" t="s">
        <v>26</v>
      </c>
    </row>
    <row r="7" spans="1:12" x14ac:dyDescent="0.2">
      <c r="B7" s="11" t="s">
        <v>93</v>
      </c>
      <c r="J7" s="11" t="s">
        <v>5</v>
      </c>
      <c r="K7" s="1">
        <f>K4+K6-K5</f>
        <v>2514508</v>
      </c>
    </row>
    <row r="8" spans="1:12" x14ac:dyDescent="0.2">
      <c r="B8" s="11" t="s">
        <v>95</v>
      </c>
    </row>
    <row r="9" spans="1:12" x14ac:dyDescent="0.2">
      <c r="B9" s="20" t="s">
        <v>110</v>
      </c>
    </row>
    <row r="11" spans="1:12" x14ac:dyDescent="0.2">
      <c r="B11" s="11" t="s">
        <v>77</v>
      </c>
      <c r="I11" s="13" t="s">
        <v>97</v>
      </c>
    </row>
    <row r="12" spans="1:12" x14ac:dyDescent="0.2">
      <c r="B12" s="12"/>
      <c r="I12" s="14" t="s">
        <v>98</v>
      </c>
    </row>
    <row r="13" spans="1:12" x14ac:dyDescent="0.2">
      <c r="B13" s="12" t="s">
        <v>90</v>
      </c>
      <c r="I13" s="19" t="s">
        <v>108</v>
      </c>
    </row>
    <row r="14" spans="1:12" x14ac:dyDescent="0.2">
      <c r="B14" s="4" t="s">
        <v>91</v>
      </c>
    </row>
    <row r="15" spans="1:12" x14ac:dyDescent="0.2">
      <c r="B15" s="4" t="s">
        <v>92</v>
      </c>
      <c r="C15" s="4"/>
    </row>
    <row r="16" spans="1:12" x14ac:dyDescent="0.2">
      <c r="C16" s="12"/>
    </row>
    <row r="17" spans="2:2" x14ac:dyDescent="0.2">
      <c r="B17" s="20" t="s">
        <v>109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O100"/>
  <sheetViews>
    <sheetView tabSelected="1" zoomScale="130" zoomScaleNormal="130" workbookViewId="0">
      <pane xSplit="1" ySplit="1" topLeftCell="X22" activePane="bottomRight" state="frozen"/>
      <selection pane="topRight" activeCell="B1" sqref="B1"/>
      <selection pane="bottomLeft" activeCell="A2" sqref="A2"/>
      <selection pane="bottomRight" activeCell="X41" sqref="X41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7" width="9.42578125" style="1" customWidth="1"/>
    <col min="18" max="18" width="9" style="1" customWidth="1"/>
    <col min="19" max="23" width="9.28515625" style="1" bestFit="1" customWidth="1"/>
    <col min="24" max="24" width="10.7109375" style="1" bestFit="1" customWidth="1"/>
    <col min="25" max="25" width="9.7109375" style="1" bestFit="1" customWidth="1"/>
    <col min="26" max="26" width="9.28515625" style="1" bestFit="1" customWidth="1"/>
    <col min="27" max="27" width="9" style="1" customWidth="1"/>
    <col min="28" max="29" width="10.140625" style="1" customWidth="1"/>
    <col min="30" max="31" width="9.28515625" style="1" bestFit="1" customWidth="1"/>
    <col min="32" max="32" width="9.85546875" style="1" customWidth="1"/>
    <col min="33" max="177" width="9.28515625" style="1" bestFit="1" customWidth="1"/>
    <col min="178" max="223" width="10.140625" style="1" bestFit="1" customWidth="1"/>
    <col min="224" max="16384" width="9.140625" style="1"/>
  </cols>
  <sheetData>
    <row r="1" spans="1:34" x14ac:dyDescent="0.2">
      <c r="B1" s="1" t="s">
        <v>36</v>
      </c>
      <c r="C1" s="1" t="s">
        <v>37</v>
      </c>
      <c r="D1" s="1" t="s">
        <v>38</v>
      </c>
      <c r="E1" s="1" t="s">
        <v>39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73</v>
      </c>
      <c r="M1" s="1" t="s">
        <v>74</v>
      </c>
      <c r="O1" s="2">
        <v>2015</v>
      </c>
      <c r="P1" s="2">
        <f>O1+1</f>
        <v>2016</v>
      </c>
      <c r="Q1" s="2">
        <f t="shared" ref="Q1:R1" si="0">P1+1</f>
        <v>2017</v>
      </c>
      <c r="R1" s="2">
        <f t="shared" si="0"/>
        <v>2018</v>
      </c>
      <c r="S1" s="2">
        <v>2019</v>
      </c>
      <c r="T1" s="2">
        <v>2020</v>
      </c>
      <c r="U1" s="2">
        <f>T1+1</f>
        <v>2021</v>
      </c>
      <c r="V1" s="2">
        <f t="shared" ref="V1:AC1" si="1">U1+1</f>
        <v>2022</v>
      </c>
      <c r="W1" s="2">
        <f t="shared" si="1"/>
        <v>2023</v>
      </c>
      <c r="X1" s="2">
        <f t="shared" si="1"/>
        <v>2024</v>
      </c>
      <c r="Y1" s="2">
        <f t="shared" si="1"/>
        <v>2025</v>
      </c>
      <c r="Z1" s="2">
        <f t="shared" si="1"/>
        <v>2026</v>
      </c>
      <c r="AA1" s="2">
        <f t="shared" si="1"/>
        <v>2027</v>
      </c>
      <c r="AB1" s="2">
        <f t="shared" si="1"/>
        <v>2028</v>
      </c>
      <c r="AC1" s="2">
        <f t="shared" si="1"/>
        <v>2029</v>
      </c>
      <c r="AD1" s="2"/>
      <c r="AE1" s="2"/>
      <c r="AF1" s="2"/>
      <c r="AG1" s="2"/>
      <c r="AH1" s="2"/>
    </row>
    <row r="2" spans="1:34" x14ac:dyDescent="0.2">
      <c r="A2" s="1" t="s">
        <v>82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4" x14ac:dyDescent="0.2">
      <c r="A3" s="1" t="s">
        <v>83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/>
      <c r="K3" s="4">
        <v>0.4</v>
      </c>
      <c r="L3" s="4">
        <v>0.4</v>
      </c>
      <c r="M3" s="4">
        <v>0.4</v>
      </c>
      <c r="N3" s="4"/>
      <c r="O3" s="4"/>
      <c r="P3" s="4"/>
      <c r="Q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4" x14ac:dyDescent="0.2">
      <c r="A4" s="1" t="s">
        <v>84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S4" s="3"/>
      <c r="U4" s="2"/>
      <c r="V4" s="2"/>
      <c r="W4" s="2"/>
      <c r="X4" s="2"/>
      <c r="Y4" s="2"/>
      <c r="Z4" s="2"/>
      <c r="AA4" s="2"/>
      <c r="AB4" s="2"/>
      <c r="AC4" s="2"/>
    </row>
    <row r="5" spans="1:34" x14ac:dyDescent="0.2">
      <c r="A5" s="1" t="s">
        <v>78</v>
      </c>
      <c r="B5" s="3"/>
      <c r="D5" s="3"/>
      <c r="E5" s="1">
        <v>26730</v>
      </c>
      <c r="F5" s="3"/>
      <c r="I5" s="1">
        <v>32826</v>
      </c>
      <c r="J5" s="3"/>
      <c r="S5" s="5"/>
      <c r="T5" s="6"/>
      <c r="V5" s="4"/>
      <c r="W5" s="2"/>
      <c r="X5" s="2"/>
      <c r="Y5" s="2"/>
      <c r="Z5" s="2"/>
      <c r="AA5" s="2"/>
      <c r="AB5" s="2"/>
      <c r="AC5" s="2"/>
    </row>
    <row r="6" spans="1:34" x14ac:dyDescent="0.2">
      <c r="A6" s="1" t="s">
        <v>79</v>
      </c>
      <c r="B6" s="3"/>
      <c r="D6" s="3"/>
      <c r="E6" s="1">
        <v>865</v>
      </c>
      <c r="F6" s="3"/>
      <c r="I6" s="1">
        <v>2093</v>
      </c>
      <c r="K6" s="1">
        <f>K3*K20</f>
        <v>5449.6</v>
      </c>
      <c r="L6" s="1">
        <f>L3*L20</f>
        <v>6049.0560000000005</v>
      </c>
      <c r="M6" s="1">
        <f>M3*M20</f>
        <v>6714.4521600000007</v>
      </c>
      <c r="S6" s="3"/>
      <c r="T6" s="6"/>
      <c r="V6" s="2"/>
      <c r="W6" s="2"/>
      <c r="X6" s="2"/>
      <c r="Y6" s="2"/>
      <c r="Z6" s="2"/>
      <c r="AA6" s="2"/>
      <c r="AB6" s="2"/>
      <c r="AC6" s="2"/>
    </row>
    <row r="7" spans="1:34" x14ac:dyDescent="0.2">
      <c r="A7" s="1" t="s">
        <v>80</v>
      </c>
      <c r="B7" s="3"/>
      <c r="D7" s="3"/>
      <c r="E7" s="1">
        <v>-863</v>
      </c>
      <c r="F7" s="3"/>
      <c r="I7" s="1">
        <v>-1174</v>
      </c>
      <c r="S7" s="3"/>
      <c r="T7" s="6"/>
      <c r="V7" s="2"/>
      <c r="W7" s="2"/>
      <c r="X7" s="2"/>
      <c r="Y7" s="2"/>
      <c r="Z7" s="2"/>
      <c r="AA7" s="2"/>
      <c r="AB7" s="2"/>
      <c r="AC7" s="2"/>
    </row>
    <row r="8" spans="1:34" x14ac:dyDescent="0.2">
      <c r="A8" s="1" t="s">
        <v>81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U8" s="2"/>
      <c r="V8" s="2"/>
      <c r="W8" s="2"/>
      <c r="X8" s="2"/>
      <c r="Y8" s="2"/>
      <c r="Z8" s="2"/>
      <c r="AA8" s="2"/>
      <c r="AB8" s="2"/>
      <c r="AC8" s="2"/>
    </row>
    <row r="9" spans="1:34" x14ac:dyDescent="0.2">
      <c r="B9" s="3"/>
      <c r="C9" s="3"/>
      <c r="D9" s="7"/>
      <c r="F9" s="5"/>
      <c r="G9" s="3"/>
      <c r="H9" s="7"/>
      <c r="U9" s="4"/>
      <c r="V9" s="4"/>
      <c r="W9" s="4"/>
      <c r="X9" s="4"/>
      <c r="Y9" s="4"/>
      <c r="Z9" s="4"/>
      <c r="AA9" s="4"/>
      <c r="AB9" s="4"/>
      <c r="AC9" s="4"/>
    </row>
    <row r="10" spans="1:34" x14ac:dyDescent="0.2">
      <c r="A10" s="1" t="s">
        <v>94</v>
      </c>
      <c r="B10" s="3"/>
      <c r="C10" s="5"/>
      <c r="D10" s="5">
        <f t="shared" ref="D10:K10" si="2">D11/D15</f>
        <v>0.28714850315722529</v>
      </c>
      <c r="E10" s="5">
        <f t="shared" si="2"/>
        <v>0.29125364431486883</v>
      </c>
      <c r="F10" s="5">
        <f t="shared" si="2"/>
        <v>0.28048357743305313</v>
      </c>
      <c r="G10" s="5">
        <f t="shared" si="2"/>
        <v>0.2759694077387701</v>
      </c>
      <c r="H10" s="5">
        <f t="shared" si="2"/>
        <v>0.27779690189328743</v>
      </c>
      <c r="I10" s="5">
        <f t="shared" si="2"/>
        <v>0.27478994707036308</v>
      </c>
      <c r="J10" s="5">
        <f t="shared" si="2"/>
        <v>0.2711530117155142</v>
      </c>
      <c r="K10" s="5">
        <f t="shared" si="2"/>
        <v>0.27136002952574273</v>
      </c>
      <c r="U10" s="2"/>
      <c r="V10" s="8">
        <f>V11/V15</f>
        <v>0</v>
      </c>
      <c r="W10" s="8">
        <f>W11/W15</f>
        <v>0.29072232093376676</v>
      </c>
      <c r="X10" s="8">
        <f>X11/X15</f>
        <v>0.27715514630156901</v>
      </c>
      <c r="Y10" s="8">
        <f>AVERAGE(J10:M10)</f>
        <v>0.27125652062062844</v>
      </c>
      <c r="Z10" s="8">
        <f t="shared" ref="Z10:AC10" si="3">Y10*0.98</f>
        <v>0.26583139020821589</v>
      </c>
      <c r="AA10" s="8">
        <f t="shared" si="3"/>
        <v>0.26051476240405158</v>
      </c>
      <c r="AB10" s="8">
        <f t="shared" si="3"/>
        <v>0.25530446715597055</v>
      </c>
      <c r="AC10" s="8">
        <f t="shared" si="3"/>
        <v>0.25019837781285115</v>
      </c>
    </row>
    <row r="11" spans="1:34" x14ac:dyDescent="0.2">
      <c r="A11" s="1" t="s">
        <v>69</v>
      </c>
      <c r="B11" s="3"/>
      <c r="C11" s="3"/>
      <c r="D11" s="1">
        <v>12642</v>
      </c>
      <c r="E11" s="1">
        <v>13986</v>
      </c>
      <c r="F11" s="18">
        <v>12946</v>
      </c>
      <c r="G11" s="18">
        <v>13387</v>
      </c>
      <c r="H11" s="1">
        <v>13719</v>
      </c>
      <c r="I11" s="1">
        <v>14848</v>
      </c>
      <c r="J11" s="1">
        <v>13748</v>
      </c>
      <c r="K11" s="1">
        <v>14705</v>
      </c>
      <c r="U11" s="2"/>
      <c r="V11" s="2"/>
      <c r="W11" s="1">
        <v>50886</v>
      </c>
      <c r="X11" s="1">
        <v>54900</v>
      </c>
      <c r="Y11" s="1">
        <f>SUM(J11:M11)</f>
        <v>28453</v>
      </c>
      <c r="Z11" s="1">
        <f t="shared" ref="Z11:AC11" si="4">Z10*Z15</f>
        <v>65866.538917259109</v>
      </c>
      <c r="AA11" s="1">
        <f t="shared" si="4"/>
        <v>71649.621034194468</v>
      </c>
      <c r="AB11" s="1">
        <f t="shared" si="4"/>
        <v>77940.457760996738</v>
      </c>
      <c r="AC11" s="1">
        <f t="shared" si="4"/>
        <v>84783.629952412259</v>
      </c>
    </row>
    <row r="12" spans="1:34" x14ac:dyDescent="0.2">
      <c r="A12" s="1" t="s">
        <v>70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N12" s="3"/>
      <c r="O12" s="3"/>
      <c r="P12" s="3"/>
      <c r="Q12" s="3"/>
      <c r="S12" s="2"/>
      <c r="T12" s="2"/>
      <c r="U12" s="2"/>
      <c r="V12" s="2"/>
      <c r="W12" s="4" t="s">
        <v>96</v>
      </c>
      <c r="X12" s="1">
        <v>183323</v>
      </c>
      <c r="Y12" s="4"/>
      <c r="Z12" s="4"/>
      <c r="AA12" s="4"/>
      <c r="AB12" s="4"/>
      <c r="AC12" s="4"/>
    </row>
    <row r="13" spans="1:34" x14ac:dyDescent="0.2">
      <c r="A13" s="1" t="s">
        <v>88</v>
      </c>
      <c r="B13" s="3">
        <f t="shared" ref="B13:J13" si="5">B20+B16</f>
        <v>14147</v>
      </c>
      <c r="C13" s="3">
        <f t="shared" si="5"/>
        <v>15696</v>
      </c>
      <c r="D13" s="3">
        <f t="shared" si="5"/>
        <v>16363</v>
      </c>
      <c r="E13" s="3">
        <f t="shared" si="5"/>
        <v>18392</v>
      </c>
      <c r="F13" s="3">
        <f t="shared" si="5"/>
        <v>17664</v>
      </c>
      <c r="G13" s="3">
        <f t="shared" si="5"/>
        <v>19010</v>
      </c>
      <c r="H13" s="3">
        <f t="shared" si="5"/>
        <v>20274</v>
      </c>
      <c r="I13" s="3">
        <f t="shared" si="5"/>
        <v>22428</v>
      </c>
      <c r="J13" s="3">
        <f t="shared" si="5"/>
        <v>21187</v>
      </c>
      <c r="K13" s="3">
        <f t="shared" ref="K13:M13" si="6">K20+K16</f>
        <v>23420</v>
      </c>
      <c r="L13" s="3">
        <f t="shared" si="6"/>
        <v>25898.240000000002</v>
      </c>
      <c r="M13" s="3">
        <f t="shared" si="6"/>
        <v>28639.290400000005</v>
      </c>
      <c r="N13" s="3"/>
      <c r="O13" s="3"/>
      <c r="P13" s="3"/>
      <c r="Q13" s="3"/>
      <c r="S13" s="2"/>
      <c r="T13" s="2"/>
      <c r="V13" s="1">
        <f t="shared" ref="V13:W13" si="7">V16+V20</f>
        <v>55523</v>
      </c>
      <c r="W13" s="1">
        <f t="shared" si="7"/>
        <v>64598</v>
      </c>
      <c r="X13" s="1">
        <f t="shared" ref="X13:Y13" si="8">X16+X20</f>
        <v>79376</v>
      </c>
      <c r="Y13" s="1">
        <f t="shared" si="8"/>
        <v>99144.530400000003</v>
      </c>
      <c r="Z13" s="1">
        <f>Z16+Z20</f>
        <v>114838.26048</v>
      </c>
      <c r="AA13" s="1">
        <f>AA16+AA20</f>
        <v>133257.218976</v>
      </c>
      <c r="AB13" s="1">
        <f>AB16+AB20</f>
        <v>154905.09981119999</v>
      </c>
      <c r="AC13" s="1">
        <f>AC16+AC20</f>
        <v>180382.20051744001</v>
      </c>
    </row>
    <row r="14" spans="1:34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3"/>
      <c r="O14" s="3"/>
      <c r="P14" s="3"/>
      <c r="Q14" s="3"/>
      <c r="R14" s="7"/>
      <c r="S14" s="4"/>
      <c r="T14" s="4"/>
      <c r="U14" s="4"/>
      <c r="V14" s="4"/>
      <c r="W14" s="4"/>
      <c r="X14" s="4"/>
      <c r="Y14" s="2"/>
      <c r="Z14" s="2"/>
      <c r="AA14" s="2"/>
      <c r="AB14" s="2"/>
      <c r="AC14" s="2"/>
    </row>
    <row r="15" spans="1:34" x14ac:dyDescent="0.2">
      <c r="A15" s="1" t="s">
        <v>30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v>50702</v>
      </c>
      <c r="K15" s="1">
        <v>54190</v>
      </c>
      <c r="L15" s="1">
        <f t="shared" ref="L15:M15" si="9">K15*1.06</f>
        <v>57441.4</v>
      </c>
      <c r="M15" s="1">
        <f t="shared" si="9"/>
        <v>60887.884000000005</v>
      </c>
      <c r="S15" s="1">
        <v>161857</v>
      </c>
      <c r="T15" s="1">
        <v>182527</v>
      </c>
      <c r="U15" s="1">
        <v>257637</v>
      </c>
      <c r="V15" s="1">
        <v>162450</v>
      </c>
      <c r="W15" s="1">
        <v>175033</v>
      </c>
      <c r="X15" s="1">
        <v>198084</v>
      </c>
      <c r="Y15" s="1">
        <f>SUM(J15:M15)</f>
        <v>223221.28399999999</v>
      </c>
      <c r="Z15" s="1">
        <f>Y15*1.11</f>
        <v>247775.62523999999</v>
      </c>
      <c r="AA15" s="1">
        <f t="shared" ref="AA15:AC15" si="10">Z15*1.11</f>
        <v>275030.94401640003</v>
      </c>
      <c r="AB15" s="1">
        <f t="shared" si="10"/>
        <v>305284.34785820404</v>
      </c>
      <c r="AC15" s="1">
        <f t="shared" si="10"/>
        <v>338865.62612260651</v>
      </c>
    </row>
    <row r="16" spans="1:34" x14ac:dyDescent="0.2">
      <c r="A16" s="1" t="s">
        <v>31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v>8927</v>
      </c>
      <c r="K16" s="1">
        <v>9796</v>
      </c>
      <c r="L16" s="1">
        <f>K16*1.1</f>
        <v>10775.6</v>
      </c>
      <c r="M16" s="1">
        <f>L16*1.1</f>
        <v>11853.160000000002</v>
      </c>
      <c r="R16" s="4"/>
      <c r="T16" s="2"/>
      <c r="U16" s="2"/>
      <c r="V16" s="1">
        <v>29243</v>
      </c>
      <c r="W16" s="1">
        <v>31510</v>
      </c>
      <c r="X16" s="1">
        <v>36147</v>
      </c>
      <c r="Y16" s="1">
        <f>SUM(J16:M16)</f>
        <v>41351.760000000002</v>
      </c>
      <c r="Z16" s="1">
        <f>Y16*1.1</f>
        <v>45486.936000000009</v>
      </c>
      <c r="AA16" s="1">
        <f t="shared" ref="AA16:AC16" si="11">Z16*1.1</f>
        <v>50035.629600000015</v>
      </c>
      <c r="AB16" s="1">
        <f t="shared" si="11"/>
        <v>55039.192560000018</v>
      </c>
      <c r="AC16" s="1">
        <f t="shared" si="11"/>
        <v>60543.111816000026</v>
      </c>
    </row>
    <row r="17" spans="1:29" x14ac:dyDescent="0.2">
      <c r="A17" s="1" t="s">
        <v>32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v>7256</v>
      </c>
      <c r="K17" s="1">
        <v>7354</v>
      </c>
      <c r="L17" s="1">
        <f t="shared" ref="L17:M17" si="12">K17*1.02</f>
        <v>7501.08</v>
      </c>
      <c r="M17" s="1">
        <f t="shared" si="12"/>
        <v>7651.1016</v>
      </c>
      <c r="R17" s="4"/>
      <c r="T17" s="2"/>
      <c r="U17" s="2"/>
      <c r="V17" s="1">
        <v>32780</v>
      </c>
      <c r="W17" s="1">
        <v>31312</v>
      </c>
      <c r="X17" s="1">
        <v>30359</v>
      </c>
      <c r="Y17" s="1">
        <f>SUM(J17:M17)</f>
        <v>29762.181600000004</v>
      </c>
      <c r="Z17" s="1">
        <f>Y17*1.01</f>
        <v>30059.803416000002</v>
      </c>
      <c r="AA17" s="1">
        <f t="shared" ref="AA17:AC17" si="13">Z17*1.01</f>
        <v>30360.401450160003</v>
      </c>
      <c r="AB17" s="1">
        <f t="shared" si="13"/>
        <v>30664.005464661604</v>
      </c>
      <c r="AC17" s="1">
        <f t="shared" si="13"/>
        <v>30970.645519308222</v>
      </c>
    </row>
    <row r="18" spans="1:29" x14ac:dyDescent="0.2">
      <c r="A18" s="1" t="s">
        <v>34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v>10379</v>
      </c>
      <c r="K18" s="1">
        <v>11203</v>
      </c>
      <c r="L18" s="1">
        <f t="shared" ref="L18:M18" si="14">K18*1.03</f>
        <v>11539.09</v>
      </c>
      <c r="M18" s="1">
        <f t="shared" si="14"/>
        <v>11885.262700000001</v>
      </c>
      <c r="T18" s="2"/>
      <c r="U18" s="2"/>
      <c r="V18" s="1">
        <v>29055</v>
      </c>
      <c r="W18" s="1">
        <v>34688</v>
      </c>
      <c r="X18" s="1">
        <v>40340</v>
      </c>
      <c r="Y18" s="1">
        <f>SUM(J18:M18)</f>
        <v>45006.352699999996</v>
      </c>
      <c r="Z18" s="1">
        <f>Y18*1.12</f>
        <v>50407.115023999999</v>
      </c>
      <c r="AA18" s="1">
        <f t="shared" ref="AA18:AC18" si="15">Z18*1.12</f>
        <v>56455.968826880002</v>
      </c>
      <c r="AB18" s="1">
        <f t="shared" si="15"/>
        <v>63230.685086105608</v>
      </c>
      <c r="AC18" s="1">
        <f t="shared" si="15"/>
        <v>70818.367296438286</v>
      </c>
    </row>
    <row r="19" spans="1:29" x14ac:dyDescent="0.2">
      <c r="A19" s="1" t="s">
        <v>85</v>
      </c>
      <c r="B19" s="1">
        <f>SUM(B15:B18)</f>
        <v>61961</v>
      </c>
      <c r="C19" s="1">
        <f t="shared" ref="C19:S19" si="16">SUM(C15:C18)</f>
        <v>66285</v>
      </c>
      <c r="D19" s="1">
        <f t="shared" si="16"/>
        <v>67986</v>
      </c>
      <c r="E19" s="1">
        <f t="shared" si="16"/>
        <v>76311</v>
      </c>
      <c r="F19" s="1">
        <f t="shared" si="16"/>
        <v>70398</v>
      </c>
      <c r="G19" s="1">
        <f t="shared" si="16"/>
        <v>73928</v>
      </c>
      <c r="H19" s="1">
        <f t="shared" si="16"/>
        <v>76510</v>
      </c>
      <c r="I19" s="1">
        <f t="shared" si="16"/>
        <v>84094</v>
      </c>
      <c r="J19" s="1">
        <f t="shared" si="16"/>
        <v>77264</v>
      </c>
      <c r="K19" s="1">
        <f t="shared" si="16"/>
        <v>82543</v>
      </c>
      <c r="L19" s="1">
        <f t="shared" si="16"/>
        <v>87257.17</v>
      </c>
      <c r="M19" s="1">
        <f t="shared" si="16"/>
        <v>92277.40830000001</v>
      </c>
      <c r="S19" s="1">
        <f t="shared" si="16"/>
        <v>161857</v>
      </c>
      <c r="T19" s="1">
        <f t="shared" ref="T19" si="17">SUM(T15:T18)</f>
        <v>182527</v>
      </c>
      <c r="U19" s="1">
        <f t="shared" ref="U19" si="18">SUM(U15:U18)</f>
        <v>257637</v>
      </c>
      <c r="V19" s="1">
        <f t="shared" ref="V19" si="19">SUM(V15:V18)</f>
        <v>253528</v>
      </c>
      <c r="W19" s="1">
        <f t="shared" ref="W19" si="20">SUM(W15:W18)</f>
        <v>272543</v>
      </c>
      <c r="X19" s="1">
        <f t="shared" ref="X19" si="21">SUM(X15:X18)</f>
        <v>304930</v>
      </c>
      <c r="Y19" s="1">
        <f t="shared" ref="Y19" si="22">SUM(Y15:Y18)</f>
        <v>339341.57829999999</v>
      </c>
      <c r="Z19" s="1">
        <f t="shared" ref="Z19" si="23">SUM(Z15:Z18)</f>
        <v>373729.47967999999</v>
      </c>
      <c r="AA19" s="1">
        <f t="shared" ref="AA19" si="24">SUM(AA15:AA18)</f>
        <v>411882.94389344001</v>
      </c>
      <c r="AB19" s="1">
        <f t="shared" ref="AB19" si="25">SUM(AB15:AB18)</f>
        <v>454218.23096897127</v>
      </c>
      <c r="AC19" s="1">
        <f t="shared" ref="AC19" si="26">SUM(AC15:AC18)</f>
        <v>501197.75075435301</v>
      </c>
    </row>
    <row r="20" spans="1:29" x14ac:dyDescent="0.2">
      <c r="A20" s="1" t="s">
        <v>33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v>12260</v>
      </c>
      <c r="K20" s="1">
        <v>13624</v>
      </c>
      <c r="L20" s="1">
        <f>K20*1.11</f>
        <v>15122.640000000001</v>
      </c>
      <c r="M20" s="1">
        <f>L20*1.11</f>
        <v>16786.130400000002</v>
      </c>
      <c r="R20" s="4"/>
      <c r="T20" s="2"/>
      <c r="U20" s="2"/>
      <c r="V20" s="1">
        <v>26280</v>
      </c>
      <c r="W20" s="1">
        <v>33088</v>
      </c>
      <c r="X20" s="1">
        <v>43229</v>
      </c>
      <c r="Y20" s="1">
        <f>SUM(J20:M20)</f>
        <v>57792.770400000001</v>
      </c>
      <c r="Z20" s="1">
        <f>Y20*1.2</f>
        <v>69351.324479999996</v>
      </c>
      <c r="AA20" s="1">
        <f t="shared" ref="AA20:AC20" si="27">Z20*1.2</f>
        <v>83221.589375999989</v>
      </c>
      <c r="AB20" s="1">
        <f t="shared" si="27"/>
        <v>99865.907251199984</v>
      </c>
      <c r="AC20" s="1">
        <f t="shared" si="27"/>
        <v>119839.08870143998</v>
      </c>
    </row>
    <row r="21" spans="1:29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450+260</f>
        <v>710</v>
      </c>
      <c r="K21" s="1">
        <f>373-112</f>
        <v>261</v>
      </c>
      <c r="L21" s="1">
        <f t="shared" ref="L21:M21" si="28">K21*1.02</f>
        <v>266.22000000000003</v>
      </c>
      <c r="M21" s="1">
        <f t="shared" si="28"/>
        <v>271.54440000000005</v>
      </c>
      <c r="T21" s="2"/>
      <c r="U21" s="2"/>
      <c r="V21" s="1">
        <f>1068+1960</f>
        <v>3028</v>
      </c>
      <c r="W21" s="1">
        <f>1527+236</f>
        <v>1763</v>
      </c>
      <c r="X21" s="1">
        <f>1648+211</f>
        <v>1859</v>
      </c>
      <c r="Y21" s="1">
        <f>SUM(J21:M21)</f>
        <v>1508.7644</v>
      </c>
      <c r="Z21" s="1">
        <f>Y21*1.05</f>
        <v>1584.20262</v>
      </c>
      <c r="AA21" s="1">
        <f t="shared" ref="AA21:AC21" si="29">Z21*1.05</f>
        <v>1663.4127510000001</v>
      </c>
      <c r="AB21" s="1">
        <f t="shared" si="29"/>
        <v>1746.5833885500001</v>
      </c>
      <c r="AC21" s="1">
        <f t="shared" si="29"/>
        <v>1833.9125579775002</v>
      </c>
    </row>
    <row r="22" spans="1:29" s="3" customFormat="1" x14ac:dyDescent="0.2">
      <c r="A22" s="3" t="s">
        <v>6</v>
      </c>
      <c r="B22" s="3">
        <f>SUM(B19:B21)</f>
        <v>69787</v>
      </c>
      <c r="C22" s="3">
        <f t="shared" ref="C22:AC22" si="30">SUM(C19:C21)</f>
        <v>74604</v>
      </c>
      <c r="D22" s="3">
        <f t="shared" si="30"/>
        <v>76693</v>
      </c>
      <c r="E22" s="3">
        <f t="shared" si="30"/>
        <v>86310</v>
      </c>
      <c r="F22" s="3">
        <f t="shared" si="30"/>
        <v>80539</v>
      </c>
      <c r="G22" s="3">
        <f t="shared" si="30"/>
        <v>84742</v>
      </c>
      <c r="H22" s="3">
        <f t="shared" si="30"/>
        <v>88268</v>
      </c>
      <c r="I22" s="3">
        <f t="shared" si="30"/>
        <v>96469</v>
      </c>
      <c r="J22" s="3">
        <f>SUM(J19:J21)</f>
        <v>90234</v>
      </c>
      <c r="K22" s="3">
        <f t="shared" ref="K22:M22" si="31">SUM(K19:K21)</f>
        <v>96428</v>
      </c>
      <c r="L22" s="3">
        <f t="shared" si="31"/>
        <v>102646.03</v>
      </c>
      <c r="M22" s="3">
        <f t="shared" si="31"/>
        <v>109335.0831</v>
      </c>
      <c r="N22" s="5"/>
      <c r="O22" s="3">
        <v>74990</v>
      </c>
      <c r="P22" s="3">
        <v>90270</v>
      </c>
      <c r="Q22" s="3">
        <v>110860</v>
      </c>
      <c r="R22" s="3">
        <v>136820</v>
      </c>
      <c r="S22" s="3">
        <f t="shared" si="30"/>
        <v>161857</v>
      </c>
      <c r="T22" s="3">
        <f t="shared" si="30"/>
        <v>182527</v>
      </c>
      <c r="U22" s="3">
        <f t="shared" si="30"/>
        <v>257637</v>
      </c>
      <c r="V22" s="3">
        <f t="shared" si="30"/>
        <v>282836</v>
      </c>
      <c r="W22" s="3">
        <f t="shared" si="30"/>
        <v>307394</v>
      </c>
      <c r="X22" s="3">
        <f t="shared" si="30"/>
        <v>350018</v>
      </c>
      <c r="Y22" s="3">
        <f>SUM(J22:M22)</f>
        <v>398643.11310000002</v>
      </c>
      <c r="Z22" s="3">
        <f t="shared" si="30"/>
        <v>444665.00678</v>
      </c>
      <c r="AA22" s="3">
        <f t="shared" si="30"/>
        <v>496767.94602044002</v>
      </c>
      <c r="AB22" s="3">
        <f t="shared" si="30"/>
        <v>555830.72160872119</v>
      </c>
      <c r="AC22" s="3">
        <f t="shared" si="30"/>
        <v>622870.75201377051</v>
      </c>
    </row>
    <row r="23" spans="1:29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v>36361</v>
      </c>
      <c r="K23" s="1">
        <v>39039</v>
      </c>
      <c r="L23" s="1">
        <f>L22*(1-L41)</f>
        <v>41058.412000000004</v>
      </c>
      <c r="M23" s="1">
        <f>M22*(1-M41)</f>
        <v>43734.033240000004</v>
      </c>
      <c r="O23" s="1">
        <v>28160</v>
      </c>
      <c r="P23" s="1">
        <v>35140</v>
      </c>
      <c r="Q23" s="1">
        <v>45480</v>
      </c>
      <c r="R23" s="1">
        <v>59550</v>
      </c>
      <c r="S23" s="1">
        <v>71896</v>
      </c>
      <c r="T23" s="1">
        <v>84732</v>
      </c>
      <c r="U23" s="1">
        <v>110939</v>
      </c>
      <c r="V23" s="1">
        <v>126203</v>
      </c>
      <c r="W23" s="1">
        <v>133332</v>
      </c>
      <c r="X23" s="1">
        <v>146302</v>
      </c>
      <c r="Y23" s="1">
        <f>SUM(J23:M23)</f>
        <v>160192.44524000003</v>
      </c>
      <c r="Z23" s="1">
        <f>Z22*(1-Z41)</f>
        <v>173366.50031277345</v>
      </c>
      <c r="AA23" s="1">
        <f>AA22*(1-AA41)</f>
        <v>187618.70387988907</v>
      </c>
      <c r="AB23" s="1">
        <f>AB22*(1-AB41)</f>
        <v>203007.35473344492</v>
      </c>
      <c r="AC23" s="1">
        <f>AC22*(1-AC41)</f>
        <v>219584.97766518453</v>
      </c>
    </row>
    <row r="24" spans="1:29" x14ac:dyDescent="0.2">
      <c r="A24" s="1" t="s">
        <v>8</v>
      </c>
      <c r="B24" s="1">
        <f>B22-B23</f>
        <v>39175</v>
      </c>
      <c r="C24" s="1">
        <f t="shared" ref="C24:M24" si="32">C22-C23</f>
        <v>42688</v>
      </c>
      <c r="D24" s="1">
        <f t="shared" si="32"/>
        <v>43464</v>
      </c>
      <c r="E24" s="1">
        <f t="shared" si="32"/>
        <v>48735</v>
      </c>
      <c r="F24" s="1">
        <f t="shared" si="32"/>
        <v>46827</v>
      </c>
      <c r="G24" s="1">
        <f t="shared" si="32"/>
        <v>49235</v>
      </c>
      <c r="H24" s="1">
        <f t="shared" si="32"/>
        <v>51794</v>
      </c>
      <c r="I24" s="1">
        <f t="shared" si="32"/>
        <v>55856</v>
      </c>
      <c r="J24" s="1">
        <f t="shared" si="32"/>
        <v>53873</v>
      </c>
      <c r="K24" s="1">
        <f t="shared" si="32"/>
        <v>57389</v>
      </c>
      <c r="L24" s="1">
        <f t="shared" si="32"/>
        <v>61587.617999999995</v>
      </c>
      <c r="M24" s="1">
        <f t="shared" si="32"/>
        <v>65601.049859999999</v>
      </c>
      <c r="O24" s="1">
        <f>O22-O23</f>
        <v>46830</v>
      </c>
      <c r="P24" s="1">
        <f t="shared" ref="P24:R24" si="33">P22-P23</f>
        <v>55130</v>
      </c>
      <c r="Q24" s="1">
        <f t="shared" si="33"/>
        <v>65380</v>
      </c>
      <c r="R24" s="1">
        <f t="shared" si="33"/>
        <v>77270</v>
      </c>
      <c r="S24" s="1">
        <f>S22-S23</f>
        <v>89961</v>
      </c>
      <c r="T24" s="1">
        <f>T22-T23</f>
        <v>97795</v>
      </c>
      <c r="U24" s="1">
        <f>U22-U23</f>
        <v>146698</v>
      </c>
      <c r="V24" s="1">
        <f t="shared" ref="V24:X24" si="34">V22-V23</f>
        <v>156633</v>
      </c>
      <c r="W24" s="1">
        <f t="shared" si="34"/>
        <v>174062</v>
      </c>
      <c r="X24" s="1">
        <f t="shared" si="34"/>
        <v>203716</v>
      </c>
      <c r="Y24" s="1">
        <f>Y22-Y23</f>
        <v>238450.66785999999</v>
      </c>
      <c r="Z24" s="1">
        <f>Z22-Z23</f>
        <v>271298.50646722654</v>
      </c>
      <c r="AA24" s="1">
        <f>AA22-AA23</f>
        <v>309149.24214055098</v>
      </c>
      <c r="AB24" s="1">
        <f>AB22-AB23</f>
        <v>352823.36687527626</v>
      </c>
      <c r="AC24" s="1">
        <f>AC22-AC23</f>
        <v>403285.77434858598</v>
      </c>
    </row>
    <row r="25" spans="1:29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v>13556</v>
      </c>
      <c r="K25" s="1">
        <v>13808</v>
      </c>
      <c r="L25" s="1">
        <f t="shared" ref="L25:M25" si="35">K25*(1+L39)</f>
        <v>14698.390324801925</v>
      </c>
      <c r="M25" s="1">
        <f t="shared" si="35"/>
        <v>15656.228765968393</v>
      </c>
      <c r="O25" s="1">
        <v>12280</v>
      </c>
      <c r="P25" s="1">
        <v>13950</v>
      </c>
      <c r="Q25" s="1">
        <v>16620</v>
      </c>
      <c r="R25" s="1">
        <v>21420</v>
      </c>
      <c r="S25" s="1">
        <v>26018</v>
      </c>
      <c r="T25" s="1">
        <v>27573</v>
      </c>
      <c r="U25" s="1">
        <v>31562</v>
      </c>
      <c r="V25" s="1">
        <v>39500</v>
      </c>
      <c r="W25" s="1">
        <v>45247</v>
      </c>
      <c r="X25" s="1">
        <v>49326</v>
      </c>
      <c r="Y25" s="1">
        <f>SUM(J25:M25)</f>
        <v>57718.61909077032</v>
      </c>
      <c r="Z25" s="1">
        <f t="shared" ref="Z25:AC25" si="36">Y25*(1+Z38)</f>
        <v>64382.02318295517</v>
      </c>
      <c r="AA25" s="1">
        <f t="shared" si="36"/>
        <v>71925.887869698476</v>
      </c>
      <c r="AB25" s="1">
        <f t="shared" si="36"/>
        <v>80477.451247060759</v>
      </c>
      <c r="AC25" s="1">
        <f t="shared" si="36"/>
        <v>90184.022994136307</v>
      </c>
    </row>
    <row r="26" spans="1:29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v>6172</v>
      </c>
      <c r="K26" s="1">
        <v>7101</v>
      </c>
      <c r="L26" s="1">
        <f t="shared" ref="L26:M26" si="37">K26*(1+L39)</f>
        <v>7558.8984426722527</v>
      </c>
      <c r="M26" s="1">
        <f t="shared" si="37"/>
        <v>8051.4832319772268</v>
      </c>
      <c r="O26" s="1">
        <v>905</v>
      </c>
      <c r="P26" s="1">
        <v>10480</v>
      </c>
      <c r="Q26" s="1">
        <v>12890</v>
      </c>
      <c r="R26" s="1">
        <v>16330</v>
      </c>
      <c r="S26" s="1">
        <v>18464</v>
      </c>
      <c r="T26" s="1">
        <v>17946</v>
      </c>
      <c r="U26" s="1">
        <v>22912</v>
      </c>
      <c r="V26" s="1">
        <v>26567</v>
      </c>
      <c r="W26" s="1">
        <v>27917</v>
      </c>
      <c r="X26" s="1">
        <v>27808</v>
      </c>
      <c r="Y26" s="1">
        <f>SUM(J26:M26)</f>
        <v>28883.381674649478</v>
      </c>
      <c r="Z26" s="1">
        <f t="shared" ref="Z26:AC26" si="38">Y26*1.05</f>
        <v>30327.550758381953</v>
      </c>
      <c r="AA26" s="1">
        <f t="shared" si="38"/>
        <v>31843.928296301052</v>
      </c>
      <c r="AB26" s="1">
        <f t="shared" si="38"/>
        <v>33436.124711116106</v>
      </c>
      <c r="AC26" s="1">
        <f t="shared" si="38"/>
        <v>35107.930946671913</v>
      </c>
    </row>
    <row r="27" spans="1:29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v>3539</v>
      </c>
      <c r="K27" s="1">
        <v>5209</v>
      </c>
      <c r="L27" s="1">
        <f t="shared" ref="L27:M27" si="39">K27*(1+L39)</f>
        <v>5544.8953651429047</v>
      </c>
      <c r="M27" s="1">
        <f t="shared" si="39"/>
        <v>5906.2352000238525</v>
      </c>
      <c r="O27" s="1">
        <v>6140</v>
      </c>
      <c r="P27" s="1">
        <v>6990</v>
      </c>
      <c r="Q27" s="1">
        <v>6840</v>
      </c>
      <c r="R27" s="15">
        <v>6920</v>
      </c>
      <c r="S27" s="1">
        <f>9551+1697</f>
        <v>11248</v>
      </c>
      <c r="T27" s="1">
        <v>11052</v>
      </c>
      <c r="U27" s="1">
        <v>13510</v>
      </c>
      <c r="V27" s="1">
        <v>15724</v>
      </c>
      <c r="W27" s="1">
        <v>16425</v>
      </c>
      <c r="X27" s="1">
        <v>14188</v>
      </c>
      <c r="Y27" s="1">
        <f>SUM(J27:M27)</f>
        <v>20199.130565166757</v>
      </c>
      <c r="Z27" s="1">
        <f t="shared" ref="Z27:AC27" si="40">Y27*1.02</f>
        <v>20603.113176470091</v>
      </c>
      <c r="AA27" s="1">
        <f t="shared" si="40"/>
        <v>21015.175439999493</v>
      </c>
      <c r="AB27" s="1">
        <f t="shared" si="40"/>
        <v>21435.478948799482</v>
      </c>
      <c r="AC27" s="1">
        <f t="shared" si="40"/>
        <v>21864.188527775474</v>
      </c>
    </row>
    <row r="28" spans="1:29" x14ac:dyDescent="0.2">
      <c r="A28" s="1" t="s">
        <v>44</v>
      </c>
      <c r="B28" s="1">
        <f>SUM(B25:B27)</f>
        <v>21760</v>
      </c>
      <c r="C28" s="1">
        <f t="shared" ref="C28:K28" si="41">SUM(C25:C27)</f>
        <v>20850</v>
      </c>
      <c r="D28" s="1">
        <f t="shared" si="41"/>
        <v>22121</v>
      </c>
      <c r="E28" s="1">
        <f t="shared" si="41"/>
        <v>25038</v>
      </c>
      <c r="F28" s="1">
        <f t="shared" si="41"/>
        <v>21355</v>
      </c>
      <c r="G28" s="1">
        <f t="shared" si="41"/>
        <v>21810</v>
      </c>
      <c r="H28" s="1">
        <f t="shared" si="41"/>
        <v>23273</v>
      </c>
      <c r="I28" s="1">
        <f t="shared" si="41"/>
        <v>24884</v>
      </c>
      <c r="J28" s="1">
        <f t="shared" si="41"/>
        <v>23267</v>
      </c>
      <c r="K28" s="1">
        <f t="shared" si="41"/>
        <v>26118</v>
      </c>
      <c r="L28" s="1">
        <f t="shared" ref="L28:M28" si="42">SUM(L25:L27)</f>
        <v>27802.184132617083</v>
      </c>
      <c r="M28" s="1">
        <f t="shared" si="42"/>
        <v>29613.947197969472</v>
      </c>
      <c r="O28" s="1">
        <f t="shared" ref="O28:R28" si="43">SUM(O25:O27)</f>
        <v>19325</v>
      </c>
      <c r="P28" s="1">
        <f t="shared" si="43"/>
        <v>31420</v>
      </c>
      <c r="Q28" s="1">
        <f t="shared" si="43"/>
        <v>36350</v>
      </c>
      <c r="R28" s="1">
        <f t="shared" si="43"/>
        <v>44670</v>
      </c>
      <c r="S28" s="1">
        <f t="shared" ref="S28:AC28" si="44">SUM(S25:S27)</f>
        <v>55730</v>
      </c>
      <c r="T28" s="1">
        <f t="shared" si="44"/>
        <v>56571</v>
      </c>
      <c r="U28" s="1">
        <f t="shared" si="44"/>
        <v>67984</v>
      </c>
      <c r="V28" s="1">
        <f t="shared" si="44"/>
        <v>81791</v>
      </c>
      <c r="W28" s="1">
        <f t="shared" si="44"/>
        <v>89589</v>
      </c>
      <c r="X28" s="1">
        <f t="shared" si="44"/>
        <v>91322</v>
      </c>
      <c r="Y28" s="1">
        <f t="shared" si="44"/>
        <v>106801.13133058656</v>
      </c>
      <c r="Z28" s="1">
        <f t="shared" si="44"/>
        <v>115312.68711780722</v>
      </c>
      <c r="AA28" s="1">
        <f t="shared" si="44"/>
        <v>124784.99160599902</v>
      </c>
      <c r="AB28" s="1">
        <f t="shared" si="44"/>
        <v>135349.05490697635</v>
      </c>
      <c r="AC28" s="1">
        <f t="shared" si="44"/>
        <v>147156.14246858368</v>
      </c>
    </row>
    <row r="29" spans="1:29" x14ac:dyDescent="0.2">
      <c r="A29" s="1" t="s">
        <v>43</v>
      </c>
      <c r="B29" s="1">
        <f>B24-B28</f>
        <v>17415</v>
      </c>
      <c r="C29" s="1">
        <f t="shared" ref="C29:K29" si="45">C24-C28</f>
        <v>21838</v>
      </c>
      <c r="D29" s="1">
        <f t="shared" si="45"/>
        <v>21343</v>
      </c>
      <c r="E29" s="1">
        <f t="shared" si="45"/>
        <v>23697</v>
      </c>
      <c r="F29" s="1">
        <f t="shared" si="45"/>
        <v>25472</v>
      </c>
      <c r="G29" s="1">
        <f t="shared" si="45"/>
        <v>27425</v>
      </c>
      <c r="H29" s="1">
        <f t="shared" si="45"/>
        <v>28521</v>
      </c>
      <c r="I29" s="1">
        <f t="shared" si="45"/>
        <v>30972</v>
      </c>
      <c r="J29" s="1">
        <f t="shared" si="45"/>
        <v>30606</v>
      </c>
      <c r="K29" s="1">
        <f t="shared" si="45"/>
        <v>31271</v>
      </c>
      <c r="L29" s="1">
        <f t="shared" ref="L29:M29" si="46">L24-L28</f>
        <v>33785.433867382912</v>
      </c>
      <c r="M29" s="1">
        <f t="shared" si="46"/>
        <v>35987.102662030527</v>
      </c>
      <c r="O29" s="1">
        <f t="shared" ref="O29:R29" si="47">O24-O28</f>
        <v>27505</v>
      </c>
      <c r="P29" s="1">
        <f t="shared" si="47"/>
        <v>23710</v>
      </c>
      <c r="Q29" s="1">
        <f t="shared" si="47"/>
        <v>29030</v>
      </c>
      <c r="R29" s="1">
        <f t="shared" si="47"/>
        <v>32600</v>
      </c>
      <c r="S29" s="1">
        <f t="shared" ref="S29:AC29" si="48">S24-S28</f>
        <v>34231</v>
      </c>
      <c r="T29" s="1">
        <f t="shared" si="48"/>
        <v>41224</v>
      </c>
      <c r="U29" s="1">
        <f t="shared" si="48"/>
        <v>78714</v>
      </c>
      <c r="V29" s="1">
        <f t="shared" si="48"/>
        <v>74842</v>
      </c>
      <c r="W29" s="1">
        <f t="shared" si="48"/>
        <v>84473</v>
      </c>
      <c r="X29" s="1">
        <f t="shared" si="48"/>
        <v>112394</v>
      </c>
      <c r="Y29" s="1">
        <f t="shared" si="48"/>
        <v>131649.53652941342</v>
      </c>
      <c r="Z29" s="1">
        <f t="shared" si="48"/>
        <v>155985.81934941933</v>
      </c>
      <c r="AA29" s="1">
        <f t="shared" si="48"/>
        <v>184364.25053455197</v>
      </c>
      <c r="AB29" s="1">
        <f t="shared" si="48"/>
        <v>217474.31196829991</v>
      </c>
      <c r="AC29" s="1">
        <f t="shared" si="48"/>
        <v>256129.6318800023</v>
      </c>
    </row>
    <row r="30" spans="1:29" x14ac:dyDescent="0.2">
      <c r="A30" s="1" t="s">
        <v>12</v>
      </c>
      <c r="L30" s="1">
        <f>K53*$AF$36/4</f>
        <v>307.57</v>
      </c>
      <c r="M30" s="1">
        <f>L53*$AF$36/4</f>
        <v>445.64666566290077</v>
      </c>
      <c r="Y30" s="1">
        <f>SUM(J30:M30)</f>
        <v>753.21666566290082</v>
      </c>
      <c r="Z30" s="1">
        <f>Y53*$AF$36</f>
        <v>2372.7972017602365</v>
      </c>
      <c r="AA30" s="1">
        <f>Z53*$AF$36</f>
        <v>5164.7386798893458</v>
      </c>
      <c r="AB30" s="1">
        <f>AA53*$AF$36</f>
        <v>8463.9055140632954</v>
      </c>
      <c r="AC30" s="1">
        <f>AB53*$AF$36</f>
        <v>12355.189818266579</v>
      </c>
    </row>
    <row r="31" spans="1:29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11183</v>
      </c>
      <c r="K31" s="1">
        <v>2662</v>
      </c>
      <c r="O31" s="1">
        <v>290</v>
      </c>
      <c r="P31" s="1">
        <v>430</v>
      </c>
      <c r="Q31" s="1">
        <v>1010</v>
      </c>
      <c r="R31" s="1">
        <v>7390</v>
      </c>
      <c r="S31" s="1">
        <v>5394</v>
      </c>
      <c r="T31" s="1">
        <v>6858</v>
      </c>
      <c r="W31" s="1">
        <f>SUM(B31:E31)</f>
        <v>1424</v>
      </c>
      <c r="X31" s="1">
        <f>SUM(F31:I31)</f>
        <v>7425</v>
      </c>
      <c r="Y31" s="1">
        <f>SUM(J31:M31)</f>
        <v>13845</v>
      </c>
      <c r="Z31" s="1">
        <f>Y31*1.01</f>
        <v>13983.45</v>
      </c>
      <c r="AA31" s="1">
        <f t="shared" ref="AA31:AC31" si="49">Z31*1.01</f>
        <v>14123.284500000002</v>
      </c>
      <c r="AB31" s="1">
        <f t="shared" si="49"/>
        <v>14264.517345000002</v>
      </c>
      <c r="AC31" s="1">
        <f t="shared" si="49"/>
        <v>14407.162518450003</v>
      </c>
    </row>
    <row r="32" spans="1:29" x14ac:dyDescent="0.2">
      <c r="A32" s="1" t="s">
        <v>15</v>
      </c>
      <c r="B32" s="1">
        <f>B29+SUM(B30:B31)</f>
        <v>18205</v>
      </c>
      <c r="C32" s="1">
        <f t="shared" ref="C32:K32" si="50">C29+SUM(C30:C31)</f>
        <v>21903</v>
      </c>
      <c r="D32" s="1">
        <f t="shared" si="50"/>
        <v>21197</v>
      </c>
      <c r="E32" s="1">
        <f t="shared" si="50"/>
        <v>24412</v>
      </c>
      <c r="F32" s="1">
        <f t="shared" si="50"/>
        <v>28315</v>
      </c>
      <c r="G32" s="1">
        <f t="shared" si="50"/>
        <v>27551</v>
      </c>
      <c r="H32" s="1">
        <f t="shared" si="50"/>
        <v>31706</v>
      </c>
      <c r="I32" s="1">
        <f t="shared" si="50"/>
        <v>32243</v>
      </c>
      <c r="J32" s="1">
        <f t="shared" si="50"/>
        <v>41789</v>
      </c>
      <c r="K32" s="1">
        <f t="shared" si="50"/>
        <v>33933</v>
      </c>
      <c r="L32" s="1">
        <f t="shared" ref="L32:M32" si="51">L29+SUM(L30:L31)</f>
        <v>34093.003867382911</v>
      </c>
      <c r="M32" s="1">
        <f t="shared" si="51"/>
        <v>36432.749327693426</v>
      </c>
      <c r="O32" s="1">
        <f t="shared" ref="O32:R32" si="52">SUM(O29:O31)</f>
        <v>27795</v>
      </c>
      <c r="P32" s="1">
        <f t="shared" si="52"/>
        <v>24140</v>
      </c>
      <c r="Q32" s="1">
        <f t="shared" si="52"/>
        <v>30040</v>
      </c>
      <c r="R32" s="1">
        <f t="shared" si="52"/>
        <v>39990</v>
      </c>
      <c r="S32" s="1">
        <f t="shared" ref="S32:X32" si="53">SUM(S29:S31)</f>
        <v>39625</v>
      </c>
      <c r="T32" s="1">
        <f t="shared" si="53"/>
        <v>48082</v>
      </c>
      <c r="U32" s="1">
        <f t="shared" si="53"/>
        <v>78714</v>
      </c>
      <c r="V32" s="1">
        <f t="shared" si="53"/>
        <v>74842</v>
      </c>
      <c r="W32" s="1">
        <f t="shared" si="53"/>
        <v>85897</v>
      </c>
      <c r="X32" s="1">
        <f t="shared" si="53"/>
        <v>119819</v>
      </c>
      <c r="Y32" s="1">
        <f t="shared" ref="Y32:AC32" si="54">SUM(Y29:Y31)</f>
        <v>146247.75319507634</v>
      </c>
      <c r="Z32" s="1">
        <f t="shared" si="54"/>
        <v>172342.06655117957</v>
      </c>
      <c r="AA32" s="1">
        <f t="shared" si="54"/>
        <v>203652.27371444134</v>
      </c>
      <c r="AB32" s="1">
        <f t="shared" si="54"/>
        <v>240202.73482736319</v>
      </c>
      <c r="AC32" s="1">
        <f t="shared" si="54"/>
        <v>282891.98421671888</v>
      </c>
    </row>
    <row r="33" spans="1:223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v>7249</v>
      </c>
      <c r="K33" s="1">
        <v>5737</v>
      </c>
      <c r="L33" s="1">
        <f t="shared" ref="L33:M33" si="55">L32*0.19</f>
        <v>6477.670734802753</v>
      </c>
      <c r="M33" s="1">
        <f t="shared" si="55"/>
        <v>6922.2223722617509</v>
      </c>
      <c r="O33" s="1">
        <v>3300</v>
      </c>
      <c r="P33" s="1">
        <v>4670</v>
      </c>
      <c r="Q33" s="1">
        <v>14530</v>
      </c>
      <c r="R33" s="1">
        <v>4180</v>
      </c>
      <c r="S33" s="1">
        <v>5282</v>
      </c>
      <c r="T33" s="1">
        <v>7813</v>
      </c>
      <c r="U33" s="1">
        <v>14701</v>
      </c>
      <c r="V33" s="1">
        <v>11356</v>
      </c>
      <c r="W33" s="1">
        <v>11922</v>
      </c>
      <c r="X33" s="1">
        <v>19697</v>
      </c>
      <c r="Y33" s="1">
        <f>SUM(J33:M33)</f>
        <v>26385.893107064505</v>
      </c>
      <c r="Z33" s="1">
        <f t="shared" ref="Z33:AC33" si="56">Z32*0.19</f>
        <v>32744.99264472412</v>
      </c>
      <c r="AA33" s="1">
        <f t="shared" si="56"/>
        <v>38693.932005743853</v>
      </c>
      <c r="AB33" s="1">
        <f t="shared" si="56"/>
        <v>45638.51961719901</v>
      </c>
      <c r="AC33" s="1">
        <f t="shared" si="56"/>
        <v>53749.477001176587</v>
      </c>
    </row>
    <row r="34" spans="1:223" s="3" customFormat="1" x14ac:dyDescent="0.2">
      <c r="A34" s="15" t="s">
        <v>16</v>
      </c>
      <c r="B34" s="15">
        <f>B32-B33</f>
        <v>15051</v>
      </c>
      <c r="C34" s="15">
        <f t="shared" ref="C34:K34" si="57">C32-C33</f>
        <v>18368</v>
      </c>
      <c r="D34" s="15">
        <f t="shared" si="57"/>
        <v>19689</v>
      </c>
      <c r="E34" s="15">
        <f t="shared" si="57"/>
        <v>20687</v>
      </c>
      <c r="F34" s="15">
        <f t="shared" si="57"/>
        <v>23662</v>
      </c>
      <c r="G34" s="15">
        <f t="shared" si="57"/>
        <v>23619</v>
      </c>
      <c r="H34" s="15">
        <f t="shared" si="57"/>
        <v>26301</v>
      </c>
      <c r="I34" s="15">
        <f t="shared" si="57"/>
        <v>26536</v>
      </c>
      <c r="J34" s="15">
        <f t="shared" si="57"/>
        <v>34540</v>
      </c>
      <c r="K34" s="15">
        <f t="shared" si="57"/>
        <v>28196</v>
      </c>
      <c r="L34" s="15">
        <f t="shared" ref="L34:M34" si="58">L32-L33</f>
        <v>27615.333132580159</v>
      </c>
      <c r="M34" s="15">
        <f t="shared" si="58"/>
        <v>29510.526955431676</v>
      </c>
      <c r="N34" s="15"/>
      <c r="O34" s="15">
        <f t="shared" ref="O34:R34" si="59">O32-O33</f>
        <v>24495</v>
      </c>
      <c r="P34" s="15">
        <f t="shared" si="59"/>
        <v>19470</v>
      </c>
      <c r="Q34" s="15">
        <f t="shared" si="59"/>
        <v>15510</v>
      </c>
      <c r="R34" s="15">
        <f t="shared" si="59"/>
        <v>35810</v>
      </c>
      <c r="S34" s="15">
        <f t="shared" ref="S34:X34" si="60">S32-S33</f>
        <v>34343</v>
      </c>
      <c r="T34" s="15">
        <f t="shared" si="60"/>
        <v>40269</v>
      </c>
      <c r="U34" s="15">
        <f t="shared" si="60"/>
        <v>64013</v>
      </c>
      <c r="V34" s="15">
        <f t="shared" si="60"/>
        <v>63486</v>
      </c>
      <c r="W34" s="15">
        <f t="shared" si="60"/>
        <v>73975</v>
      </c>
      <c r="X34" s="15">
        <f t="shared" si="60"/>
        <v>100122</v>
      </c>
      <c r="Y34" s="15">
        <f t="shared" ref="Y34:AC34" si="61">Y32-Y33</f>
        <v>119861.86008801183</v>
      </c>
      <c r="Z34" s="15">
        <f t="shared" si="61"/>
        <v>139597.07390645545</v>
      </c>
      <c r="AA34" s="15">
        <f t="shared" si="61"/>
        <v>164958.3417086975</v>
      </c>
      <c r="AB34" s="15">
        <f t="shared" si="61"/>
        <v>194564.2152101642</v>
      </c>
      <c r="AC34" s="15">
        <f t="shared" si="61"/>
        <v>229142.50721554228</v>
      </c>
      <c r="AD34" s="15">
        <f>AC34*(1+$AF$37)</f>
        <v>231433.93228769771</v>
      </c>
      <c r="AE34" s="15">
        <f>AD34*(1+$AF$37)</f>
        <v>233748.27161057468</v>
      </c>
      <c r="AF34" s="15">
        <f>AE34*(1+$AF$37)</f>
        <v>236085.75432668044</v>
      </c>
      <c r="AG34" s="15">
        <f>AF34*(1+$AF$37)</f>
        <v>238446.61186994726</v>
      </c>
      <c r="AH34" s="15">
        <f>AG34*(1+$AF$37)</f>
        <v>240831.07798864672</v>
      </c>
      <c r="AI34" s="15">
        <f>AH34*(1+$AF$37)</f>
        <v>243239.38876853319</v>
      </c>
      <c r="AJ34" s="15">
        <f>AI34*(1+$AF$37)</f>
        <v>245671.78265621851</v>
      </c>
      <c r="AK34" s="15">
        <f>AJ34*(1+$AF$37)</f>
        <v>248128.50048278068</v>
      </c>
      <c r="AL34" s="15">
        <f>AK34*(1+$AF$37)</f>
        <v>250609.78548760849</v>
      </c>
      <c r="AM34" s="15">
        <f>AL34*(1+$AF$37)</f>
        <v>253115.88334248457</v>
      </c>
      <c r="AN34" s="15">
        <f>AM34*(1+$AF$37)</f>
        <v>255647.04217590942</v>
      </c>
      <c r="AO34" s="15">
        <f>AN34*(1+$AF$37)</f>
        <v>258203.51259766851</v>
      </c>
      <c r="AP34" s="15">
        <f>AO34*(1+$AF$37)</f>
        <v>260785.5477236452</v>
      </c>
      <c r="AQ34" s="15">
        <f>AP34*(1+$AF$37)</f>
        <v>263393.40320088167</v>
      </c>
      <c r="AR34" s="15">
        <f>AQ34*(1+$AF$37)</f>
        <v>266027.33723289048</v>
      </c>
      <c r="AS34" s="15">
        <f>AR34*(1+$AF$37)</f>
        <v>268687.61060521938</v>
      </c>
      <c r="AT34" s="15">
        <f>AS34*(1+$AF$37)</f>
        <v>271374.48671127157</v>
      </c>
      <c r="AU34" s="15">
        <f>AT34*(1+$AF$37)</f>
        <v>274088.23157838429</v>
      </c>
      <c r="AV34" s="15">
        <f>AU34*(1+$AF$37)</f>
        <v>276829.11389416811</v>
      </c>
      <c r="AW34" s="15">
        <f>AV34*(1+$AF$37)</f>
        <v>279597.40503310977</v>
      </c>
      <c r="AX34" s="15">
        <f>AW34*(1+$AF$37)</f>
        <v>282393.37908344087</v>
      </c>
      <c r="AY34" s="15">
        <f>AX34*(1+$AF$37)</f>
        <v>285217.31287427526</v>
      </c>
      <c r="AZ34" s="15">
        <f>AY34*(1+$AF$37)</f>
        <v>288069.48600301804</v>
      </c>
      <c r="BA34" s="15">
        <f>AZ34*(1+$AF$37)</f>
        <v>290950.18086304824</v>
      </c>
      <c r="BB34" s="15">
        <f>BA34*(1+$AF$37)</f>
        <v>293859.68267167872</v>
      </c>
      <c r="BC34" s="15">
        <f>BB34*(1+$AF$37)</f>
        <v>296798.27949839551</v>
      </c>
      <c r="BD34" s="15">
        <f>BC34*(1+$AF$37)</f>
        <v>299766.26229337946</v>
      </c>
      <c r="BE34" s="15">
        <f>BD34*(1+$AF$37)</f>
        <v>302763.92491631326</v>
      </c>
      <c r="BF34" s="15">
        <f>BE34*(1+$AF$37)</f>
        <v>305791.56416547642</v>
      </c>
      <c r="BG34" s="15">
        <f>BF34*(1+$AF$37)</f>
        <v>308849.47980713117</v>
      </c>
      <c r="BH34" s="15">
        <f>BG34*(1+$AF$37)</f>
        <v>311937.9746052025</v>
      </c>
      <c r="BI34" s="15">
        <f>BH34*(1+$AF$37)</f>
        <v>315057.35435125453</v>
      </c>
      <c r="BJ34" s="15">
        <f>BI34*(1+$AF$37)</f>
        <v>318207.92789476708</v>
      </c>
      <c r="BK34" s="15">
        <f>BJ34*(1+$AF$37)</f>
        <v>321390.00717371475</v>
      </c>
      <c r="BL34" s="15">
        <f>BK34*(1+$AF$37)</f>
        <v>324603.90724545188</v>
      </c>
      <c r="BM34" s="15">
        <f>BL34*(1+$AF$37)</f>
        <v>327849.94631790638</v>
      </c>
      <c r="BN34" s="15">
        <f>BM34*(1+$AF$37)</f>
        <v>331128.44578108547</v>
      </c>
      <c r="BO34" s="15">
        <f>BN34*(1+$AF$37)</f>
        <v>334439.73023889633</v>
      </c>
      <c r="BP34" s="15">
        <f>BO34*(1+$AF$37)</f>
        <v>337784.1275412853</v>
      </c>
      <c r="BQ34" s="15">
        <f>BP34*(1+$AF$37)</f>
        <v>341161.96881669818</v>
      </c>
      <c r="BR34" s="15">
        <f>BQ34*(1+$AF$37)</f>
        <v>344573.58850486518</v>
      </c>
      <c r="BS34" s="15">
        <f>BR34*(1+$AF$37)</f>
        <v>348019.32438991382</v>
      </c>
      <c r="BT34" s="15">
        <f>BS34*(1+$AF$37)</f>
        <v>351499.51763381297</v>
      </c>
      <c r="BU34" s="15">
        <f>BT34*(1+$AF$37)</f>
        <v>355014.51281015109</v>
      </c>
      <c r="BV34" s="15">
        <f>BU34*(1+$AF$37)</f>
        <v>358564.65793825261</v>
      </c>
      <c r="BW34" s="15">
        <f>BV34*(1+$AF$37)</f>
        <v>362150.30451763514</v>
      </c>
      <c r="BX34" s="15">
        <f>BW34*(1+$AF$37)</f>
        <v>365771.80756281147</v>
      </c>
      <c r="BY34" s="15">
        <f>BX34*(1+$AF$37)</f>
        <v>369429.52563843958</v>
      </c>
      <c r="BZ34" s="15">
        <f>BY34*(1+$AF$37)</f>
        <v>373123.82089482399</v>
      </c>
      <c r="CA34" s="15">
        <f>BZ34*(1+$AF$37)</f>
        <v>376855.05910377222</v>
      </c>
      <c r="CB34" s="15">
        <f>CA34*(1+$AF$37)</f>
        <v>380623.60969480994</v>
      </c>
      <c r="CC34" s="15">
        <f>CB34*(1+$AF$37)</f>
        <v>384429.84579175804</v>
      </c>
      <c r="CD34" s="15">
        <f>CC34*(1+$AF$37)</f>
        <v>388274.14424967562</v>
      </c>
      <c r="CE34" s="15">
        <f>CD34*(1+$AF$37)</f>
        <v>392156.88569217239</v>
      </c>
      <c r="CF34" s="15">
        <f>CE34*(1+$AF$37)</f>
        <v>396078.45454909414</v>
      </c>
      <c r="CG34" s="15">
        <f>CF34*(1+$AF$37)</f>
        <v>400039.23909458506</v>
      </c>
      <c r="CH34" s="15">
        <f>CG34*(1+$AF$37)</f>
        <v>404039.63148553093</v>
      </c>
      <c r="CI34" s="15">
        <f>CH34*(1+$AF$37)</f>
        <v>408080.02780038625</v>
      </c>
      <c r="CJ34" s="15">
        <f>CI34*(1+$AF$37)</f>
        <v>412160.8280783901</v>
      </c>
      <c r="CK34" s="15">
        <f>CJ34*(1+$AF$37)</f>
        <v>416282.43635917403</v>
      </c>
      <c r="CL34" s="15">
        <f>CK34*(1+$AF$37)</f>
        <v>420445.26072276576</v>
      </c>
      <c r="CM34" s="15">
        <f>CL34*(1+$AF$37)</f>
        <v>424649.71332999342</v>
      </c>
      <c r="CN34" s="15">
        <f>CM34*(1+$AF$37)</f>
        <v>428896.21046329336</v>
      </c>
      <c r="CO34" s="15">
        <f>CN34*(1+$AF$37)</f>
        <v>433185.17256792629</v>
      </c>
      <c r="CP34" s="15">
        <f>CO34*(1+$AF$37)</f>
        <v>437517.02429360553</v>
      </c>
      <c r="CQ34" s="15">
        <f>CP34*(1+$AF$37)</f>
        <v>441892.19453654159</v>
      </c>
      <c r="CR34" s="15">
        <f>CQ34*(1+$AF$37)</f>
        <v>446311.11648190703</v>
      </c>
      <c r="CS34" s="15">
        <f>CR34*(1+$AF$37)</f>
        <v>450774.22764672613</v>
      </c>
      <c r="CT34" s="15">
        <f>CS34*(1+$AF$37)</f>
        <v>455281.96992319339</v>
      </c>
      <c r="CU34" s="15">
        <f>CT34*(1+$AF$37)</f>
        <v>459834.78962242533</v>
      </c>
      <c r="CV34" s="15">
        <f>CU34*(1+$AF$37)</f>
        <v>464433.13751864957</v>
      </c>
      <c r="CW34" s="15">
        <f>CV34*(1+$AF$37)</f>
        <v>469077.46889383608</v>
      </c>
      <c r="CX34" s="15">
        <f>CW34*(1+$AF$37)</f>
        <v>473768.24358277442</v>
      </c>
      <c r="CY34" s="15">
        <f>CX34*(1+$AF$37)</f>
        <v>478505.92601860216</v>
      </c>
      <c r="CZ34" s="15">
        <f>CY34*(1+$AF$37)</f>
        <v>483290.9852787882</v>
      </c>
      <c r="DA34" s="15">
        <f>CZ34*(1+$AF$37)</f>
        <v>488123.89513157611</v>
      </c>
      <c r="DB34" s="15">
        <f>DA34*(1+$AF$37)</f>
        <v>493005.13408289186</v>
      </c>
      <c r="DC34" s="15">
        <f>DB34*(1+$AF$37)</f>
        <v>497935.1854237208</v>
      </c>
      <c r="DD34" s="15">
        <f>DC34*(1+$AF$37)</f>
        <v>502914.53727795801</v>
      </c>
      <c r="DE34" s="15">
        <f>DD34*(1+$AF$37)</f>
        <v>507943.68265073758</v>
      </c>
      <c r="DF34" s="15">
        <f>DE34*(1+$AF$37)</f>
        <v>513023.11947724497</v>
      </c>
      <c r="DG34" s="15">
        <f>DF34*(1+$AF$37)</f>
        <v>518153.35067201743</v>
      </c>
      <c r="DH34" s="15">
        <f>DG34*(1+$AF$37)</f>
        <v>523334.88417873759</v>
      </c>
      <c r="DI34" s="15">
        <f>DH34*(1+$AF$37)</f>
        <v>528568.23302052496</v>
      </c>
      <c r="DJ34" s="15">
        <f>DI34*(1+$AF$37)</f>
        <v>533853.91535073018</v>
      </c>
      <c r="DK34" s="15">
        <f>DJ34*(1+$AF$37)</f>
        <v>539192.45450423751</v>
      </c>
      <c r="DL34" s="15">
        <f>DK34*(1+$AF$37)</f>
        <v>544584.37904927984</v>
      </c>
      <c r="DM34" s="15">
        <f>DL34*(1+$AF$37)</f>
        <v>550030.2228397727</v>
      </c>
      <c r="DN34" s="15">
        <f>DM34*(1+$AF$37)</f>
        <v>555530.52506817039</v>
      </c>
      <c r="DO34" s="15">
        <f>DN34*(1+$AF$37)</f>
        <v>561085.83031885209</v>
      </c>
      <c r="DP34" s="15">
        <f>DO34*(1+$AF$37)</f>
        <v>566696.68862204067</v>
      </c>
      <c r="DQ34" s="15">
        <f>DP34*(1+$AF$37)</f>
        <v>572363.65550826106</v>
      </c>
      <c r="DR34" s="15">
        <f>DQ34*(1+$AF$37)</f>
        <v>578087.29206334369</v>
      </c>
      <c r="DS34" s="15">
        <f>DR34*(1+$AF$37)</f>
        <v>583868.1649839771</v>
      </c>
      <c r="DT34" s="15">
        <f>DS34*(1+$AF$37)</f>
        <v>589706.84663381684</v>
      </c>
      <c r="DU34" s="15">
        <f>DT34*(1+$AF$37)</f>
        <v>595603.91510015505</v>
      </c>
      <c r="DV34" s="15">
        <f>DU34*(1+$AF$37)</f>
        <v>601559.95425115665</v>
      </c>
      <c r="DW34" s="15">
        <f>DV34*(1+$AF$37)</f>
        <v>607575.55379366828</v>
      </c>
      <c r="DX34" s="15">
        <f>DW34*(1+$AF$37)</f>
        <v>613651.30933160498</v>
      </c>
      <c r="DY34" s="15">
        <f>DX34*(1+$AF$37)</f>
        <v>619787.82242492109</v>
      </c>
      <c r="DZ34" s="15">
        <f>DY34*(1+$AF$37)</f>
        <v>625985.70064917032</v>
      </c>
      <c r="EA34" s="15">
        <f>DZ34*(1+$AF$37)</f>
        <v>632245.55765566207</v>
      </c>
      <c r="EB34" s="15">
        <f>EA34*(1+$AF$37)</f>
        <v>638568.01323221868</v>
      </c>
      <c r="EC34" s="15">
        <f>EB34*(1+$AF$37)</f>
        <v>644953.69336454093</v>
      </c>
      <c r="ED34" s="15">
        <f>EC34*(1+$AF$37)</f>
        <v>651403.2302981863</v>
      </c>
      <c r="EE34" s="15">
        <f>ED34*(1+$AF$37)</f>
        <v>657917.26260116813</v>
      </c>
      <c r="EF34" s="15">
        <f>EE34*(1+$AF$37)</f>
        <v>664496.43522717978</v>
      </c>
      <c r="EG34" s="15">
        <f>EF34*(1+$AF$37)</f>
        <v>671141.39957945154</v>
      </c>
      <c r="EH34" s="15">
        <f>EG34*(1+$AF$37)</f>
        <v>677852.81357524602</v>
      </c>
      <c r="EI34" s="15">
        <f>EH34*(1+$AF$37)</f>
        <v>684631.34171099844</v>
      </c>
      <c r="EJ34" s="15">
        <f>EI34*(1+$AF$37)</f>
        <v>691477.65512810845</v>
      </c>
      <c r="EK34" s="15">
        <f>EJ34*(1+$AF$37)</f>
        <v>698392.43167938956</v>
      </c>
      <c r="EL34" s="15">
        <f>EK34*(1+$AF$37)</f>
        <v>705376.35599618347</v>
      </c>
      <c r="EM34" s="15">
        <f>EL34*(1+$AF$37)</f>
        <v>712430.11955614528</v>
      </c>
      <c r="EN34" s="15">
        <f>EM34*(1+$AF$37)</f>
        <v>719554.4207517067</v>
      </c>
      <c r="EO34" s="15">
        <f>EN34*(1+$AF$37)</f>
        <v>726749.96495922375</v>
      </c>
      <c r="EP34" s="15">
        <f>EO34*(1+$AF$37)</f>
        <v>734017.46460881596</v>
      </c>
      <c r="EQ34" s="15">
        <f>EP34*(1+$AF$37)</f>
        <v>741357.63925490412</v>
      </c>
      <c r="ER34" s="15">
        <f>EQ34*(1+$AF$37)</f>
        <v>748771.21564745321</v>
      </c>
      <c r="ES34" s="15">
        <f>ER34*(1+$AF$37)</f>
        <v>756258.9278039278</v>
      </c>
      <c r="ET34" s="15">
        <f>ES34*(1+$AF$37)</f>
        <v>763821.51708196709</v>
      </c>
      <c r="EU34" s="15">
        <f>ET34*(1+$AF$37)</f>
        <v>771459.73225278675</v>
      </c>
      <c r="EV34" s="15">
        <f>EU34*(1+$AF$37)</f>
        <v>779174.32957531465</v>
      </c>
      <c r="EW34" s="15">
        <f>EV34*(1+$AF$37)</f>
        <v>786966.07287106779</v>
      </c>
      <c r="EX34" s="15">
        <f>EW34*(1+$AF$37)</f>
        <v>794835.7335997785</v>
      </c>
      <c r="EY34" s="15">
        <f>EX34*(1+$AF$37)</f>
        <v>802784.09093577624</v>
      </c>
      <c r="EZ34" s="15">
        <f>EY34*(1+$AF$37)</f>
        <v>810811.93184513401</v>
      </c>
      <c r="FA34" s="15">
        <f>EZ34*(1+$AF$37)</f>
        <v>818920.05116358539</v>
      </c>
      <c r="FB34" s="15">
        <f>FA34*(1+$AF$37)</f>
        <v>827109.25167522125</v>
      </c>
      <c r="FC34" s="15">
        <f>FB34*(1+$AF$37)</f>
        <v>835380.34419197345</v>
      </c>
      <c r="FD34" s="15">
        <f>FC34*(1+$AF$37)</f>
        <v>843734.14763389318</v>
      </c>
      <c r="FE34" s="15">
        <f>FD34*(1+$AF$37)</f>
        <v>852171.4891102321</v>
      </c>
      <c r="FF34" s="15">
        <f>FE34*(1+$AF$37)</f>
        <v>860693.20400133438</v>
      </c>
      <c r="FG34" s="15">
        <f>FF34*(1+$AF$37)</f>
        <v>869300.13604134775</v>
      </c>
      <c r="FH34" s="15">
        <f>FG34*(1+$AF$37)</f>
        <v>877993.13740176125</v>
      </c>
      <c r="FI34" s="15">
        <f>FH34*(1+$AF$37)</f>
        <v>886773.06877577887</v>
      </c>
      <c r="FJ34" s="15">
        <f>FI34*(1+$AF$37)</f>
        <v>895640.79946353671</v>
      </c>
      <c r="FK34" s="15">
        <f>FJ34*(1+$AF$37)</f>
        <v>904597.20745817211</v>
      </c>
      <c r="FL34" s="15">
        <f>FK34*(1+$AF$37)</f>
        <v>913643.17953275389</v>
      </c>
      <c r="FM34" s="15">
        <f>FL34*(1+$AF$37)</f>
        <v>922779.61132808146</v>
      </c>
      <c r="FN34" s="15">
        <f>FM34*(1+$AF$37)</f>
        <v>932007.40744136227</v>
      </c>
      <c r="FO34" s="15">
        <f>FN34*(1+$AF$37)</f>
        <v>941327.4815157759</v>
      </c>
      <c r="FP34" s="15">
        <f>FO34*(1+$AF$37)</f>
        <v>950740.75633093365</v>
      </c>
      <c r="FQ34" s="15">
        <f>FP34*(1+$AF$37)</f>
        <v>960248.16389424296</v>
      </c>
      <c r="FR34" s="15">
        <f>FQ34*(1+$AF$37)</f>
        <v>969850.64553318545</v>
      </c>
      <c r="FS34" s="15">
        <f>FR34*(1+$AF$37)</f>
        <v>979549.15198851726</v>
      </c>
      <c r="FT34" s="15">
        <f>FS34*(1+$AF$37)</f>
        <v>989344.6435084024</v>
      </c>
      <c r="FU34" s="15">
        <f>FT34*(1+$AF$37)</f>
        <v>999238.08994348638</v>
      </c>
      <c r="FV34" s="15">
        <f>FU34*(1+$AF$37)</f>
        <v>1009230.4708429213</v>
      </c>
      <c r="FW34" s="15">
        <f>FV34*(1+$AF$37)</f>
        <v>1019322.7755513506</v>
      </c>
      <c r="FX34" s="15">
        <f>FW34*(1+$AF$37)</f>
        <v>1029516.0033068641</v>
      </c>
      <c r="FY34" s="15">
        <f>FX34*(1+$AF$37)</f>
        <v>1039811.1633399327</v>
      </c>
      <c r="FZ34" s="15">
        <f>FY34*(1+$AF$37)</f>
        <v>1050209.274973332</v>
      </c>
      <c r="GA34" s="15">
        <f>FZ34*(1+$AF$37)</f>
        <v>1060711.3677230652</v>
      </c>
      <c r="GB34" s="15">
        <f>GA34*(1+$AF$37)</f>
        <v>1071318.4814002959</v>
      </c>
      <c r="GC34" s="15">
        <f>GB34*(1+$AF$37)</f>
        <v>1082031.6662142989</v>
      </c>
      <c r="GD34" s="15">
        <f>GC34*(1+$AF$37)</f>
        <v>1092851.9828764419</v>
      </c>
      <c r="GE34" s="15">
        <f>GD34*(1+$AF$37)</f>
        <v>1103780.5027052064</v>
      </c>
      <c r="GF34" s="15">
        <f>GE34*(1+$AF$37)</f>
        <v>1114818.3077322585</v>
      </c>
      <c r="GG34" s="15">
        <f>GF34*(1+$AF$37)</f>
        <v>1125966.490809581</v>
      </c>
      <c r="GH34" s="15">
        <f>GG34*(1+$AF$37)</f>
        <v>1137226.1557176767</v>
      </c>
      <c r="GI34" s="15">
        <f>GH34*(1+$AF$37)</f>
        <v>1148598.4172748534</v>
      </c>
      <c r="GJ34" s="15">
        <f>GI34*(1+$AF$37)</f>
        <v>1160084.4014476021</v>
      </c>
      <c r="GK34" s="15">
        <f>GJ34*(1+$AF$37)</f>
        <v>1171685.2454620781</v>
      </c>
      <c r="GL34" s="15">
        <f>GK34*(1+$AF$37)</f>
        <v>1183402.097916699</v>
      </c>
      <c r="GM34" s="15">
        <f>GL34*(1+$AF$37)</f>
        <v>1195236.118895866</v>
      </c>
      <c r="GN34" s="15">
        <f>GM34*(1+$AF$37)</f>
        <v>1207188.4800848246</v>
      </c>
      <c r="GO34" s="15">
        <f>GN34*(1+$AF$37)</f>
        <v>1219260.3648856729</v>
      </c>
      <c r="GP34" s="15">
        <f>GO34*(1+$AF$37)</f>
        <v>1231452.9685345297</v>
      </c>
      <c r="GQ34" s="15">
        <f>GP34*(1+$AF$37)</f>
        <v>1243767.4982198749</v>
      </c>
      <c r="GR34" s="15">
        <f>GQ34*(1+$AF$37)</f>
        <v>1256205.1732020737</v>
      </c>
      <c r="GS34" s="15">
        <f>GR34*(1+$AF$37)</f>
        <v>1268767.2249340944</v>
      </c>
      <c r="GT34" s="15">
        <f>GS34*(1+$AF$37)</f>
        <v>1281454.8971834353</v>
      </c>
      <c r="GU34" s="15">
        <f>GT34*(1+$AF$37)</f>
        <v>1294269.4461552696</v>
      </c>
      <c r="GV34" s="15">
        <f>GU34*(1+$AF$37)</f>
        <v>1307212.1406168223</v>
      </c>
      <c r="GW34" s="15">
        <f>GV34*(1+$AF$37)</f>
        <v>1320284.2620229905</v>
      </c>
      <c r="GX34" s="15">
        <f>GW34*(1+$AF$37)</f>
        <v>1333487.1046432203</v>
      </c>
      <c r="GY34" s="15">
        <f>GX34*(1+$AF$37)</f>
        <v>1346821.9756896526</v>
      </c>
      <c r="GZ34" s="15">
        <f>GY34*(1+$AF$37)</f>
        <v>1360290.1954465492</v>
      </c>
      <c r="HA34" s="15">
        <f>GZ34*(1+$AF$37)</f>
        <v>1373893.0974010148</v>
      </c>
      <c r="HB34" s="15">
        <f>HA34*(1+$AF$37)</f>
        <v>1387632.0283750249</v>
      </c>
      <c r="HC34" s="15">
        <f>HB34*(1+$AF$37)</f>
        <v>1401508.3486587752</v>
      </c>
      <c r="HD34" s="15">
        <f>HC34*(1+$AF$37)</f>
        <v>1415523.432145363</v>
      </c>
      <c r="HE34" s="15">
        <f>HD34*(1+$AF$37)</f>
        <v>1429678.6664668166</v>
      </c>
      <c r="HF34" s="15">
        <f>HE34*(1+$AF$37)</f>
        <v>1443975.4531314848</v>
      </c>
      <c r="HG34" s="15">
        <f>HF34*(1+$AF$37)</f>
        <v>1458415.2076627996</v>
      </c>
      <c r="HH34" s="15">
        <f>HG34*(1+$AF$37)</f>
        <v>1472999.3597394277</v>
      </c>
      <c r="HI34" s="15">
        <f>HH34*(1+$AF$37)</f>
        <v>1487729.353336822</v>
      </c>
      <c r="HJ34" s="15">
        <f>HI34*(1+$AF$37)</f>
        <v>1502606.6468701903</v>
      </c>
      <c r="HK34" s="15">
        <f>HJ34*(1+$AF$37)</f>
        <v>1517632.7133388922</v>
      </c>
      <c r="HL34" s="15">
        <f>HK34*(1+$AF$37)</f>
        <v>1532809.0404722812</v>
      </c>
      <c r="HM34" s="15">
        <f>HL34*(1+$AF$37)</f>
        <v>1548137.130877004</v>
      </c>
      <c r="HN34" s="15">
        <f>HM34*(1+$AF$37)</f>
        <v>1563618.502185774</v>
      </c>
      <c r="HO34" s="15">
        <f>HN34*(1+$AF$37)</f>
        <v>1579254.6872076318</v>
      </c>
    </row>
    <row r="35" spans="1:223" s="3" customFormat="1" x14ac:dyDescent="0.2">
      <c r="A35" s="1" t="s">
        <v>46</v>
      </c>
      <c r="B35" s="7" t="e">
        <f>B34/B36</f>
        <v>#DIV/0!</v>
      </c>
      <c r="C35" s="7">
        <f t="shared" ref="C35:F35" si="62">C34/C36</f>
        <v>1.439047320589157</v>
      </c>
      <c r="D35" s="7" t="e">
        <f t="shared" si="62"/>
        <v>#DIV/0!</v>
      </c>
      <c r="E35" s="7" t="e">
        <f t="shared" si="62"/>
        <v>#DIV/0!</v>
      </c>
      <c r="F35" s="7" t="e">
        <f t="shared" si="62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 t="e">
        <f t="shared" ref="J35:M35" si="63">J34/J36</f>
        <v>#DIV/0!</v>
      </c>
      <c r="K35" s="7">
        <f t="shared" si="63"/>
        <v>2.3314040019844553</v>
      </c>
      <c r="L35" s="7">
        <f t="shared" si="63"/>
        <v>2.3064557542165627</v>
      </c>
      <c r="M35" s="7">
        <f t="shared" si="63"/>
        <v>2.4896403330722996</v>
      </c>
      <c r="N35" s="7"/>
      <c r="O35" s="7"/>
      <c r="P35" s="7"/>
      <c r="Q35" s="7"/>
      <c r="R35" s="7"/>
      <c r="S35" s="7"/>
      <c r="T35" s="7"/>
      <c r="U35" s="7"/>
      <c r="V35" s="7"/>
      <c r="W35" s="4"/>
      <c r="X35" s="7">
        <f t="shared" ref="X35" si="64">X34/X36</f>
        <v>8.1732244897959188</v>
      </c>
      <c r="Y35" s="7">
        <f t="shared" ref="Y35" si="65">Y34/Y36</f>
        <v>10.112083790400007</v>
      </c>
      <c r="Z35" s="7">
        <f t="shared" ref="Z35" si="66">Z34/Z36</f>
        <v>11.546112637254298</v>
      </c>
      <c r="AA35" s="7">
        <f t="shared" ref="AA35" si="67">AA34/AA36</f>
        <v>13.376225607565409</v>
      </c>
      <c r="AB35" s="7">
        <f t="shared" ref="AB35" si="68">AB34/AB36</f>
        <v>15.467570275753538</v>
      </c>
      <c r="AC35" s="7">
        <f t="shared" ref="AC35" si="69">AC34/AC36</f>
        <v>17.859307714786553</v>
      </c>
    </row>
    <row r="36" spans="1:223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/>
      <c r="K36" s="1">
        <v>12094</v>
      </c>
      <c r="L36" s="1">
        <f>K36*0.99</f>
        <v>11973.06</v>
      </c>
      <c r="M36" s="1">
        <f>L36*0.99</f>
        <v>11853.329399999999</v>
      </c>
      <c r="N36" s="1"/>
      <c r="O36" s="1"/>
      <c r="P36" s="1"/>
      <c r="Q36" s="1"/>
      <c r="S36" s="1"/>
      <c r="X36" s="1">
        <v>12250</v>
      </c>
      <c r="Y36" s="1">
        <f>M36</f>
        <v>11853.329399999999</v>
      </c>
      <c r="Z36" s="1">
        <f t="shared" ref="Z36:AC36" si="70">Y36*1.02</f>
        <v>12090.395987999998</v>
      </c>
      <c r="AA36" s="1">
        <f t="shared" si="70"/>
        <v>12332.203907759998</v>
      </c>
      <c r="AB36" s="1">
        <f t="shared" si="70"/>
        <v>12578.847985915199</v>
      </c>
      <c r="AC36" s="1">
        <f t="shared" si="70"/>
        <v>12830.424945633504</v>
      </c>
      <c r="AE36" s="1" t="s">
        <v>50</v>
      </c>
      <c r="AF36" s="4">
        <v>0.02</v>
      </c>
    </row>
    <row r="37" spans="1:223" s="3" customFormat="1" x14ac:dyDescent="0.2">
      <c r="S37" s="1"/>
      <c r="X37" s="1"/>
      <c r="Y37" s="1"/>
      <c r="Z37" s="1"/>
      <c r="AA37" s="1"/>
      <c r="AB37" s="1"/>
      <c r="AC37" s="1"/>
      <c r="AE37" s="1" t="s">
        <v>28</v>
      </c>
      <c r="AF37" s="4">
        <v>0.01</v>
      </c>
    </row>
    <row r="38" spans="1:223" x14ac:dyDescent="0.2">
      <c r="A38" s="3" t="s">
        <v>40</v>
      </c>
      <c r="B38" s="3"/>
      <c r="C38" s="3"/>
      <c r="D38" s="3"/>
      <c r="E38" s="3"/>
      <c r="F38" s="5">
        <f t="shared" ref="F38:M38" si="71">F22/B22-1</f>
        <v>0.15406880937710454</v>
      </c>
      <c r="G38" s="5">
        <f t="shared" si="71"/>
        <v>0.13589083695244231</v>
      </c>
      <c r="H38" s="5">
        <f t="shared" si="71"/>
        <v>0.15092642092498654</v>
      </c>
      <c r="I38" s="5">
        <f t="shared" si="71"/>
        <v>0.11770362646275045</v>
      </c>
      <c r="J38" s="5">
        <f t="shared" si="71"/>
        <v>0.12037646357665222</v>
      </c>
      <c r="K38" s="5">
        <f t="shared" si="71"/>
        <v>0.13790092280097244</v>
      </c>
      <c r="L38" s="5">
        <f t="shared" si="71"/>
        <v>0.16289062854035441</v>
      </c>
      <c r="M38" s="5">
        <f t="shared" si="71"/>
        <v>0.13337013030092582</v>
      </c>
      <c r="N38" s="5"/>
      <c r="O38" s="5"/>
      <c r="P38" s="5">
        <f t="shared" ref="P38:AC38" si="72">P22/O22-1</f>
        <v>0.20376050140018664</v>
      </c>
      <c r="Q38" s="5">
        <f t="shared" si="72"/>
        <v>0.2280934972859201</v>
      </c>
      <c r="R38" s="5">
        <f t="shared" si="72"/>
        <v>0.23416922244272054</v>
      </c>
      <c r="S38" s="5">
        <f t="shared" si="72"/>
        <v>0.18299225259464991</v>
      </c>
      <c r="T38" s="5">
        <f t="shared" si="72"/>
        <v>0.12770532012826141</v>
      </c>
      <c r="U38" s="5">
        <f t="shared" si="72"/>
        <v>0.41150076427049154</v>
      </c>
      <c r="V38" s="5">
        <f t="shared" si="72"/>
        <v>9.7808156437157789E-2</v>
      </c>
      <c r="W38" s="5">
        <f t="shared" si="72"/>
        <v>8.6827702272695095E-2</v>
      </c>
      <c r="X38" s="5">
        <f t="shared" si="72"/>
        <v>0.13866243322901561</v>
      </c>
      <c r="Y38" s="5">
        <f t="shared" si="72"/>
        <v>0.13892175002428453</v>
      </c>
      <c r="Z38" s="5">
        <f t="shared" si="72"/>
        <v>0.11544635331115161</v>
      </c>
      <c r="AA38" s="5">
        <f t="shared" si="72"/>
        <v>0.11717346417191354</v>
      </c>
      <c r="AB38" s="5">
        <f t="shared" si="72"/>
        <v>0.11889409544522223</v>
      </c>
      <c r="AC38" s="5">
        <f t="shared" si="72"/>
        <v>0.12061231558237329</v>
      </c>
      <c r="AE38" s="1" t="s">
        <v>29</v>
      </c>
      <c r="AF38" s="4">
        <v>0.08</v>
      </c>
    </row>
    <row r="39" spans="1:223" s="15" customFormat="1" x14ac:dyDescent="0.2">
      <c r="A39" s="15" t="s">
        <v>41</v>
      </c>
      <c r="C39" s="17">
        <f t="shared" ref="C39:M39" si="73">C22/B22-1</f>
        <v>6.9024316849843004E-2</v>
      </c>
      <c r="D39" s="17">
        <f t="shared" si="73"/>
        <v>2.8001179561417677E-2</v>
      </c>
      <c r="E39" s="17">
        <f t="shared" si="73"/>
        <v>0.12539605961430644</v>
      </c>
      <c r="F39" s="17">
        <f t="shared" si="73"/>
        <v>-6.6863631097207721E-2</v>
      </c>
      <c r="G39" s="17">
        <f t="shared" si="73"/>
        <v>5.218589751548941E-2</v>
      </c>
      <c r="H39" s="17">
        <f t="shared" si="73"/>
        <v>4.1608647423945655E-2</v>
      </c>
      <c r="I39" s="17">
        <f t="shared" si="73"/>
        <v>9.2910227942176071E-2</v>
      </c>
      <c r="J39" s="17">
        <f t="shared" si="73"/>
        <v>-6.463216162705121E-2</v>
      </c>
      <c r="K39" s="17">
        <f t="shared" si="73"/>
        <v>6.8643748476184152E-2</v>
      </c>
      <c r="L39" s="17">
        <f t="shared" si="73"/>
        <v>6.4483656199444184E-2</v>
      </c>
      <c r="M39" s="17">
        <f t="shared" si="73"/>
        <v>6.5166213442448884E-2</v>
      </c>
      <c r="N39" s="17"/>
      <c r="O39" s="17"/>
      <c r="P39" s="17"/>
      <c r="Q39" s="17"/>
      <c r="R39" s="17"/>
      <c r="U39" s="17"/>
      <c r="V39" s="17"/>
      <c r="W39" s="17"/>
      <c r="X39" s="17"/>
      <c r="Y39" s="17"/>
      <c r="Z39" s="17"/>
      <c r="AA39" s="17"/>
      <c r="AB39" s="17"/>
      <c r="AC39" s="17"/>
      <c r="AE39" s="1" t="s">
        <v>27</v>
      </c>
      <c r="AF39" s="1">
        <f>NPV(AF38,Y34:HO34)+Main!K5-Main!K6</f>
        <v>2972227.9131441074</v>
      </c>
    </row>
    <row r="40" spans="1:22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E40" s="18" t="s">
        <v>107</v>
      </c>
      <c r="AF40" s="7">
        <f>AF39/Main!K3</f>
        <v>245.76053523599367</v>
      </c>
    </row>
    <row r="41" spans="1:223" x14ac:dyDescent="0.2">
      <c r="A41" s="3" t="s">
        <v>17</v>
      </c>
      <c r="B41" s="5">
        <f t="shared" ref="B41:K41" si="74">B24/B22</f>
        <v>0.56135096794531936</v>
      </c>
      <c r="C41" s="5">
        <f t="shared" si="74"/>
        <v>0.5721945204010509</v>
      </c>
      <c r="D41" s="5">
        <f t="shared" si="74"/>
        <v>0.56672708069836886</v>
      </c>
      <c r="E41" s="5">
        <f t="shared" si="74"/>
        <v>0.56465067778936395</v>
      </c>
      <c r="F41" s="5">
        <f t="shared" si="74"/>
        <v>0.58142018152696207</v>
      </c>
      <c r="G41" s="5">
        <f t="shared" si="74"/>
        <v>0.58099879634655782</v>
      </c>
      <c r="H41" s="5">
        <f t="shared" si="74"/>
        <v>0.58678116644763678</v>
      </c>
      <c r="I41" s="5">
        <f t="shared" si="74"/>
        <v>0.5790046543449191</v>
      </c>
      <c r="J41" s="5">
        <f t="shared" si="74"/>
        <v>0.5970365937451515</v>
      </c>
      <c r="K41" s="5">
        <f t="shared" si="74"/>
        <v>0.59514871199236741</v>
      </c>
      <c r="L41" s="5">
        <v>0.6</v>
      </c>
      <c r="M41" s="5">
        <v>0.6</v>
      </c>
      <c r="N41" s="5"/>
      <c r="O41" s="5">
        <f t="shared" ref="O41:Y41" si="75">O24/O22</f>
        <v>0.62448326443525803</v>
      </c>
      <c r="P41" s="5">
        <f t="shared" si="75"/>
        <v>0.61072338539935744</v>
      </c>
      <c r="Q41" s="5">
        <f t="shared" si="75"/>
        <v>0.58975284142161288</v>
      </c>
      <c r="R41" s="5">
        <f t="shared" si="75"/>
        <v>0.56475661453003945</v>
      </c>
      <c r="S41" s="5">
        <f t="shared" si="75"/>
        <v>0.5558054331910266</v>
      </c>
      <c r="T41" s="5">
        <f t="shared" si="75"/>
        <v>0.53578374706207854</v>
      </c>
      <c r="U41" s="5">
        <f t="shared" si="75"/>
        <v>0.5693980290098084</v>
      </c>
      <c r="V41" s="5">
        <f t="shared" si="75"/>
        <v>0.55379442503783116</v>
      </c>
      <c r="W41" s="5">
        <f t="shared" si="75"/>
        <v>0.56625047984020505</v>
      </c>
      <c r="X41" s="5">
        <f t="shared" si="75"/>
        <v>0.58201578204549476</v>
      </c>
      <c r="Y41" s="5">
        <f t="shared" si="75"/>
        <v>0.59815574388258508</v>
      </c>
      <c r="Z41" s="5">
        <f>Y41*1.02</f>
        <v>0.61011885876023675</v>
      </c>
      <c r="AA41" s="5">
        <f t="shared" ref="AA41:AC41" si="76">Z41*1.02</f>
        <v>0.62232123593544153</v>
      </c>
      <c r="AB41" s="5">
        <f t="shared" si="76"/>
        <v>0.63476766065415036</v>
      </c>
      <c r="AC41" s="5">
        <f t="shared" si="76"/>
        <v>0.64746301386723337</v>
      </c>
      <c r="AF41" s="4">
        <f>AF40/Main!K2-1</f>
        <v>0.15380532974644923</v>
      </c>
    </row>
    <row r="42" spans="1:223" x14ac:dyDescent="0.2">
      <c r="A42" s="1" t="s">
        <v>18</v>
      </c>
      <c r="B42" s="4">
        <f t="shared" ref="B42:M42" si="77">B29/B22</f>
        <v>0.24954504420594092</v>
      </c>
      <c r="C42" s="4">
        <f t="shared" si="77"/>
        <v>0.29271888906761029</v>
      </c>
      <c r="D42" s="4">
        <f t="shared" si="77"/>
        <v>0.27829136948613303</v>
      </c>
      <c r="E42" s="4">
        <f t="shared" si="77"/>
        <v>0.27455683003128256</v>
      </c>
      <c r="F42" s="4">
        <f t="shared" si="77"/>
        <v>0.31626913669154072</v>
      </c>
      <c r="G42" s="4">
        <f t="shared" si="77"/>
        <v>0.32362936914398999</v>
      </c>
      <c r="H42" s="4">
        <f t="shared" si="77"/>
        <v>0.32311823084243441</v>
      </c>
      <c r="I42" s="4">
        <f t="shared" si="77"/>
        <v>0.32105650519856122</v>
      </c>
      <c r="J42" s="4">
        <f t="shared" si="77"/>
        <v>0.33918478622248821</v>
      </c>
      <c r="K42" s="4">
        <f t="shared" si="77"/>
        <v>0.32429377359273243</v>
      </c>
      <c r="L42" s="4">
        <f t="shared" si="77"/>
        <v>0.329145061600365</v>
      </c>
      <c r="M42" s="4">
        <f t="shared" si="77"/>
        <v>0.329145061600365</v>
      </c>
      <c r="N42" s="4"/>
      <c r="O42" s="4">
        <f t="shared" ref="O42:AC42" si="78">O29/O22</f>
        <v>0.36678223763168422</v>
      </c>
      <c r="P42" s="4">
        <f t="shared" si="78"/>
        <v>0.26265647501938627</v>
      </c>
      <c r="Q42" s="4">
        <f t="shared" si="78"/>
        <v>0.26186180768536893</v>
      </c>
      <c r="R42" s="4">
        <f t="shared" si="78"/>
        <v>0.23826925888028067</v>
      </c>
      <c r="S42" s="4">
        <f t="shared" si="78"/>
        <v>0.21148915400631421</v>
      </c>
      <c r="T42" s="4">
        <f t="shared" si="78"/>
        <v>0.22585151785763202</v>
      </c>
      <c r="U42" s="4">
        <f t="shared" si="78"/>
        <v>0.3055228868524319</v>
      </c>
      <c r="V42" s="4">
        <f t="shared" si="78"/>
        <v>0.26461270842467011</v>
      </c>
      <c r="W42" s="4">
        <f t="shared" si="78"/>
        <v>0.27480367216015927</v>
      </c>
      <c r="X42" s="4">
        <f t="shared" si="78"/>
        <v>0.32110920009828064</v>
      </c>
      <c r="Y42" s="4">
        <f t="shared" si="78"/>
        <v>0.33024410105985952</v>
      </c>
      <c r="Z42" s="4">
        <f t="shared" si="78"/>
        <v>0.35079400665902638</v>
      </c>
      <c r="AA42" s="4">
        <f t="shared" si="78"/>
        <v>0.37112750935618161</v>
      </c>
      <c r="AB42" s="4">
        <f t="shared" si="78"/>
        <v>0.39125997091141651</v>
      </c>
      <c r="AC42" s="4">
        <f t="shared" si="78"/>
        <v>0.41120831416778381</v>
      </c>
    </row>
    <row r="43" spans="1:223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9"/>
      <c r="W43" s="4"/>
      <c r="X43" s="4"/>
      <c r="Y43" s="4"/>
      <c r="Z43" s="4"/>
      <c r="AA43" s="9"/>
      <c r="AB43" s="4"/>
      <c r="AC43" s="4"/>
    </row>
    <row r="44" spans="1:223" x14ac:dyDescent="0.2">
      <c r="A44" s="1" t="s">
        <v>86</v>
      </c>
      <c r="C44" s="4">
        <f t="shared" ref="C44:M44" si="79">C19/B19-1</f>
        <v>6.9785833023998878E-2</v>
      </c>
      <c r="D44" s="4">
        <f t="shared" si="79"/>
        <v>2.5661914460285207E-2</v>
      </c>
      <c r="E44" s="4">
        <f t="shared" si="79"/>
        <v>0.12245168122848815</v>
      </c>
      <c r="F44" s="4">
        <f t="shared" si="79"/>
        <v>-7.7485552541573299E-2</v>
      </c>
      <c r="G44" s="4">
        <f t="shared" si="79"/>
        <v>5.014346998494279E-2</v>
      </c>
      <c r="H44" s="4">
        <f t="shared" si="79"/>
        <v>3.4925873823179243E-2</v>
      </c>
      <c r="I44" s="4">
        <f t="shared" si="79"/>
        <v>9.9124297477453993E-2</v>
      </c>
      <c r="J44" s="4">
        <f t="shared" si="79"/>
        <v>-8.1218636287963442E-2</v>
      </c>
      <c r="K44" s="4">
        <f t="shared" si="79"/>
        <v>6.8324187202319253E-2</v>
      </c>
      <c r="L44" s="4">
        <f t="shared" si="79"/>
        <v>5.7111687241801157E-2</v>
      </c>
      <c r="M44" s="4">
        <f t="shared" si="79"/>
        <v>5.7533819856866897E-2</v>
      </c>
      <c r="N44" s="4"/>
      <c r="O44" s="4"/>
      <c r="P44" s="4"/>
      <c r="Q44" s="4"/>
      <c r="R44" s="4"/>
      <c r="S44" s="4"/>
      <c r="T44" s="4">
        <f t="shared" ref="T44:AC44" si="80">T19/S19-1</f>
        <v>0.12770532012826141</v>
      </c>
      <c r="U44" s="4">
        <f t="shared" si="80"/>
        <v>0.41150076427049154</v>
      </c>
      <c r="V44" s="4">
        <f t="shared" si="80"/>
        <v>-1.5948796174462543E-2</v>
      </c>
      <c r="W44" s="4">
        <f t="shared" si="80"/>
        <v>7.5001577735003711E-2</v>
      </c>
      <c r="X44" s="4">
        <f t="shared" si="80"/>
        <v>0.11883262457667221</v>
      </c>
      <c r="Y44" s="4">
        <f t="shared" si="80"/>
        <v>0.11285074705670151</v>
      </c>
      <c r="Z44" s="4">
        <f t="shared" si="80"/>
        <v>0.10133712924974625</v>
      </c>
      <c r="AA44" s="4">
        <f t="shared" si="80"/>
        <v>0.10208845244455511</v>
      </c>
      <c r="AB44" s="4">
        <f t="shared" si="80"/>
        <v>0.10278475402585263</v>
      </c>
      <c r="AC44" s="4">
        <f t="shared" si="80"/>
        <v>0.10342940151292823</v>
      </c>
    </row>
    <row r="45" spans="1:223" x14ac:dyDescent="0.2">
      <c r="A45" s="1" t="s">
        <v>35</v>
      </c>
      <c r="C45" s="4">
        <f t="shared" ref="C45:M45" si="81">C20/B20-1</f>
        <v>7.7408103031929132E-2</v>
      </c>
      <c r="D45" s="4">
        <f t="shared" si="81"/>
        <v>4.731664798904256E-2</v>
      </c>
      <c r="E45" s="4">
        <f t="shared" si="81"/>
        <v>9.2854595172987775E-2</v>
      </c>
      <c r="F45" s="4">
        <f t="shared" si="81"/>
        <v>4.155787641427322E-2</v>
      </c>
      <c r="G45" s="4">
        <f t="shared" si="81"/>
        <v>8.0739502820137865E-2</v>
      </c>
      <c r="H45" s="4">
        <f t="shared" si="81"/>
        <v>9.7226249154344302E-2</v>
      </c>
      <c r="I45" s="4">
        <f t="shared" si="81"/>
        <v>5.3025631991544087E-2</v>
      </c>
      <c r="J45" s="4">
        <f t="shared" si="81"/>
        <v>2.5512337933918827E-2</v>
      </c>
      <c r="K45" s="4">
        <f t="shared" si="81"/>
        <v>0.11125611745513875</v>
      </c>
      <c r="L45" s="4">
        <f t="shared" si="81"/>
        <v>0.1100000000000001</v>
      </c>
      <c r="M45" s="4">
        <f t="shared" si="81"/>
        <v>0.1100000000000001</v>
      </c>
      <c r="N45" s="4"/>
      <c r="O45" s="4"/>
      <c r="P45" s="4"/>
      <c r="Q45" s="4"/>
      <c r="R45" s="4"/>
      <c r="S45" s="4"/>
      <c r="T45" s="4"/>
      <c r="U45" s="4"/>
      <c r="V45" s="4"/>
      <c r="W45" s="4">
        <f t="shared" ref="W45:AC45" si="82">W20/V20-1</f>
        <v>0.25905631659056327</v>
      </c>
      <c r="X45" s="4">
        <f t="shared" si="82"/>
        <v>0.30648573500967125</v>
      </c>
      <c r="Y45" s="4">
        <f t="shared" si="82"/>
        <v>0.33689815633024134</v>
      </c>
      <c r="Z45" s="4">
        <f t="shared" si="82"/>
        <v>0.19999999999999996</v>
      </c>
      <c r="AA45" s="4">
        <f t="shared" si="82"/>
        <v>0.19999999999999996</v>
      </c>
      <c r="AB45" s="4">
        <f t="shared" si="82"/>
        <v>0.19999999999999996</v>
      </c>
      <c r="AC45" s="4">
        <f t="shared" si="82"/>
        <v>0.19999999999999996</v>
      </c>
    </row>
    <row r="46" spans="1:223" x14ac:dyDescent="0.2">
      <c r="A46" s="1" t="s">
        <v>48</v>
      </c>
      <c r="B46" s="4">
        <f t="shared" ref="B46:M46" si="83">B20/B22</f>
        <v>0.10681072406035508</v>
      </c>
      <c r="C46" s="4">
        <f t="shared" si="83"/>
        <v>0.10764838346469358</v>
      </c>
      <c r="D46" s="4">
        <f t="shared" si="83"/>
        <v>0.10967102603888229</v>
      </c>
      <c r="E46" s="4">
        <f t="shared" si="83"/>
        <v>0.10649982620785541</v>
      </c>
      <c r="F46" s="4">
        <f t="shared" si="83"/>
        <v>0.11887408584660848</v>
      </c>
      <c r="G46" s="4">
        <f t="shared" si="83"/>
        <v>0.1221000212409431</v>
      </c>
      <c r="H46" s="4">
        <f t="shared" si="83"/>
        <v>0.12861965831331854</v>
      </c>
      <c r="I46" s="4">
        <f t="shared" si="83"/>
        <v>0.12392582072997543</v>
      </c>
      <c r="J46" s="4">
        <f t="shared" si="83"/>
        <v>0.13586896291863376</v>
      </c>
      <c r="K46" s="4">
        <f t="shared" si="83"/>
        <v>0.14128676318081884</v>
      </c>
      <c r="L46" s="4">
        <f t="shared" si="83"/>
        <v>0.14732805545426356</v>
      </c>
      <c r="M46" s="4">
        <f t="shared" si="83"/>
        <v>0.15352922341173034</v>
      </c>
      <c r="N46" s="4"/>
      <c r="O46" s="4"/>
      <c r="P46" s="4"/>
      <c r="Q46" s="4"/>
      <c r="S46" s="4">
        <f t="shared" ref="S46:AC46" si="84">S20/S22</f>
        <v>0</v>
      </c>
      <c r="T46" s="4">
        <f t="shared" si="84"/>
        <v>0</v>
      </c>
      <c r="U46" s="4">
        <f t="shared" si="84"/>
        <v>0</v>
      </c>
      <c r="V46" s="4">
        <f t="shared" si="84"/>
        <v>9.2916036148156522E-2</v>
      </c>
      <c r="W46" s="4">
        <f t="shared" si="84"/>
        <v>0.10764035732642797</v>
      </c>
      <c r="X46" s="4">
        <f t="shared" si="84"/>
        <v>0.12350507688176036</v>
      </c>
      <c r="Y46" s="4">
        <f t="shared" si="84"/>
        <v>0.14497370831413969</v>
      </c>
      <c r="Z46" s="4">
        <f t="shared" si="84"/>
        <v>0.1559630810218261</v>
      </c>
      <c r="AA46" s="4">
        <f t="shared" si="84"/>
        <v>0.16752608545434564</v>
      </c>
      <c r="AB46" s="4">
        <f t="shared" si="84"/>
        <v>0.17966964287645279</v>
      </c>
      <c r="AC46" s="4">
        <f t="shared" si="84"/>
        <v>0.19239800281839298</v>
      </c>
    </row>
    <row r="47" spans="1:223" x14ac:dyDescent="0.2">
      <c r="W47" s="4"/>
      <c r="X47" s="4"/>
      <c r="Y47" s="4"/>
      <c r="Z47" s="4"/>
    </row>
    <row r="48" spans="1:223" x14ac:dyDescent="0.2">
      <c r="A48" s="1" t="s">
        <v>65</v>
      </c>
      <c r="E48" s="1">
        <v>41995</v>
      </c>
      <c r="I48" s="1">
        <v>47375</v>
      </c>
      <c r="J48" s="4"/>
      <c r="V48" s="1">
        <v>134814</v>
      </c>
      <c r="W48" s="1">
        <v>146286</v>
      </c>
      <c r="X48" s="1">
        <v>170447</v>
      </c>
      <c r="Y48" s="1">
        <f>X48*(1+Y38)</f>
        <v>194125.79552638924</v>
      </c>
      <c r="Z48" s="1">
        <f>Y48*(1+Z38)</f>
        <v>216536.91070353714</v>
      </c>
      <c r="AA48" s="1">
        <f>Z48*(1+AA38)</f>
        <v>241909.29065175488</v>
      </c>
      <c r="AB48" s="1">
        <f>AA48*(1+AB38)</f>
        <v>270670.87694359064</v>
      </c>
      <c r="AC48" s="1">
        <f>AB48*(1+AC38)</f>
        <v>303317.11817246873</v>
      </c>
    </row>
    <row r="49" spans="1:29" x14ac:dyDescent="0.2">
      <c r="A49" s="1" t="s">
        <v>66</v>
      </c>
      <c r="E49" s="1">
        <v>25010</v>
      </c>
      <c r="I49" s="1">
        <v>28184</v>
      </c>
      <c r="J49" s="4"/>
      <c r="V49" s="1">
        <v>82062</v>
      </c>
      <c r="W49" s="1">
        <v>91038</v>
      </c>
      <c r="X49" s="1">
        <v>102127</v>
      </c>
      <c r="Y49" s="1">
        <f>X49*(1+Y38)</f>
        <v>116314.66156473011</v>
      </c>
      <c r="Z49" s="1">
        <f>Y49*(1+Z38)</f>
        <v>129742.76507899897</v>
      </c>
      <c r="AA49" s="1">
        <f>Z49*(1+AA38)</f>
        <v>144945.17431454806</v>
      </c>
      <c r="AB49" s="1">
        <f>AA49*(1+AB38)</f>
        <v>162178.29970382631</v>
      </c>
      <c r="AC49" s="1">
        <f>AB49*(1+AC38)</f>
        <v>181738.99996831693</v>
      </c>
    </row>
    <row r="50" spans="1:29" x14ac:dyDescent="0.2">
      <c r="A50" s="1" t="s">
        <v>67</v>
      </c>
      <c r="E50" s="1">
        <v>13979</v>
      </c>
      <c r="I50" s="1">
        <v>15156</v>
      </c>
      <c r="J50" s="4"/>
      <c r="V50" s="1">
        <v>47024</v>
      </c>
      <c r="W50" s="1">
        <v>51514</v>
      </c>
      <c r="X50" s="1">
        <v>56815</v>
      </c>
      <c r="Y50" s="1">
        <f>X50*(1+Y38)</f>
        <v>64707.839227629724</v>
      </c>
      <c r="Z50" s="1">
        <f>Y50*(1+Z38)</f>
        <v>72178.123297103855</v>
      </c>
      <c r="AA50" s="1">
        <f>Z50*(1+AA38)</f>
        <v>80635.484041253017</v>
      </c>
      <c r="AB50" s="1">
        <f>AA50*(1+AB38)</f>
        <v>90222.566977125447</v>
      </c>
      <c r="AC50" s="1">
        <f>AB50*(1+AC38)</f>
        <v>101104.51969802231</v>
      </c>
    </row>
    <row r="51" spans="1:29" x14ac:dyDescent="0.2">
      <c r="A51" s="1" t="s">
        <v>68</v>
      </c>
      <c r="E51" s="1">
        <v>5176</v>
      </c>
      <c r="I51" s="1">
        <v>5734</v>
      </c>
      <c r="J51" s="4"/>
      <c r="K51" s="4"/>
      <c r="V51" s="1">
        <v>16976</v>
      </c>
      <c r="W51" s="1">
        <v>18320</v>
      </c>
      <c r="X51" s="1">
        <v>20418</v>
      </c>
      <c r="Y51" s="1">
        <f>X51*(1+Y38)</f>
        <v>23254.504291995843</v>
      </c>
      <c r="Z51" s="1">
        <f>Y51*(1+Z38)</f>
        <v>25939.152010565285</v>
      </c>
      <c r="AA51" s="1">
        <f>Z51*(1+AA38)</f>
        <v>28978.532309325077</v>
      </c>
      <c r="AB51" s="1">
        <f>AA51*(1+AB38)</f>
        <v>32423.908695572431</v>
      </c>
      <c r="AC51" s="1">
        <f>AB51*(1+AC38)</f>
        <v>36334.631403576866</v>
      </c>
    </row>
    <row r="53" spans="1:29" x14ac:dyDescent="0.2">
      <c r="A53" s="1" t="s">
        <v>49</v>
      </c>
      <c r="B53" s="1">
        <f t="shared" ref="B53:K53" si="85">B54-B69</f>
        <v>0</v>
      </c>
      <c r="C53" s="1">
        <f t="shared" si="85"/>
        <v>0</v>
      </c>
      <c r="D53" s="1">
        <f t="shared" si="85"/>
        <v>0</v>
      </c>
      <c r="E53" s="1">
        <f t="shared" si="85"/>
        <v>0</v>
      </c>
      <c r="F53" s="1">
        <f t="shared" si="85"/>
        <v>0</v>
      </c>
      <c r="G53" s="1">
        <f t="shared" si="85"/>
        <v>0</v>
      </c>
      <c r="H53" s="1">
        <f t="shared" si="85"/>
        <v>0</v>
      </c>
      <c r="I53" s="1">
        <f t="shared" si="85"/>
        <v>84774</v>
      </c>
      <c r="J53" s="1">
        <f t="shared" si="85"/>
        <v>0</v>
      </c>
      <c r="K53" s="1">
        <f t="shared" si="85"/>
        <v>61514</v>
      </c>
      <c r="L53" s="1">
        <f>K53+L34</f>
        <v>89129.333132580156</v>
      </c>
      <c r="M53" s="1">
        <f>L53+M34</f>
        <v>118639.86008801183</v>
      </c>
      <c r="O53" s="1">
        <f t="shared" ref="O53:X53" si="86">O54-O69</f>
        <v>0</v>
      </c>
      <c r="P53" s="1">
        <f t="shared" si="86"/>
        <v>0</v>
      </c>
      <c r="Q53" s="1">
        <f t="shared" si="86"/>
        <v>0</v>
      </c>
      <c r="R53" s="1">
        <f t="shared" si="86"/>
        <v>0</v>
      </c>
      <c r="S53" s="1">
        <f t="shared" si="86"/>
        <v>0</v>
      </c>
      <c r="T53" s="1">
        <f t="shared" si="86"/>
        <v>0</v>
      </c>
      <c r="U53" s="1">
        <f t="shared" si="86"/>
        <v>0</v>
      </c>
      <c r="V53" s="1">
        <f t="shared" si="86"/>
        <v>0</v>
      </c>
      <c r="W53" s="1">
        <f t="shared" si="86"/>
        <v>99046</v>
      </c>
      <c r="X53" s="1">
        <f t="shared" si="86"/>
        <v>84774</v>
      </c>
      <c r="Y53" s="1">
        <f>M53</f>
        <v>118639.86008801183</v>
      </c>
      <c r="Z53" s="1">
        <f>Y53+Z34</f>
        <v>258236.93399446728</v>
      </c>
      <c r="AA53" s="1">
        <f>Z53+AA34</f>
        <v>423195.27570316475</v>
      </c>
      <c r="AB53" s="1">
        <f>AA53+AB34</f>
        <v>617759.49091332895</v>
      </c>
      <c r="AC53" s="1">
        <f>AB53+AC34</f>
        <v>846901.9981288712</v>
      </c>
    </row>
    <row r="54" spans="1:29" x14ac:dyDescent="0.2">
      <c r="A54" s="1" t="s">
        <v>3</v>
      </c>
      <c r="I54" s="1">
        <f>23466+72191</f>
        <v>95657</v>
      </c>
      <c r="K54" s="1">
        <v>95148</v>
      </c>
      <c r="W54" s="1">
        <f>24048+86868</f>
        <v>110916</v>
      </c>
      <c r="X54" s="1">
        <f>23466+72191</f>
        <v>95657</v>
      </c>
    </row>
    <row r="55" spans="1:29" x14ac:dyDescent="0.2">
      <c r="A55" s="15" t="s">
        <v>100</v>
      </c>
      <c r="I55" s="1">
        <v>52340</v>
      </c>
      <c r="W55" s="1">
        <v>47964</v>
      </c>
      <c r="X55" s="1">
        <v>52340</v>
      </c>
    </row>
    <row r="56" spans="1:29" x14ac:dyDescent="0.2">
      <c r="A56" s="1" t="s">
        <v>57</v>
      </c>
      <c r="I56" s="1">
        <v>37982</v>
      </c>
      <c r="W56" s="1">
        <v>31008</v>
      </c>
      <c r="X56" s="1">
        <v>37982</v>
      </c>
    </row>
    <row r="57" spans="1:29" x14ac:dyDescent="0.2">
      <c r="A57" s="1" t="s">
        <v>71</v>
      </c>
      <c r="I57" s="1">
        <v>17180</v>
      </c>
      <c r="W57" s="1">
        <v>12169</v>
      </c>
      <c r="X57" s="1">
        <v>17180</v>
      </c>
    </row>
    <row r="58" spans="1:29" x14ac:dyDescent="0.2">
      <c r="A58" s="1" t="s">
        <v>45</v>
      </c>
      <c r="I58" s="1">
        <v>171036</v>
      </c>
      <c r="W58" s="1">
        <v>134345</v>
      </c>
      <c r="X58" s="1">
        <v>171036</v>
      </c>
    </row>
    <row r="59" spans="1:29" x14ac:dyDescent="0.2">
      <c r="A59" s="18" t="s">
        <v>104</v>
      </c>
      <c r="I59" s="1">
        <v>13588</v>
      </c>
      <c r="W59" s="1">
        <v>14091</v>
      </c>
      <c r="X59" s="1">
        <v>13588</v>
      </c>
    </row>
    <row r="60" spans="1:29" x14ac:dyDescent="0.2">
      <c r="A60" s="18" t="s">
        <v>103</v>
      </c>
      <c r="I60" s="1">
        <v>31885</v>
      </c>
      <c r="W60" s="1">
        <v>29198</v>
      </c>
      <c r="X60" s="1">
        <v>31885</v>
      </c>
    </row>
    <row r="61" spans="1:29" x14ac:dyDescent="0.2">
      <c r="A61" s="18" t="s">
        <v>62</v>
      </c>
      <c r="I61" s="1">
        <f>15714+14874</f>
        <v>30588</v>
      </c>
      <c r="W61" s="1">
        <f>12650+10051</f>
        <v>22701</v>
      </c>
      <c r="X61" s="1">
        <f>15714+14874</f>
        <v>30588</v>
      </c>
    </row>
    <row r="62" spans="1:29" x14ac:dyDescent="0.2">
      <c r="A62" s="1" t="s">
        <v>53</v>
      </c>
      <c r="I62" s="1">
        <f>SUM(I54:I61)</f>
        <v>450256</v>
      </c>
      <c r="W62" s="1">
        <f>SUM(W54:W61)</f>
        <v>402392</v>
      </c>
      <c r="X62" s="1">
        <f>SUM(X54:X61)</f>
        <v>450256</v>
      </c>
    </row>
    <row r="64" spans="1:29" x14ac:dyDescent="0.2">
      <c r="A64" s="1" t="s">
        <v>42</v>
      </c>
      <c r="I64" s="1">
        <v>7987</v>
      </c>
      <c r="W64" s="1">
        <v>7493</v>
      </c>
      <c r="X64" s="1">
        <v>7987</v>
      </c>
    </row>
    <row r="65" spans="1:29" x14ac:dyDescent="0.2">
      <c r="A65" s="18" t="s">
        <v>47</v>
      </c>
      <c r="I65" s="1">
        <v>15069</v>
      </c>
      <c r="W65" s="1">
        <v>15140</v>
      </c>
      <c r="X65" s="1">
        <v>15069</v>
      </c>
    </row>
    <row r="66" spans="1:29" x14ac:dyDescent="0.2">
      <c r="A66" s="1" t="s">
        <v>58</v>
      </c>
      <c r="I66" s="1">
        <v>51228</v>
      </c>
      <c r="W66" s="1">
        <v>46168</v>
      </c>
      <c r="X66" s="1">
        <v>51228</v>
      </c>
    </row>
    <row r="67" spans="1:29" x14ac:dyDescent="0.2">
      <c r="A67" s="1" t="s">
        <v>59</v>
      </c>
      <c r="I67" s="1">
        <v>9802</v>
      </c>
      <c r="W67" s="1">
        <v>8876</v>
      </c>
      <c r="X67" s="1">
        <v>9802</v>
      </c>
    </row>
    <row r="68" spans="1:29" x14ac:dyDescent="0.2">
      <c r="A68" s="18" t="s">
        <v>60</v>
      </c>
      <c r="I68" s="1">
        <v>5036</v>
      </c>
      <c r="W68" s="1">
        <v>4137</v>
      </c>
      <c r="X68" s="1">
        <v>5036</v>
      </c>
    </row>
    <row r="69" spans="1:29" x14ac:dyDescent="0.2">
      <c r="A69" s="1" t="s">
        <v>4</v>
      </c>
      <c r="I69" s="1">
        <v>10883</v>
      </c>
      <c r="K69" s="1">
        <v>33634</v>
      </c>
      <c r="W69" s="1">
        <v>11870</v>
      </c>
      <c r="X69" s="1">
        <v>10883</v>
      </c>
    </row>
    <row r="70" spans="1:29" x14ac:dyDescent="0.2">
      <c r="A70" s="18" t="s">
        <v>71</v>
      </c>
      <c r="I70" s="1">
        <v>8782</v>
      </c>
      <c r="W70" s="1">
        <v>8474</v>
      </c>
      <c r="X70" s="1">
        <v>8782</v>
      </c>
    </row>
    <row r="71" spans="1:29" x14ac:dyDescent="0.2">
      <c r="A71" s="18" t="s">
        <v>102</v>
      </c>
      <c r="I71" s="1">
        <f>11691+4694</f>
        <v>16385</v>
      </c>
      <c r="W71" s="1">
        <f>12460+4395</f>
        <v>16855</v>
      </c>
      <c r="X71" s="1">
        <f>11691+4694</f>
        <v>16385</v>
      </c>
    </row>
    <row r="72" spans="1:29" x14ac:dyDescent="0.2">
      <c r="A72" s="1" t="s">
        <v>54</v>
      </c>
      <c r="I72" s="1">
        <f>SUM(I64:I71)</f>
        <v>125172</v>
      </c>
      <c r="W72" s="1">
        <f>SUM(W64:W71)</f>
        <v>119013</v>
      </c>
      <c r="X72" s="1">
        <f>SUM(X64:X71)</f>
        <v>125172</v>
      </c>
    </row>
    <row r="73" spans="1:29" x14ac:dyDescent="0.2">
      <c r="A73" s="1" t="s">
        <v>55</v>
      </c>
      <c r="I73" s="1">
        <f>I62-I72</f>
        <v>325084</v>
      </c>
      <c r="W73" s="1">
        <f>W62-W72</f>
        <v>283379</v>
      </c>
      <c r="X73" s="1">
        <f>X62-X72</f>
        <v>325084</v>
      </c>
    </row>
    <row r="74" spans="1:29" x14ac:dyDescent="0.2">
      <c r="A74" s="1" t="s">
        <v>56</v>
      </c>
      <c r="I74" s="1">
        <f>I72+I73</f>
        <v>450256</v>
      </c>
      <c r="W74" s="1">
        <f>W72+W73</f>
        <v>402392</v>
      </c>
      <c r="X74" s="1">
        <f>X72+X73</f>
        <v>450256</v>
      </c>
    </row>
    <row r="76" spans="1:29" x14ac:dyDescent="0.2">
      <c r="A76" s="1" t="s">
        <v>51</v>
      </c>
      <c r="B76" s="1">
        <f t="shared" ref="B76:M76" si="87">+B34</f>
        <v>15051</v>
      </c>
      <c r="C76" s="1">
        <f t="shared" si="87"/>
        <v>18368</v>
      </c>
      <c r="D76" s="1">
        <f t="shared" si="87"/>
        <v>19689</v>
      </c>
      <c r="E76" s="1">
        <f t="shared" si="87"/>
        <v>20687</v>
      </c>
      <c r="F76" s="1">
        <f t="shared" si="87"/>
        <v>23662</v>
      </c>
      <c r="G76" s="1">
        <f t="shared" si="87"/>
        <v>23619</v>
      </c>
      <c r="H76" s="1">
        <f t="shared" si="87"/>
        <v>26301</v>
      </c>
      <c r="I76" s="1">
        <f t="shared" si="87"/>
        <v>26536</v>
      </c>
      <c r="J76" s="1">
        <f t="shared" si="87"/>
        <v>34540</v>
      </c>
      <c r="K76" s="1">
        <f t="shared" si="87"/>
        <v>28196</v>
      </c>
      <c r="L76" s="1">
        <f t="shared" si="87"/>
        <v>27615.333132580159</v>
      </c>
      <c r="M76" s="1">
        <f t="shared" si="87"/>
        <v>29510.526955431676</v>
      </c>
      <c r="O76" s="1">
        <f t="shared" ref="O76:AC76" si="88">+O34</f>
        <v>24495</v>
      </c>
      <c r="P76" s="1">
        <f t="shared" si="88"/>
        <v>19470</v>
      </c>
      <c r="Q76" s="1">
        <f t="shared" si="88"/>
        <v>15510</v>
      </c>
      <c r="R76" s="1">
        <f t="shared" si="88"/>
        <v>35810</v>
      </c>
      <c r="S76" s="1">
        <f t="shared" si="88"/>
        <v>34343</v>
      </c>
      <c r="T76" s="1">
        <f t="shared" si="88"/>
        <v>40269</v>
      </c>
      <c r="U76" s="1">
        <f t="shared" si="88"/>
        <v>64013</v>
      </c>
      <c r="V76" s="1">
        <f t="shared" si="88"/>
        <v>63486</v>
      </c>
      <c r="W76" s="1">
        <f t="shared" si="88"/>
        <v>73975</v>
      </c>
      <c r="X76" s="1">
        <f t="shared" si="88"/>
        <v>100122</v>
      </c>
      <c r="Y76" s="1">
        <f t="shared" si="88"/>
        <v>119861.86008801183</v>
      </c>
      <c r="Z76" s="1">
        <f t="shared" si="88"/>
        <v>139597.07390645545</v>
      </c>
      <c r="AA76" s="1">
        <f t="shared" si="88"/>
        <v>164958.3417086975</v>
      </c>
      <c r="AB76" s="1">
        <f t="shared" si="88"/>
        <v>194564.2152101642</v>
      </c>
      <c r="AC76" s="1">
        <f t="shared" si="88"/>
        <v>229142.50721554228</v>
      </c>
    </row>
    <row r="77" spans="1:29" x14ac:dyDescent="0.2">
      <c r="A77" s="1" t="s">
        <v>52</v>
      </c>
      <c r="C77" s="1">
        <v>18368</v>
      </c>
      <c r="G77" s="1">
        <v>23619</v>
      </c>
      <c r="I77" s="1">
        <v>26536</v>
      </c>
      <c r="J77" s="1">
        <f>J76</f>
        <v>34540</v>
      </c>
      <c r="K77" s="1">
        <f t="shared" ref="K77:M77" si="89">K76</f>
        <v>28196</v>
      </c>
      <c r="L77" s="1">
        <f t="shared" si="89"/>
        <v>27615.333132580159</v>
      </c>
      <c r="M77" s="1">
        <f t="shared" si="89"/>
        <v>29510.526955431676</v>
      </c>
      <c r="V77" s="1">
        <v>59972</v>
      </c>
      <c r="W77" s="1">
        <v>73795</v>
      </c>
      <c r="X77" s="1">
        <v>100118</v>
      </c>
      <c r="Y77" s="1">
        <f>Y76</f>
        <v>119861.86008801183</v>
      </c>
      <c r="Z77" s="1">
        <f t="shared" ref="Z77:AC77" si="90">Z76</f>
        <v>139597.07390645545</v>
      </c>
      <c r="AA77" s="1">
        <f t="shared" si="90"/>
        <v>164958.3417086975</v>
      </c>
      <c r="AB77" s="1">
        <f t="shared" si="90"/>
        <v>194564.2152101642</v>
      </c>
      <c r="AC77" s="1">
        <f t="shared" si="90"/>
        <v>229142.50721554228</v>
      </c>
    </row>
    <row r="78" spans="1:29" x14ac:dyDescent="0.2">
      <c r="A78" s="1" t="s">
        <v>61</v>
      </c>
      <c r="I78" s="1">
        <v>4205</v>
      </c>
      <c r="V78" s="1">
        <v>13475</v>
      </c>
      <c r="W78" s="1">
        <v>11946</v>
      </c>
      <c r="X78" s="1">
        <v>15311</v>
      </c>
      <c r="Y78" s="1">
        <f>X78*1.15</f>
        <v>17607.649999999998</v>
      </c>
      <c r="Z78" s="1">
        <f t="shared" ref="Z78:AC78" si="91">Y78*1.15</f>
        <v>20248.797499999997</v>
      </c>
      <c r="AA78" s="1">
        <f t="shared" si="91"/>
        <v>23286.117124999993</v>
      </c>
      <c r="AB78" s="1">
        <f t="shared" si="91"/>
        <v>26779.034693749989</v>
      </c>
      <c r="AC78" s="1">
        <f t="shared" si="91"/>
        <v>30795.889897812485</v>
      </c>
    </row>
    <row r="79" spans="1:29" x14ac:dyDescent="0.2">
      <c r="A79" s="18" t="s">
        <v>101</v>
      </c>
      <c r="I79" s="1">
        <v>5810</v>
      </c>
      <c r="V79" s="1">
        <v>19362</v>
      </c>
      <c r="W79" s="1">
        <v>22460</v>
      </c>
      <c r="X79" s="1">
        <v>22785</v>
      </c>
      <c r="Y79" s="1">
        <f>X79*1.05</f>
        <v>23924.25</v>
      </c>
      <c r="Z79" s="1">
        <f t="shared" ref="Z79:AC79" si="92">Y79*1.05</f>
        <v>25120.462500000001</v>
      </c>
      <c r="AA79" s="1">
        <f t="shared" si="92"/>
        <v>26376.485625000001</v>
      </c>
      <c r="AB79" s="1">
        <f t="shared" si="92"/>
        <v>27695.309906250004</v>
      </c>
      <c r="AC79" s="1">
        <f t="shared" si="92"/>
        <v>29080.075401562506</v>
      </c>
    </row>
    <row r="80" spans="1:29" x14ac:dyDescent="0.2">
      <c r="A80" s="18" t="s">
        <v>71</v>
      </c>
      <c r="I80" s="1">
        <v>-1448</v>
      </c>
      <c r="V80" s="1">
        <v>-8081</v>
      </c>
      <c r="W80" s="1">
        <v>-7763</v>
      </c>
      <c r="X80" s="1">
        <v>-5257</v>
      </c>
      <c r="Y80" s="1">
        <f>X80*(1+Y38)</f>
        <v>-5987.3116398776638</v>
      </c>
      <c r="Z80" s="1">
        <f>Y80*(1+Z38)</f>
        <v>-6678.5249348389507</v>
      </c>
      <c r="AA80" s="1">
        <f>Z80*(1+AA38)</f>
        <v>-7461.070837012534</v>
      </c>
      <c r="AB80" s="1">
        <f>AA80*(1+AB38)</f>
        <v>-8348.1481052318668</v>
      </c>
      <c r="AC80" s="1">
        <f>AB80*(1+AC38)</f>
        <v>-9355.0375790284852</v>
      </c>
    </row>
    <row r="81" spans="1:166" x14ac:dyDescent="0.2">
      <c r="A81" s="18" t="s">
        <v>105</v>
      </c>
      <c r="I81" s="1">
        <v>67</v>
      </c>
      <c r="V81" s="1">
        <v>5519</v>
      </c>
      <c r="W81" s="1">
        <v>823</v>
      </c>
      <c r="X81" s="1">
        <v>-2671</v>
      </c>
      <c r="Y81" s="1">
        <f>X81*(1+Y38)</f>
        <v>-3042.0599943148641</v>
      </c>
      <c r="Z81" s="1">
        <f>Y81*(1+Z38)</f>
        <v>-3393.2547272122579</v>
      </c>
      <c r="AA81" s="1">
        <f>Z81*(1+AA38)</f>
        <v>-3790.8541384174396</v>
      </c>
      <c r="AB81" s="1">
        <f>AA81*(1+AB38)</f>
        <v>-4241.5643121693583</v>
      </c>
      <c r="AC81" s="1">
        <f>AB81*(1+AC38)</f>
        <v>-4753.149205551661</v>
      </c>
    </row>
    <row r="82" spans="1:166" x14ac:dyDescent="0.2">
      <c r="A82" s="1" t="s">
        <v>13</v>
      </c>
      <c r="I82" s="1">
        <v>827</v>
      </c>
      <c r="V82" s="1">
        <v>3483</v>
      </c>
      <c r="W82" s="1">
        <v>4330</v>
      </c>
      <c r="X82" s="1">
        <v>3419</v>
      </c>
      <c r="Y82" s="1">
        <f>X82*(1+Y38)</f>
        <v>3893.973463333029</v>
      </c>
      <c r="Z82" s="1">
        <f>Y82*(1+Z38)</f>
        <v>4343.5184995652226</v>
      </c>
      <c r="AA82" s="1">
        <f>Z82*(1+AA38)</f>
        <v>4852.4636088540719</v>
      </c>
      <c r="AB82" s="1">
        <f>AA82*(1+AB38)</f>
        <v>5429.3928803096351</v>
      </c>
      <c r="AC82" s="1">
        <f>AB82*(1+AC38)</f>
        <v>6084.2445278102314</v>
      </c>
    </row>
    <row r="83" spans="1:166" x14ac:dyDescent="0.2">
      <c r="A83" s="15" t="s">
        <v>100</v>
      </c>
      <c r="I83" s="1">
        <v>-4570</v>
      </c>
      <c r="V83" s="1">
        <v>-2317</v>
      </c>
      <c r="W83" s="1">
        <v>-7833</v>
      </c>
      <c r="X83" s="1">
        <v>-5891</v>
      </c>
      <c r="Y83" s="1">
        <f>X83*(1+Y38)</f>
        <v>-6709.3880293930606</v>
      </c>
      <c r="Z83" s="1">
        <f>Y83*(1+Z38)</f>
        <v>-7483.9624103359829</v>
      </c>
      <c r="AA83" s="1">
        <f>Z83*(1+AA38)</f>
        <v>-8360.8842116874348</v>
      </c>
      <c r="AB83" s="1">
        <f>AA83*(1+AB38)</f>
        <v>-9354.9439771582529</v>
      </c>
      <c r="AC83" s="1">
        <f>AB83*(1+AC38)</f>
        <v>-10483.265432386686</v>
      </c>
    </row>
    <row r="84" spans="1:166" x14ac:dyDescent="0.2">
      <c r="A84" s="1" t="s">
        <v>14</v>
      </c>
      <c r="I84" s="1">
        <v>379</v>
      </c>
      <c r="V84" s="1">
        <v>584</v>
      </c>
      <c r="W84" s="1">
        <v>523</v>
      </c>
      <c r="X84" s="1">
        <v>-2418</v>
      </c>
      <c r="Y84" s="1">
        <f>X84*(1+Y38)</f>
        <v>-2753.9127915587201</v>
      </c>
      <c r="Z84" s="1">
        <f>Y84*(1+Z38)</f>
        <v>-3071.841980681108</v>
      </c>
      <c r="AA84" s="1">
        <f>Z84*(1+AA38)</f>
        <v>-3431.7803469462256</v>
      </c>
      <c r="AB84" s="1">
        <f>AA84*(1+AB38)</f>
        <v>-3839.7987670630878</v>
      </c>
      <c r="AC84" s="1">
        <f>AB84*(1+AC38)</f>
        <v>-4302.9257877289092</v>
      </c>
    </row>
    <row r="85" spans="1:166" x14ac:dyDescent="0.2">
      <c r="A85" s="1" t="s">
        <v>62</v>
      </c>
      <c r="I85" s="1">
        <v>937</v>
      </c>
      <c r="V85" s="1">
        <v>-5046</v>
      </c>
      <c r="W85" s="1">
        <v>-2143</v>
      </c>
      <c r="X85" s="1">
        <v>-1397</v>
      </c>
      <c r="Y85" s="1">
        <f>X85*(1+Y38)</f>
        <v>-1591.0736847839255</v>
      </c>
      <c r="Z85" s="1">
        <f>Y85*(1+Z38)</f>
        <v>-1774.7573395415664</v>
      </c>
      <c r="AA85" s="1">
        <f>Z85*(1+AA38)</f>
        <v>-1982.7118050801807</v>
      </c>
      <c r="AB85" s="1">
        <f>AA85*(1+AB38)</f>
        <v>-2218.4445316737524</v>
      </c>
      <c r="AC85" s="1">
        <f>AB85*(1+AC38)</f>
        <v>-2486.0162636299774</v>
      </c>
    </row>
    <row r="86" spans="1:166" x14ac:dyDescent="0.2">
      <c r="A86" s="1" t="s">
        <v>42</v>
      </c>
      <c r="I86" s="1">
        <v>401</v>
      </c>
      <c r="V86" s="1">
        <v>707</v>
      </c>
      <c r="W86" s="1">
        <v>664</v>
      </c>
      <c r="X86" s="1">
        <v>-1161</v>
      </c>
      <c r="Y86" s="1">
        <f>X86*(1+Y38)</f>
        <v>-1322.2881517781943</v>
      </c>
      <c r="Z86" s="1">
        <f>Y86*(1+Z38)</f>
        <v>-1474.9414969275294</v>
      </c>
      <c r="AA86" s="1">
        <f>Z86*(1+AA38)</f>
        <v>-1647.7655015734358</v>
      </c>
      <c r="AB86" s="1">
        <f>AA86*(1+AB38)</f>
        <v>-1843.6750903888524</v>
      </c>
      <c r="AC86" s="1">
        <f>AB86*(1+AC38)</f>
        <v>-2066.0450122221932</v>
      </c>
    </row>
    <row r="87" spans="1:166" x14ac:dyDescent="0.2">
      <c r="A87" s="1" t="s">
        <v>63</v>
      </c>
      <c r="I87" s="1">
        <v>5205</v>
      </c>
      <c r="V87" s="1">
        <v>3915</v>
      </c>
      <c r="W87" s="1">
        <v>3937</v>
      </c>
      <c r="X87" s="1">
        <v>-1161</v>
      </c>
      <c r="Y87" s="1">
        <f>X87*(1+Y38)</f>
        <v>-1322.2881517781943</v>
      </c>
      <c r="Z87" s="1">
        <f>Y87*(1+Z38)</f>
        <v>-1474.9414969275294</v>
      </c>
      <c r="AA87" s="1">
        <f>Z87*(1+AA38)</f>
        <v>-1647.7655015734358</v>
      </c>
      <c r="AB87" s="1">
        <f>AA87*(1+AB38)</f>
        <v>-1843.6750903888524</v>
      </c>
      <c r="AC87" s="1">
        <f>AB87*(1+AC38)</f>
        <v>-2066.0450122221932</v>
      </c>
    </row>
    <row r="88" spans="1:166" x14ac:dyDescent="0.2">
      <c r="A88" s="1" t="s">
        <v>64</v>
      </c>
      <c r="I88" s="1">
        <v>581</v>
      </c>
      <c r="V88" s="1">
        <v>-445</v>
      </c>
      <c r="W88" s="1">
        <v>482</v>
      </c>
      <c r="X88" s="1">
        <v>1059</v>
      </c>
      <c r="Y88" s="1">
        <f>X88*(1+Y38)</f>
        <v>1206.1181332757174</v>
      </c>
      <c r="Z88" s="1">
        <f>Y88*(1+Z38)</f>
        <v>1345.3600734248525</v>
      </c>
      <c r="AA88" s="1">
        <f>Z88*(1+AA38)</f>
        <v>1503.0005737866225</v>
      </c>
      <c r="AB88" s="1">
        <f>AA88*(1+AB38)</f>
        <v>1681.6984674606329</v>
      </c>
      <c r="AC88" s="1">
        <f>AB88*(1+AC38)</f>
        <v>1884.5320137323881</v>
      </c>
    </row>
    <row r="89" spans="1:166" x14ac:dyDescent="0.2">
      <c r="A89" s="1" t="s">
        <v>60</v>
      </c>
      <c r="I89" s="1">
        <v>183</v>
      </c>
      <c r="V89" s="1">
        <v>367</v>
      </c>
      <c r="W89" s="1">
        <v>525</v>
      </c>
      <c r="X89" s="1">
        <v>1043</v>
      </c>
      <c r="Y89" s="1">
        <f>X89*(1+Y38)</f>
        <v>1187.8953852753289</v>
      </c>
      <c r="Z89" s="1">
        <f>Y89*(1+Z38)</f>
        <v>1325.0335756205111</v>
      </c>
      <c r="AA89" s="1">
        <f>Z89*(1+AA38)</f>
        <v>1480.2923498200635</v>
      </c>
      <c r="AB89" s="1">
        <f>AA89*(1+AB38)</f>
        <v>1656.2903697464023</v>
      </c>
      <c r="AC89" s="1">
        <f>AB89*(1+AC38)</f>
        <v>1856.0593865183012</v>
      </c>
    </row>
    <row r="90" spans="1:166" x14ac:dyDescent="0.2">
      <c r="A90" s="3" t="s">
        <v>19</v>
      </c>
      <c r="B90" s="3"/>
      <c r="C90" s="3">
        <v>28666</v>
      </c>
      <c r="D90" s="3"/>
      <c r="E90" s="3"/>
      <c r="F90" s="3"/>
      <c r="G90" s="3">
        <v>26640</v>
      </c>
      <c r="H90" s="3">
        <v>30698</v>
      </c>
      <c r="I90" s="3">
        <f>SUM(I77:I89)</f>
        <v>39113</v>
      </c>
      <c r="J90" s="3">
        <v>36150</v>
      </c>
      <c r="K90" s="3">
        <v>27747</v>
      </c>
      <c r="L90" s="3"/>
      <c r="M90" s="3"/>
      <c r="N90" s="3"/>
      <c r="O90" s="3">
        <v>26020</v>
      </c>
      <c r="P90" s="3">
        <v>36040</v>
      </c>
      <c r="Q90" s="3">
        <v>37090</v>
      </c>
      <c r="R90" s="3">
        <v>47970</v>
      </c>
      <c r="S90" s="3">
        <v>54520</v>
      </c>
      <c r="T90" s="3">
        <v>65120</v>
      </c>
      <c r="U90" s="3">
        <v>91650</v>
      </c>
      <c r="V90" s="3">
        <f>SUM(V77:V89)</f>
        <v>91495</v>
      </c>
      <c r="W90" s="3">
        <f t="shared" ref="W90:AC90" si="93">SUM(W77:W89)</f>
        <v>101746</v>
      </c>
      <c r="X90" s="3">
        <f t="shared" si="93"/>
        <v>123779</v>
      </c>
      <c r="Y90" s="3">
        <f t="shared" si="93"/>
        <v>144953.42462641129</v>
      </c>
      <c r="Z90" s="3">
        <f t="shared" si="93"/>
        <v>166628.02166860108</v>
      </c>
      <c r="AA90" s="3">
        <f t="shared" si="93"/>
        <v>194133.86864886753</v>
      </c>
      <c r="AB90" s="3">
        <f t="shared" si="93"/>
        <v>226115.69165360683</v>
      </c>
      <c r="AC90" s="3">
        <f t="shared" si="93"/>
        <v>263330.82415020815</v>
      </c>
    </row>
    <row r="91" spans="1:166" x14ac:dyDescent="0.2">
      <c r="A91" s="15" t="s">
        <v>99</v>
      </c>
      <c r="G91" s="1">
        <v>-13186</v>
      </c>
      <c r="H91" s="1">
        <v>-13061</v>
      </c>
      <c r="I91" s="1">
        <v>-14276</v>
      </c>
      <c r="J91" s="1">
        <v>-17197</v>
      </c>
      <c r="K91" s="1">
        <v>-22446</v>
      </c>
      <c r="L91" s="1">
        <v>-22679</v>
      </c>
      <c r="M91" s="1">
        <v>-22679</v>
      </c>
      <c r="O91" s="1">
        <v>-9910</v>
      </c>
      <c r="P91" s="1">
        <v>-10210</v>
      </c>
      <c r="Q91" s="1">
        <v>-13180</v>
      </c>
      <c r="R91" s="1">
        <v>-25140</v>
      </c>
      <c r="S91" s="1">
        <v>-23550</v>
      </c>
      <c r="T91" s="1">
        <v>-22280</v>
      </c>
      <c r="U91" s="1">
        <v>-24640</v>
      </c>
      <c r="V91" s="1">
        <v>-31485</v>
      </c>
      <c r="W91" s="1">
        <v>-32251</v>
      </c>
      <c r="X91" s="1">
        <v>-52535</v>
      </c>
      <c r="Y91" s="1">
        <v>-85000</v>
      </c>
      <c r="Z91" s="1">
        <f>Y91*1.2</f>
        <v>-102000</v>
      </c>
      <c r="AA91" s="1">
        <f t="shared" ref="AA91:AC91" si="94">Z91*1.2</f>
        <v>-122400</v>
      </c>
      <c r="AB91" s="1">
        <f t="shared" si="94"/>
        <v>-146880</v>
      </c>
      <c r="AC91" s="1">
        <f t="shared" si="94"/>
        <v>-176256</v>
      </c>
    </row>
    <row r="92" spans="1:166" x14ac:dyDescent="0.2">
      <c r="A92" s="18" t="s">
        <v>105</v>
      </c>
      <c r="I92" s="1">
        <f>-23445+21799-167</f>
        <v>-1813</v>
      </c>
      <c r="V92" s="1">
        <f>+-78874-2531+97972+1589</f>
        <v>18156</v>
      </c>
      <c r="W92" s="1">
        <f>+-77858-3027+87619-1051</f>
        <v>5683</v>
      </c>
      <c r="X92" s="1">
        <f>+-86679-5034+104310-2667</f>
        <v>9930</v>
      </c>
      <c r="Y92" s="1">
        <f>X92*(1+Y38)</f>
        <v>11309.492977741145</v>
      </c>
      <c r="Z92" s="1">
        <f>Y92*(1+Z38)</f>
        <v>12615.132699819438</v>
      </c>
      <c r="AA92" s="1">
        <f>Z92*(1+AA38)</f>
        <v>14093.291499245666</v>
      </c>
      <c r="AB92" s="1">
        <f>AA92*(1+AB38)</f>
        <v>15768.90064389432</v>
      </c>
      <c r="AC92" s="1">
        <f>AB92*(1+AC38)</f>
        <v>17670.824264742791</v>
      </c>
    </row>
    <row r="93" spans="1:166" x14ac:dyDescent="0.2">
      <c r="A93" s="18" t="s">
        <v>106</v>
      </c>
      <c r="I93" s="1">
        <v>-91</v>
      </c>
      <c r="V93" s="1">
        <v>-6969</v>
      </c>
      <c r="W93" s="1">
        <v>-495</v>
      </c>
      <c r="X93" s="1">
        <v>-2931</v>
      </c>
      <c r="Y93" s="1">
        <f>X93*(1+Y38)</f>
        <v>-3338.1796493211777</v>
      </c>
      <c r="Z93" s="1">
        <f>Y93*(1+Z38)</f>
        <v>-3723.5603165328066</v>
      </c>
      <c r="AA93" s="1">
        <f>Z93*(1+AA38)</f>
        <v>-4159.8627778740229</v>
      </c>
      <c r="AB93" s="1">
        <f>AA93*(1+AB38)</f>
        <v>-4654.4459000256038</v>
      </c>
      <c r="AC93" s="1">
        <f>AB93*(1+AC38)</f>
        <v>-5215.8293977805752</v>
      </c>
      <c r="AF93" s="4"/>
    </row>
    <row r="94" spans="1:166" x14ac:dyDescent="0.2">
      <c r="A94" s="3" t="s">
        <v>20</v>
      </c>
      <c r="B94" s="3">
        <f>B90+B91</f>
        <v>0</v>
      </c>
      <c r="C94" s="3">
        <f t="shared" ref="C94:K94" si="95">C90+C91</f>
        <v>28666</v>
      </c>
      <c r="D94" s="3">
        <f t="shared" si="95"/>
        <v>0</v>
      </c>
      <c r="E94" s="3">
        <f t="shared" si="95"/>
        <v>0</v>
      </c>
      <c r="F94" s="3">
        <f t="shared" si="95"/>
        <v>0</v>
      </c>
      <c r="G94" s="3">
        <f t="shared" si="95"/>
        <v>13454</v>
      </c>
      <c r="H94" s="3">
        <f t="shared" si="95"/>
        <v>17637</v>
      </c>
      <c r="I94" s="3">
        <f t="shared" si="95"/>
        <v>24837</v>
      </c>
      <c r="J94" s="3">
        <f t="shared" si="95"/>
        <v>18953</v>
      </c>
      <c r="K94" s="3">
        <f t="shared" si="95"/>
        <v>5301</v>
      </c>
      <c r="L94" s="3"/>
      <c r="M94" s="3"/>
      <c r="N94" s="3"/>
      <c r="O94" s="3">
        <f t="shared" ref="O94:V94" si="96">O90+O91</f>
        <v>16110</v>
      </c>
      <c r="P94" s="3">
        <f t="shared" si="96"/>
        <v>25830</v>
      </c>
      <c r="Q94" s="3">
        <f t="shared" si="96"/>
        <v>23910</v>
      </c>
      <c r="R94" s="3">
        <f t="shared" si="96"/>
        <v>22830</v>
      </c>
      <c r="S94" s="3">
        <f t="shared" si="96"/>
        <v>30970</v>
      </c>
      <c r="T94" s="3">
        <f t="shared" si="96"/>
        <v>42840</v>
      </c>
      <c r="U94" s="3">
        <f t="shared" si="96"/>
        <v>67010</v>
      </c>
      <c r="V94" s="3">
        <f t="shared" si="96"/>
        <v>60010</v>
      </c>
      <c r="W94" s="3">
        <f t="shared" ref="W94:AC94" si="97">W90+W91</f>
        <v>69495</v>
      </c>
      <c r="X94" s="3">
        <f t="shared" si="97"/>
        <v>71244</v>
      </c>
      <c r="Y94" s="3">
        <f t="shared" si="97"/>
        <v>59953.424626411288</v>
      </c>
      <c r="Z94" s="3">
        <f t="shared" si="97"/>
        <v>64628.021668601083</v>
      </c>
      <c r="AA94" s="3">
        <f t="shared" si="97"/>
        <v>71733.86864886753</v>
      </c>
      <c r="AB94" s="3">
        <f t="shared" si="97"/>
        <v>79235.691653606831</v>
      </c>
      <c r="AC94" s="3">
        <f t="shared" si="97"/>
        <v>87074.824150208151</v>
      </c>
      <c r="AD94" s="3">
        <f>AD34</f>
        <v>231433.93228769771</v>
      </c>
      <c r="AE94" s="3">
        <f>AD94*(1+$AF$37)</f>
        <v>233748.27161057468</v>
      </c>
      <c r="AF94" s="3">
        <f>AE94*(1+$AF$37)</f>
        <v>236085.75432668044</v>
      </c>
      <c r="AG94" s="3">
        <f>AF94*(1+$AF$37)</f>
        <v>238446.61186994726</v>
      </c>
      <c r="AH94" s="3">
        <f>AG94*(1+$AF$37)</f>
        <v>240831.07798864672</v>
      </c>
      <c r="AI94" s="3">
        <f>AH94*(1+$AF$37)</f>
        <v>243239.38876853319</v>
      </c>
      <c r="AJ94" s="3">
        <f>AI94*(1+$AF$37)</f>
        <v>245671.78265621851</v>
      </c>
      <c r="AK94" s="3">
        <f>AJ94*(1+$AF$37)</f>
        <v>248128.50048278068</v>
      </c>
      <c r="AL94" s="3">
        <f>AK94*(1+$AF$37)</f>
        <v>250609.78548760849</v>
      </c>
      <c r="AM94" s="3">
        <f>AL94*(1+$AF$37)</f>
        <v>253115.88334248457</v>
      </c>
      <c r="AN94" s="3">
        <f>AM94*(1+$AF$37)</f>
        <v>255647.04217590942</v>
      </c>
      <c r="AO94" s="3">
        <f>AN94*(1+$AF$37)</f>
        <v>258203.51259766851</v>
      </c>
      <c r="AP94" s="3">
        <f>AO94*(1+$AF$37)</f>
        <v>260785.5477236452</v>
      </c>
      <c r="AQ94" s="3">
        <f>AP94*(1+$AF$37)</f>
        <v>263393.40320088167</v>
      </c>
      <c r="AR94" s="3">
        <f>AQ94*(1+$AF$37)</f>
        <v>266027.33723289048</v>
      </c>
      <c r="AS94" s="3">
        <f>AR94*(1+$AF$37)</f>
        <v>268687.61060521938</v>
      </c>
      <c r="AT94" s="3">
        <f>AS94*(1+$AF$37)</f>
        <v>271374.48671127157</v>
      </c>
      <c r="AU94" s="3">
        <f>AT94*(1+$AF$37)</f>
        <v>274088.23157838429</v>
      </c>
      <c r="AV94" s="3">
        <f>AU94*(1+$AF$37)</f>
        <v>276829.11389416811</v>
      </c>
      <c r="AW94" s="3">
        <f>AV94*(1+$AF$37)</f>
        <v>279597.40503310977</v>
      </c>
      <c r="AX94" s="3">
        <f>AW94*(1+$AF$37)</f>
        <v>282393.37908344087</v>
      </c>
      <c r="AY94" s="3">
        <f>AX94*(1+$AF$37)</f>
        <v>285217.31287427526</v>
      </c>
      <c r="AZ94" s="3">
        <f>AY94*(1+$AF$37)</f>
        <v>288069.48600301804</v>
      </c>
      <c r="BA94" s="3">
        <f>AZ94*(1+$AF$37)</f>
        <v>290950.18086304824</v>
      </c>
      <c r="BB94" s="3">
        <f>BA94*(1+$AF$37)</f>
        <v>293859.68267167872</v>
      </c>
      <c r="BC94" s="3">
        <f>BB94*(1+$AF$37)</f>
        <v>296798.27949839551</v>
      </c>
      <c r="BD94" s="3">
        <f>BC94*(1+$AF$37)</f>
        <v>299766.26229337946</v>
      </c>
      <c r="BE94" s="3">
        <f>BD94*(1+$AF$37)</f>
        <v>302763.92491631326</v>
      </c>
      <c r="BF94" s="3">
        <f>BE94*(1+$AF$37)</f>
        <v>305791.56416547642</v>
      </c>
      <c r="BG94" s="3">
        <f>BF94*(1+$AF$37)</f>
        <v>308849.47980713117</v>
      </c>
      <c r="BH94" s="3">
        <f>BG94*(1+$AF$37)</f>
        <v>311937.9746052025</v>
      </c>
      <c r="BI94" s="3">
        <f>BH94*(1+$AF$37)</f>
        <v>315057.35435125453</v>
      </c>
      <c r="BJ94" s="3">
        <f>BI94*(1+$AF$37)</f>
        <v>318207.92789476708</v>
      </c>
      <c r="BK94" s="3">
        <f>BJ94*(1+$AF$37)</f>
        <v>321390.00717371475</v>
      </c>
      <c r="BL94" s="3">
        <f>BK94*(1+$AF$37)</f>
        <v>324603.90724545188</v>
      </c>
      <c r="BM94" s="3">
        <f>BL94*(1+$AF$37)</f>
        <v>327849.94631790638</v>
      </c>
      <c r="BN94" s="3">
        <f>BM94*(1+$AF$37)</f>
        <v>331128.44578108547</v>
      </c>
      <c r="BO94" s="3">
        <f>BN94*(1+$AF$37)</f>
        <v>334439.73023889633</v>
      </c>
      <c r="BP94" s="3">
        <f>BO94*(1+$AF$37)</f>
        <v>337784.1275412853</v>
      </c>
      <c r="BQ94" s="3">
        <f>BP94*(1+$AF$37)</f>
        <v>341161.96881669818</v>
      </c>
      <c r="BR94" s="3">
        <f>BQ94*(1+$AF$37)</f>
        <v>344573.58850486518</v>
      </c>
      <c r="BS94" s="3">
        <f>BR94*(1+$AF$37)</f>
        <v>348019.32438991382</v>
      </c>
      <c r="BT94" s="3">
        <f>BS94*(1+$AF$37)</f>
        <v>351499.51763381297</v>
      </c>
      <c r="BU94" s="3">
        <f>BT94*(1+$AF$37)</f>
        <v>355014.51281015109</v>
      </c>
      <c r="BV94" s="3">
        <f>BU94*(1+$AF$37)</f>
        <v>358564.65793825261</v>
      </c>
      <c r="BW94" s="3">
        <f>BV94*(1+$AF$37)</f>
        <v>362150.30451763514</v>
      </c>
      <c r="BX94" s="3">
        <f>BW94*(1+$AF$37)</f>
        <v>365771.80756281147</v>
      </c>
      <c r="BY94" s="3">
        <f>BX94*(1+$AF$37)</f>
        <v>369429.52563843958</v>
      </c>
      <c r="BZ94" s="3">
        <f>BY94*(1+$AF$37)</f>
        <v>373123.82089482399</v>
      </c>
      <c r="CA94" s="3">
        <f>BZ94*(1+$AF$37)</f>
        <v>376855.05910377222</v>
      </c>
      <c r="CB94" s="3">
        <f>CA94*(1+$AF$37)</f>
        <v>380623.60969480994</v>
      </c>
      <c r="CC94" s="3">
        <f>CB94*(1+$AF$37)</f>
        <v>384429.84579175804</v>
      </c>
      <c r="CD94" s="3">
        <f>CC94*(1+$AF$37)</f>
        <v>388274.14424967562</v>
      </c>
      <c r="CE94" s="3">
        <f>CD94*(1+$AF$37)</f>
        <v>392156.88569217239</v>
      </c>
      <c r="CF94" s="3">
        <f>CE94*(1+$AF$37)</f>
        <v>396078.45454909414</v>
      </c>
      <c r="CG94" s="3">
        <f>CF94*(1+$AF$37)</f>
        <v>400039.23909458506</v>
      </c>
      <c r="CH94" s="3">
        <f>CG94*(1+$AF$37)</f>
        <v>404039.63148553093</v>
      </c>
      <c r="CI94" s="3">
        <f>CH94*(1+$AF$37)</f>
        <v>408080.02780038625</v>
      </c>
      <c r="CJ94" s="3">
        <f>CI94*(1+$AF$37)</f>
        <v>412160.8280783901</v>
      </c>
      <c r="CK94" s="3">
        <f>CJ94*(1+$AF$37)</f>
        <v>416282.43635917403</v>
      </c>
      <c r="CL94" s="3">
        <f>CK94*(1+$AF$37)</f>
        <v>420445.26072276576</v>
      </c>
      <c r="CM94" s="3">
        <f>CL94*(1+$AF$37)</f>
        <v>424649.71332999342</v>
      </c>
      <c r="CN94" s="3">
        <f>CM94*(1+$AF$37)</f>
        <v>428896.21046329336</v>
      </c>
      <c r="CO94" s="3">
        <f>CN94*(1+$AF$37)</f>
        <v>433185.17256792629</v>
      </c>
      <c r="CP94" s="3">
        <f>CO94*(1+$AF$37)</f>
        <v>437517.02429360553</v>
      </c>
      <c r="CQ94" s="3">
        <f>CP94*(1+$AF$37)</f>
        <v>441892.19453654159</v>
      </c>
      <c r="CR94" s="3">
        <f>CQ94*(1+$AF$37)</f>
        <v>446311.11648190703</v>
      </c>
      <c r="CS94" s="3">
        <f>CR94*(1+$AF$37)</f>
        <v>450774.22764672613</v>
      </c>
      <c r="CT94" s="3">
        <f>CS94*(1+$AF$37)</f>
        <v>455281.96992319339</v>
      </c>
      <c r="CU94" s="3">
        <f>CT94*(1+$AF$37)</f>
        <v>459834.78962242533</v>
      </c>
      <c r="CV94" s="3">
        <f>CU94*(1+$AF$37)</f>
        <v>464433.13751864957</v>
      </c>
      <c r="CW94" s="3">
        <f>CV94*(1+$AF$37)</f>
        <v>469077.46889383608</v>
      </c>
      <c r="CX94" s="3">
        <f>CW94*(1+$AF$37)</f>
        <v>473768.24358277442</v>
      </c>
      <c r="CY94" s="3">
        <f>CX94*(1+$AF$37)</f>
        <v>478505.92601860216</v>
      </c>
      <c r="CZ94" s="3">
        <f>CY94*(1+$AF$37)</f>
        <v>483290.9852787882</v>
      </c>
      <c r="DA94" s="3">
        <f>CZ94*(1+$AF$37)</f>
        <v>488123.89513157611</v>
      </c>
      <c r="DB94" s="3">
        <f>DA94*(1+$AF$37)</f>
        <v>493005.13408289186</v>
      </c>
      <c r="DC94" s="3">
        <f>DB94*(1+$AF$37)</f>
        <v>497935.1854237208</v>
      </c>
      <c r="DD94" s="3">
        <f>DC94*(1+$AF$37)</f>
        <v>502914.53727795801</v>
      </c>
      <c r="DE94" s="3">
        <f>DD94*(1+$AF$37)</f>
        <v>507943.68265073758</v>
      </c>
      <c r="DF94" s="3">
        <f>DE94*(1+$AF$37)</f>
        <v>513023.11947724497</v>
      </c>
      <c r="DG94" s="3">
        <f>DF94*(1+$AF$37)</f>
        <v>518153.35067201743</v>
      </c>
      <c r="DH94" s="3">
        <f>DG94*(1+$AF$37)</f>
        <v>523334.88417873759</v>
      </c>
      <c r="DI94" s="3">
        <f>DH94*(1+$AF$37)</f>
        <v>528568.23302052496</v>
      </c>
      <c r="DJ94" s="3">
        <f>DI94*(1+$AF$37)</f>
        <v>533853.91535073018</v>
      </c>
      <c r="DK94" s="3">
        <f>DJ94*(1+$AF$37)</f>
        <v>539192.45450423751</v>
      </c>
      <c r="DL94" s="3">
        <f>DK94*(1+$AF$37)</f>
        <v>544584.37904927984</v>
      </c>
      <c r="DM94" s="3">
        <f>DL94*(1+$AF$37)</f>
        <v>550030.2228397727</v>
      </c>
      <c r="DN94" s="3">
        <f>DM94*(1+$AF$37)</f>
        <v>555530.52506817039</v>
      </c>
      <c r="DO94" s="3">
        <f>DN94*(1+$AF$37)</f>
        <v>561085.83031885209</v>
      </c>
      <c r="DP94" s="3">
        <f>DO94*(1+$AF$37)</f>
        <v>566696.68862204067</v>
      </c>
      <c r="DQ94" s="3">
        <f>DP94*(1+$AF$37)</f>
        <v>572363.65550826106</v>
      </c>
      <c r="DR94" s="3">
        <f>DQ94*(1+$AF$37)</f>
        <v>578087.29206334369</v>
      </c>
      <c r="DS94" s="3">
        <f>DR94*(1+$AF$37)</f>
        <v>583868.1649839771</v>
      </c>
      <c r="DT94" s="3">
        <f>DS94*(1+$AF$37)</f>
        <v>589706.84663381684</v>
      </c>
      <c r="DU94" s="3">
        <f>DT94*(1+$AF$37)</f>
        <v>595603.91510015505</v>
      </c>
      <c r="DV94" s="3">
        <f>DU94*(1+$AF$37)</f>
        <v>601559.95425115665</v>
      </c>
      <c r="DW94" s="3">
        <f>DV94*(1+$AF$37)</f>
        <v>607575.55379366828</v>
      </c>
      <c r="DX94" s="3">
        <f>DW94*(1+$AF$37)</f>
        <v>613651.30933160498</v>
      </c>
      <c r="DY94" s="3">
        <f>DX94*(1+$AF$37)</f>
        <v>619787.82242492109</v>
      </c>
      <c r="DZ94" s="3">
        <f>DY94*(1+$AF$37)</f>
        <v>625985.70064917032</v>
      </c>
      <c r="EA94" s="3">
        <f>DZ94*(1+$AF$37)</f>
        <v>632245.55765566207</v>
      </c>
      <c r="EB94" s="3">
        <f>EA94*(1+$AF$37)</f>
        <v>638568.01323221868</v>
      </c>
      <c r="EC94" s="3">
        <f>EB94*(1+$AF$37)</f>
        <v>644953.69336454093</v>
      </c>
      <c r="ED94" s="3">
        <f>EC94*(1+$AF$37)</f>
        <v>651403.2302981863</v>
      </c>
      <c r="EE94" s="3">
        <f>ED94*(1+$AF$37)</f>
        <v>657917.26260116813</v>
      </c>
      <c r="EF94" s="3">
        <f>EE94*(1+$AF$37)</f>
        <v>664496.43522717978</v>
      </c>
      <c r="EG94" s="3">
        <f>EF94*(1+$AF$37)</f>
        <v>671141.39957945154</v>
      </c>
      <c r="EH94" s="3">
        <f>EG94*(1+$AF$37)</f>
        <v>677852.81357524602</v>
      </c>
      <c r="EI94" s="3">
        <f>EH94*(1+$AF$37)</f>
        <v>684631.34171099844</v>
      </c>
      <c r="EJ94" s="3">
        <f>EI94*(1+$AF$37)</f>
        <v>691477.65512810845</v>
      </c>
      <c r="EK94" s="3">
        <f>EJ94*(1+$AF$37)</f>
        <v>698392.43167938956</v>
      </c>
      <c r="EL94" s="3">
        <f>EK94*(1+$AF$37)</f>
        <v>705376.35599618347</v>
      </c>
      <c r="EM94" s="3">
        <f>EL94*(1+$AF$37)</f>
        <v>712430.11955614528</v>
      </c>
      <c r="EN94" s="3">
        <f>EM94*(1+$AF$37)</f>
        <v>719554.4207517067</v>
      </c>
      <c r="EO94" s="3">
        <f>EN94*(1+$AF$37)</f>
        <v>726749.96495922375</v>
      </c>
      <c r="EP94" s="3">
        <f>EO94*(1+$AF$37)</f>
        <v>734017.46460881596</v>
      </c>
      <c r="EQ94" s="3">
        <f>EP94*(1+$AF$37)</f>
        <v>741357.63925490412</v>
      </c>
      <c r="ER94" s="3">
        <f>EQ94*(1+$AF$37)</f>
        <v>748771.21564745321</v>
      </c>
      <c r="ES94" s="3">
        <f>ER94*(1+$AF$37)</f>
        <v>756258.9278039278</v>
      </c>
      <c r="ET94" s="3">
        <f>ES94*(1+$AF$37)</f>
        <v>763821.51708196709</v>
      </c>
      <c r="EU94" s="3">
        <f>ET94*(1+$AF$37)</f>
        <v>771459.73225278675</v>
      </c>
      <c r="EV94" s="3">
        <f>EU94*(1+$AF$37)</f>
        <v>779174.32957531465</v>
      </c>
      <c r="EW94" s="3">
        <f>EV94*(1+$AF$37)</f>
        <v>786966.07287106779</v>
      </c>
      <c r="EX94" s="3">
        <f>EW94*(1+$AF$37)</f>
        <v>794835.7335997785</v>
      </c>
      <c r="EY94" s="3">
        <f>EX94*(1+$AF$37)</f>
        <v>802784.09093577624</v>
      </c>
      <c r="EZ94" s="3">
        <f>EY94*(1+$AF$37)</f>
        <v>810811.93184513401</v>
      </c>
      <c r="FA94" s="3">
        <f>EZ94*(1+$AF$37)</f>
        <v>818920.05116358539</v>
      </c>
      <c r="FB94" s="3">
        <f>FA94*(1+$AF$37)</f>
        <v>827109.25167522125</v>
      </c>
      <c r="FC94" s="3">
        <f>FB94*(1+$AF$37)</f>
        <v>835380.34419197345</v>
      </c>
      <c r="FD94" s="3">
        <f>FC94*(1+$AF$37)</f>
        <v>843734.14763389318</v>
      </c>
      <c r="FE94" s="3">
        <f>FD94*(1+$AF$37)</f>
        <v>852171.4891102321</v>
      </c>
      <c r="FF94" s="3">
        <f>FE94*(1+$AF$37)</f>
        <v>860693.20400133438</v>
      </c>
      <c r="FG94" s="3">
        <f>FF94*(1+$AF$37)</f>
        <v>869300.13604134775</v>
      </c>
      <c r="FH94" s="3">
        <f>FG94*(1+$AF$37)</f>
        <v>877993.13740176125</v>
      </c>
      <c r="FI94" s="3">
        <f>FH94*(1+$AF$37)</f>
        <v>886773.06877577887</v>
      </c>
      <c r="FJ94" s="3">
        <f>FI94*(1+$AF$37)</f>
        <v>895640.79946353671</v>
      </c>
    </row>
    <row r="95" spans="1:166" x14ac:dyDescent="0.2">
      <c r="B95" s="4">
        <f t="shared" ref="B95:K95" si="98">B94/B34</f>
        <v>0</v>
      </c>
      <c r="C95" s="4">
        <f t="shared" si="98"/>
        <v>1.5606489547038327</v>
      </c>
      <c r="D95" s="4">
        <f t="shared" si="98"/>
        <v>0</v>
      </c>
      <c r="E95" s="4">
        <f t="shared" si="98"/>
        <v>0</v>
      </c>
      <c r="F95" s="4">
        <f t="shared" si="98"/>
        <v>0</v>
      </c>
      <c r="G95" s="4">
        <f t="shared" si="98"/>
        <v>0.56962614843981541</v>
      </c>
      <c r="H95" s="4">
        <f t="shared" si="98"/>
        <v>0.67058286757157526</v>
      </c>
      <c r="I95" s="4">
        <f t="shared" si="98"/>
        <v>0.93597377148025329</v>
      </c>
      <c r="J95" s="4">
        <f t="shared" si="98"/>
        <v>0.54872611464968157</v>
      </c>
      <c r="K95" s="4">
        <f t="shared" si="98"/>
        <v>0.18800539083557952</v>
      </c>
      <c r="O95" s="4">
        <f t="shared" ref="O95:AC95" si="99">O94/O34</f>
        <v>0.65768524188609923</v>
      </c>
      <c r="P95" s="4">
        <f t="shared" si="99"/>
        <v>1.3266563944530045</v>
      </c>
      <c r="Q95" s="4">
        <f t="shared" si="99"/>
        <v>1.5415860735009672</v>
      </c>
      <c r="R95" s="4">
        <f t="shared" si="99"/>
        <v>0.63753141580564088</v>
      </c>
      <c r="S95" s="4">
        <f t="shared" si="99"/>
        <v>0.90178493433887541</v>
      </c>
      <c r="T95" s="4">
        <f t="shared" si="99"/>
        <v>1.0638456380838859</v>
      </c>
      <c r="U95" s="4">
        <f t="shared" si="99"/>
        <v>1.0468186149688345</v>
      </c>
      <c r="V95" s="4">
        <f t="shared" si="99"/>
        <v>0.94524777116214598</v>
      </c>
      <c r="W95" s="4">
        <f t="shared" si="99"/>
        <v>0.93943899966204802</v>
      </c>
      <c r="X95" s="4">
        <f t="shared" si="99"/>
        <v>0.71157188230358959</v>
      </c>
      <c r="Y95" s="4">
        <f t="shared" si="99"/>
        <v>0.50018767089371763</v>
      </c>
      <c r="Z95" s="4">
        <f t="shared" si="99"/>
        <v>0.46296114854032383</v>
      </c>
      <c r="AA95" s="4">
        <f t="shared" si="99"/>
        <v>0.43486051027078998</v>
      </c>
      <c r="AB95" s="4">
        <f t="shared" si="99"/>
        <v>0.40724699332823405</v>
      </c>
      <c r="AC95" s="4">
        <f t="shared" si="99"/>
        <v>0.38000293009058095</v>
      </c>
    </row>
    <row r="100" spans="22:25" x14ac:dyDescent="0.2">
      <c r="V100" s="4"/>
      <c r="W100" s="4"/>
      <c r="X100" s="4"/>
      <c r="Y100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2025-09-04T04:31:21Z</dcterms:modified>
</cp:coreProperties>
</file>