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48AA5824-0632-4792-96D9-C2FD3B5CECCF}" xr6:coauthVersionLast="47" xr6:coauthVersionMax="47" xr10:uidLastSave="{00000000-0000-0000-0000-000000000000}"/>
  <bookViews>
    <workbookView xWindow="2340" yWindow="975" windowWidth="22200" windowHeight="14340" activeTab="1" xr2:uid="{A01DB42C-5223-4941-B241-BC5C0C7D8EF1}"/>
  </bookViews>
  <sheets>
    <sheet name="Main" sheetId="1" r:id="rId1"/>
    <sheet name="Model" sheetId="2" r:id="rId2"/>
    <sheet name="Literatur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2" l="1"/>
  <c r="L142" i="2"/>
  <c r="L114" i="2"/>
  <c r="M114" i="2"/>
  <c r="D115" i="2"/>
  <c r="E115" i="2"/>
  <c r="F115" i="2"/>
  <c r="G115" i="2"/>
  <c r="H115" i="2"/>
  <c r="I115" i="2"/>
  <c r="J115" i="2"/>
  <c r="K115" i="2"/>
  <c r="L115" i="2"/>
  <c r="M115" i="2"/>
  <c r="C115" i="2"/>
  <c r="C114" i="2"/>
  <c r="C142" i="2" s="1"/>
  <c r="Y142" i="2"/>
  <c r="X142" i="2"/>
  <c r="V136" i="2"/>
  <c r="Y135" i="2"/>
  <c r="X135" i="2"/>
  <c r="Y134" i="2"/>
  <c r="X134" i="2"/>
  <c r="X132" i="2"/>
  <c r="X122" i="2" s="1"/>
  <c r="Y131" i="2"/>
  <c r="X131" i="2"/>
  <c r="Y129" i="2"/>
  <c r="X129" i="2"/>
  <c r="X119" i="2" s="1"/>
  <c r="Z128" i="2"/>
  <c r="Y128" i="2"/>
  <c r="X128" i="2"/>
  <c r="X118" i="2" s="1"/>
  <c r="W128" i="2"/>
  <c r="L125" i="2"/>
  <c r="M125" i="2" s="1"/>
  <c r="L124" i="2"/>
  <c r="M124" i="2" s="1"/>
  <c r="N124" i="2" s="1"/>
  <c r="M123" i="2"/>
  <c r="I123" i="2"/>
  <c r="J123" i="2" s="1"/>
  <c r="C123" i="2"/>
  <c r="X133" i="2" s="1"/>
  <c r="X123" i="2" s="1"/>
  <c r="M122" i="2"/>
  <c r="N122" i="2" s="1"/>
  <c r="G122" i="2"/>
  <c r="H122" i="2" s="1"/>
  <c r="Y132" i="2" s="1"/>
  <c r="M121" i="2"/>
  <c r="N121" i="2" s="1"/>
  <c r="M120" i="2"/>
  <c r="N120" i="2" s="1"/>
  <c r="Z130" i="2" s="1"/>
  <c r="Z120" i="2" s="1"/>
  <c r="H120" i="2"/>
  <c r="D120" i="2"/>
  <c r="D116" i="2" s="1"/>
  <c r="D113" i="2" s="1"/>
  <c r="N119" i="2"/>
  <c r="M119" i="2"/>
  <c r="Z129" i="2" s="1"/>
  <c r="I117" i="2"/>
  <c r="J117" i="2" s="1"/>
  <c r="F116" i="2"/>
  <c r="F113" i="2" s="1"/>
  <c r="F141" i="2" s="1"/>
  <c r="E116" i="2"/>
  <c r="E113" i="2" s="1"/>
  <c r="E141" i="2" s="1"/>
  <c r="Y125" i="2" l="1"/>
  <c r="Y121" i="2"/>
  <c r="D141" i="2"/>
  <c r="C116" i="2"/>
  <c r="C113" i="2" s="1"/>
  <c r="C141" i="2" s="1"/>
  <c r="G116" i="2"/>
  <c r="G113" i="2" s="1"/>
  <c r="G141" i="2" s="1"/>
  <c r="C143" i="2"/>
  <c r="X130" i="2"/>
  <c r="X120" i="2" s="1"/>
  <c r="Z132" i="2"/>
  <c r="W132" i="2"/>
  <c r="W136" i="2" s="1"/>
  <c r="Y124" i="2"/>
  <c r="X126" i="2"/>
  <c r="X141" i="2" s="1"/>
  <c r="X143" i="2" s="1"/>
  <c r="Y133" i="2"/>
  <c r="Y123" i="2" s="1"/>
  <c r="Y122" i="2"/>
  <c r="K117" i="2"/>
  <c r="Z119" i="2"/>
  <c r="AA129" i="2"/>
  <c r="AB129" i="2" s="1"/>
  <c r="AC129" i="2" s="1"/>
  <c r="AD129" i="2" s="1"/>
  <c r="AE129" i="2" s="1"/>
  <c r="H116" i="2"/>
  <c r="H113" i="2" s="1"/>
  <c r="Y119" i="2"/>
  <c r="N125" i="2"/>
  <c r="Z135" i="2" s="1"/>
  <c r="AA128" i="2"/>
  <c r="Y118" i="2"/>
  <c r="Z118" i="2"/>
  <c r="Z134" i="2"/>
  <c r="N123" i="2"/>
  <c r="Z133" i="2" s="1"/>
  <c r="Z131" i="2"/>
  <c r="AA130" i="2"/>
  <c r="AB130" i="2" s="1"/>
  <c r="AC130" i="2" s="1"/>
  <c r="AD130" i="2" s="1"/>
  <c r="AE130" i="2" s="1"/>
  <c r="I120" i="2"/>
  <c r="X136" i="2" l="1"/>
  <c r="C139" i="2"/>
  <c r="H141" i="2"/>
  <c r="C112" i="2"/>
  <c r="X137" i="2"/>
  <c r="AA119" i="2"/>
  <c r="AB119" i="2" s="1"/>
  <c r="AC119" i="2" s="1"/>
  <c r="AD119" i="2" s="1"/>
  <c r="AE119" i="2" s="1"/>
  <c r="Z122" i="2"/>
  <c r="AA132" i="2"/>
  <c r="AB132" i="2" s="1"/>
  <c r="AC132" i="2" s="1"/>
  <c r="AD132" i="2" s="1"/>
  <c r="AE132" i="2" s="1"/>
  <c r="Z123" i="2"/>
  <c r="AA133" i="2"/>
  <c r="AB133" i="2" s="1"/>
  <c r="AC133" i="2" s="1"/>
  <c r="AD133" i="2" s="1"/>
  <c r="AE133" i="2" s="1"/>
  <c r="AA131" i="2"/>
  <c r="AB131" i="2" s="1"/>
  <c r="AC131" i="2" s="1"/>
  <c r="AD131" i="2" s="1"/>
  <c r="AE131" i="2" s="1"/>
  <c r="Z121" i="2"/>
  <c r="AA121" i="2" s="1"/>
  <c r="AB121" i="2" s="1"/>
  <c r="AC121" i="2" s="1"/>
  <c r="AD121" i="2" s="1"/>
  <c r="AE121" i="2" s="1"/>
  <c r="L117" i="2"/>
  <c r="K116" i="2"/>
  <c r="K113" i="2" s="1"/>
  <c r="K141" i="2" s="1"/>
  <c r="AA134" i="2"/>
  <c r="AB134" i="2" s="1"/>
  <c r="AC134" i="2" s="1"/>
  <c r="AD134" i="2" s="1"/>
  <c r="AE134" i="2" s="1"/>
  <c r="Z124" i="2"/>
  <c r="Z136" i="2"/>
  <c r="AB128" i="2"/>
  <c r="AA118" i="2"/>
  <c r="AA120" i="2"/>
  <c r="AB120" i="2" s="1"/>
  <c r="AC120" i="2" s="1"/>
  <c r="AD120" i="2" s="1"/>
  <c r="AE120" i="2" s="1"/>
  <c r="X139" i="2"/>
  <c r="AA135" i="2"/>
  <c r="AB135" i="2" s="1"/>
  <c r="AC135" i="2" s="1"/>
  <c r="AD135" i="2" s="1"/>
  <c r="AE135" i="2" s="1"/>
  <c r="Z125" i="2"/>
  <c r="AA125" i="2" s="1"/>
  <c r="AB125" i="2" s="1"/>
  <c r="AC125" i="2" s="1"/>
  <c r="AD125" i="2" s="1"/>
  <c r="AE125" i="2" s="1"/>
  <c r="I116" i="2"/>
  <c r="I113" i="2" s="1"/>
  <c r="J120" i="2"/>
  <c r="J116" i="2" s="1"/>
  <c r="J113" i="2" s="1"/>
  <c r="J141" i="2" s="1"/>
  <c r="I141" i="2" l="1"/>
  <c r="AA136" i="2"/>
  <c r="AA124" i="2"/>
  <c r="AB124" i="2" s="1"/>
  <c r="AC124" i="2" s="1"/>
  <c r="AD124" i="2" s="1"/>
  <c r="AE124" i="2" s="1"/>
  <c r="Y130" i="2"/>
  <c r="AA122" i="2"/>
  <c r="AB122" i="2" s="1"/>
  <c r="AC122" i="2" s="1"/>
  <c r="AD122" i="2" s="1"/>
  <c r="AE122" i="2" s="1"/>
  <c r="AB118" i="2"/>
  <c r="AC128" i="2"/>
  <c r="AB136" i="2"/>
  <c r="L116" i="2"/>
  <c r="M117" i="2"/>
  <c r="Y120" i="2"/>
  <c r="Y126" i="2" s="1"/>
  <c r="Y136" i="2"/>
  <c r="Z126" i="2"/>
  <c r="AA123" i="2"/>
  <c r="AB123" i="2" s="1"/>
  <c r="AC123" i="2" s="1"/>
  <c r="AD123" i="2" s="1"/>
  <c r="AE123" i="2" s="1"/>
  <c r="L113" i="2" l="1"/>
  <c r="L141" i="2" s="1"/>
  <c r="L143" i="2" s="1"/>
  <c r="L139" i="2"/>
  <c r="AA126" i="2"/>
  <c r="Z141" i="2"/>
  <c r="Z137" i="2"/>
  <c r="Z139" i="2" s="1"/>
  <c r="M116" i="2"/>
  <c r="N117" i="2"/>
  <c r="N116" i="2" s="1"/>
  <c r="N113" i="2" s="1"/>
  <c r="Y141" i="2"/>
  <c r="Y137" i="2"/>
  <c r="Y139" i="2" s="1"/>
  <c r="AC136" i="2"/>
  <c r="AD128" i="2"/>
  <c r="AC118" i="2"/>
  <c r="AC126" i="2" s="1"/>
  <c r="AB126" i="2"/>
  <c r="M113" i="2" l="1"/>
  <c r="M139" i="2"/>
  <c r="AC137" i="2"/>
  <c r="AC139" i="2" s="1"/>
  <c r="AC141" i="2"/>
  <c r="AC12" i="2" s="1"/>
  <c r="AB137" i="2"/>
  <c r="AB139" i="2" s="1"/>
  <c r="AB141" i="2"/>
  <c r="AB12" i="2" s="1"/>
  <c r="AD136" i="2"/>
  <c r="AE128" i="2"/>
  <c r="AD118" i="2"/>
  <c r="AD126" i="2" s="1"/>
  <c r="AA141" i="2"/>
  <c r="AA12" i="2" s="1"/>
  <c r="AA137" i="2"/>
  <c r="AA139" i="2" s="1"/>
  <c r="AD137" i="2" l="1"/>
  <c r="AD139" i="2" s="1"/>
  <c r="AD141" i="2"/>
  <c r="AD12" i="2" s="1"/>
  <c r="AE118" i="2"/>
  <c r="AE126" i="2" s="1"/>
  <c r="AE136" i="2"/>
  <c r="AE137" i="2" l="1"/>
  <c r="AE139" i="2" s="1"/>
  <c r="AE141" i="2"/>
  <c r="AE12" i="2" s="1"/>
  <c r="Y109" i="2" l="1"/>
  <c r="Z5" i="2"/>
  <c r="Z6" i="2"/>
  <c r="Z7" i="2"/>
  <c r="Z8" i="2"/>
  <c r="Z9" i="2"/>
  <c r="Z10" i="2"/>
  <c r="AE70" i="2"/>
  <c r="M107" i="2"/>
  <c r="L107" i="2"/>
  <c r="K107" i="2"/>
  <c r="I109" i="2"/>
  <c r="E109" i="2"/>
  <c r="F109" i="2"/>
  <c r="G109" i="2"/>
  <c r="H109" i="2"/>
  <c r="D109" i="2"/>
  <c r="Z70" i="2" l="1"/>
  <c r="AA70" i="2"/>
  <c r="AB70" i="2"/>
  <c r="AC70" i="2"/>
  <c r="AD70" i="2"/>
  <c r="X70" i="2"/>
  <c r="N12" i="2" l="1"/>
  <c r="M3" i="2"/>
  <c r="N3" i="2" s="1"/>
  <c r="C35" i="2"/>
  <c r="D35" i="2"/>
  <c r="E35" i="2"/>
  <c r="F35" i="2"/>
  <c r="J35" i="2"/>
  <c r="I35" i="2"/>
  <c r="H35" i="2"/>
  <c r="C33" i="2"/>
  <c r="C32" i="2"/>
  <c r="D12" i="2"/>
  <c r="D114" i="2" s="1"/>
  <c r="E12" i="2"/>
  <c r="F12" i="2"/>
  <c r="F114" i="2" s="1"/>
  <c r="G12" i="2"/>
  <c r="H12" i="2"/>
  <c r="I12" i="2"/>
  <c r="J12" i="2"/>
  <c r="K12" i="2"/>
  <c r="K114" i="2" s="1"/>
  <c r="L15" i="2"/>
  <c r="L16" i="2"/>
  <c r="K78" i="2"/>
  <c r="K82" i="2" s="1"/>
  <c r="H114" i="2" l="1"/>
  <c r="G114" i="2"/>
  <c r="E114" i="2"/>
  <c r="K142" i="2"/>
  <c r="K139" i="2"/>
  <c r="F142" i="2"/>
  <c r="F143" i="2" s="1"/>
  <c r="F139" i="2"/>
  <c r="D139" i="2"/>
  <c r="D142" i="2"/>
  <c r="D143" i="2" s="1"/>
  <c r="J114" i="2"/>
  <c r="I114" i="2"/>
  <c r="N11" i="2"/>
  <c r="N114" i="2"/>
  <c r="N139" i="2" s="1"/>
  <c r="F32" i="2"/>
  <c r="D32" i="2"/>
  <c r="Z12" i="2"/>
  <c r="K143" i="2"/>
  <c r="G28" i="2"/>
  <c r="O12" i="2"/>
  <c r="P12" i="2" s="1"/>
  <c r="Q12" i="2" s="1"/>
  <c r="R12" i="2" s="1"/>
  <c r="F33" i="2"/>
  <c r="J27" i="2"/>
  <c r="D33" i="2"/>
  <c r="E28" i="2"/>
  <c r="E32" i="2"/>
  <c r="I27" i="2"/>
  <c r="E33" i="2"/>
  <c r="H27" i="2"/>
  <c r="F28" i="2"/>
  <c r="K70" i="2"/>
  <c r="G76" i="2"/>
  <c r="K74" i="2"/>
  <c r="K76" i="2" s="1"/>
  <c r="I139" i="2" l="1"/>
  <c r="I142" i="2"/>
  <c r="I143" i="2" s="1"/>
  <c r="G142" i="2"/>
  <c r="G143" i="2" s="1"/>
  <c r="G139" i="2"/>
  <c r="J142" i="2"/>
  <c r="J143" i="2" s="1"/>
  <c r="J139" i="2"/>
  <c r="H142" i="2"/>
  <c r="H143" i="2" s="1"/>
  <c r="H139" i="2"/>
  <c r="E139" i="2"/>
  <c r="E142" i="2"/>
  <c r="E143" i="2" s="1"/>
  <c r="N115" i="2"/>
  <c r="Z11" i="2"/>
  <c r="Z107" i="2" s="1"/>
  <c r="N107" i="2"/>
  <c r="Z142" i="2"/>
  <c r="G71" i="2"/>
  <c r="K71" i="2"/>
  <c r="K6" i="1"/>
  <c r="K5" i="1"/>
  <c r="G35" i="2"/>
  <c r="K35" i="2"/>
  <c r="L19" i="2" s="1"/>
  <c r="G53" i="2"/>
  <c r="K53" i="2"/>
  <c r="G46" i="2"/>
  <c r="K46" i="2"/>
  <c r="H28" i="2"/>
  <c r="I28" i="2"/>
  <c r="J28" i="2"/>
  <c r="K30" i="2"/>
  <c r="K29" i="2"/>
  <c r="U11" i="2"/>
  <c r="V11" i="2"/>
  <c r="W11" i="2"/>
  <c r="X11" i="2"/>
  <c r="X109" i="2" s="1"/>
  <c r="M16" i="2"/>
  <c r="N16" i="2" s="1"/>
  <c r="N30" i="2" s="1"/>
  <c r="M15" i="2"/>
  <c r="N15" i="2" s="1"/>
  <c r="N29" i="2" s="1"/>
  <c r="Y29" i="2"/>
  <c r="Y30" i="2"/>
  <c r="X30" i="2"/>
  <c r="X29" i="2"/>
  <c r="V2" i="2"/>
  <c r="W2" i="2" s="1"/>
  <c r="X2" i="2" s="1"/>
  <c r="Y2" i="2" s="1"/>
  <c r="Z2" i="2" s="1"/>
  <c r="Z59" i="2"/>
  <c r="AA59" i="2" s="1"/>
  <c r="AB59" i="2" s="1"/>
  <c r="Y71" i="2"/>
  <c r="X71" i="2"/>
  <c r="L28" i="2"/>
  <c r="L13" i="2"/>
  <c r="L27" i="2"/>
  <c r="Z20" i="2"/>
  <c r="AB20" i="2" s="1"/>
  <c r="AC20" i="2" s="1"/>
  <c r="AD20" i="2" s="1"/>
  <c r="AE20" i="2" s="1"/>
  <c r="L24" i="2"/>
  <c r="M24" i="2" s="1"/>
  <c r="N24" i="2" s="1"/>
  <c r="Z24" i="2" s="1"/>
  <c r="AA24" i="2" s="1"/>
  <c r="AB24" i="2" s="1"/>
  <c r="AC24" i="2" s="1"/>
  <c r="AD24" i="2" s="1"/>
  <c r="AE24" i="2" s="1"/>
  <c r="K19" i="2"/>
  <c r="G19" i="2"/>
  <c r="H14" i="2"/>
  <c r="H32" i="2" s="1"/>
  <c r="I14" i="2"/>
  <c r="I32" i="2" s="1"/>
  <c r="J14" i="2"/>
  <c r="J32" i="2" s="1"/>
  <c r="H17" i="2"/>
  <c r="I17" i="2"/>
  <c r="J17" i="2"/>
  <c r="K17" i="2"/>
  <c r="G17" i="2"/>
  <c r="G14" i="2"/>
  <c r="T19" i="2"/>
  <c r="T17" i="2"/>
  <c r="T14" i="2"/>
  <c r="D112" i="2" s="1"/>
  <c r="X19" i="2"/>
  <c r="W19" i="2"/>
  <c r="Y19" i="2"/>
  <c r="V27" i="2"/>
  <c r="U27" i="2"/>
  <c r="W27" i="2"/>
  <c r="Y27" i="2"/>
  <c r="X27" i="2"/>
  <c r="V14" i="2"/>
  <c r="F112" i="2" s="1"/>
  <c r="W14" i="2"/>
  <c r="X14" i="2"/>
  <c r="H112" i="2" s="1"/>
  <c r="Y14" i="2"/>
  <c r="V17" i="2"/>
  <c r="W17" i="2"/>
  <c r="X17" i="2"/>
  <c r="Y17" i="2"/>
  <c r="V19" i="2"/>
  <c r="U19" i="2"/>
  <c r="U17" i="2"/>
  <c r="U14" i="2"/>
  <c r="Y50" i="2"/>
  <c r="Y36" i="2"/>
  <c r="Y70" i="2" s="1"/>
  <c r="K4" i="1"/>
  <c r="W32" i="2" l="1"/>
  <c r="G112" i="2"/>
  <c r="Y32" i="2"/>
  <c r="I112" i="2"/>
  <c r="U32" i="2"/>
  <c r="E112" i="2"/>
  <c r="AA2" i="2"/>
  <c r="AB2" i="2" s="1"/>
  <c r="AC2" i="2" s="1"/>
  <c r="AD2" i="2" s="1"/>
  <c r="AE2" i="2" s="1"/>
  <c r="K84" i="2"/>
  <c r="K86" i="2"/>
  <c r="G86" i="2"/>
  <c r="G84" i="2"/>
  <c r="K54" i="2"/>
  <c r="K55" i="2" s="1"/>
  <c r="M29" i="2"/>
  <c r="G54" i="2"/>
  <c r="G55" i="2" s="1"/>
  <c r="L30" i="2"/>
  <c r="L29" i="2"/>
  <c r="M30" i="2"/>
  <c r="L17" i="2"/>
  <c r="Z16" i="2"/>
  <c r="N17" i="2"/>
  <c r="Z15" i="2"/>
  <c r="AA15" i="2" s="1"/>
  <c r="AB15" i="2" s="1"/>
  <c r="AC15" i="2" s="1"/>
  <c r="AD15" i="2" s="1"/>
  <c r="AE15" i="2" s="1"/>
  <c r="M17" i="2"/>
  <c r="X86" i="2"/>
  <c r="Y86" i="2"/>
  <c r="AC59" i="2"/>
  <c r="K14" i="2"/>
  <c r="K18" i="2" s="1"/>
  <c r="K33" i="2" s="1"/>
  <c r="N27" i="2"/>
  <c r="L14" i="2"/>
  <c r="M27" i="2"/>
  <c r="K27" i="2"/>
  <c r="K28" i="2"/>
  <c r="N28" i="2"/>
  <c r="M28" i="2"/>
  <c r="N13" i="2"/>
  <c r="N14" i="2" s="1"/>
  <c r="M13" i="2"/>
  <c r="G18" i="2"/>
  <c r="G21" i="2" s="1"/>
  <c r="H18" i="2"/>
  <c r="H33" i="2" s="1"/>
  <c r="I18" i="2"/>
  <c r="I33" i="2" s="1"/>
  <c r="J18" i="2"/>
  <c r="J33" i="2" s="1"/>
  <c r="T18" i="2"/>
  <c r="T21" i="2" s="1"/>
  <c r="T23" i="2" s="1"/>
  <c r="G32" i="2"/>
  <c r="X18" i="2"/>
  <c r="V18" i="2"/>
  <c r="V21" i="2" s="1"/>
  <c r="X32" i="2"/>
  <c r="V32" i="2"/>
  <c r="U18" i="2"/>
  <c r="U21" i="2" s="1"/>
  <c r="Y18" i="2"/>
  <c r="W18" i="2"/>
  <c r="Y35" i="2"/>
  <c r="K7" i="1"/>
  <c r="AE29" i="2" l="1"/>
  <c r="AE27" i="2"/>
  <c r="AE13" i="2"/>
  <c r="AE14" i="2" s="1"/>
  <c r="L18" i="2"/>
  <c r="L21" i="2" s="1"/>
  <c r="L22" i="2" s="1"/>
  <c r="AA16" i="2"/>
  <c r="Z30" i="2"/>
  <c r="Z17" i="2"/>
  <c r="Z29" i="2"/>
  <c r="Z13" i="2"/>
  <c r="Z14" i="2" s="1"/>
  <c r="AD59" i="2"/>
  <c r="AE59" i="2" s="1"/>
  <c r="K32" i="2"/>
  <c r="M14" i="2"/>
  <c r="M18" i="2" s="1"/>
  <c r="M33" i="2" s="1"/>
  <c r="N18" i="2"/>
  <c r="N33" i="2" s="1"/>
  <c r="G23" i="2"/>
  <c r="H21" i="2"/>
  <c r="G33" i="2"/>
  <c r="J21" i="2"/>
  <c r="I21" i="2"/>
  <c r="K21" i="2"/>
  <c r="Z27" i="2"/>
  <c r="Z73" i="2" s="1"/>
  <c r="Y21" i="2"/>
  <c r="Y23" i="2" s="1"/>
  <c r="Y57" i="2" s="1"/>
  <c r="Y33" i="2"/>
  <c r="W21" i="2"/>
  <c r="W23" i="2" s="1"/>
  <c r="W33" i="2"/>
  <c r="X21" i="2"/>
  <c r="X33" i="2"/>
  <c r="V23" i="2"/>
  <c r="V57" i="2" s="1"/>
  <c r="Z32" i="2" l="1"/>
  <c r="L33" i="2"/>
  <c r="G25" i="2"/>
  <c r="G57" i="2"/>
  <c r="AA29" i="2"/>
  <c r="AB16" i="2"/>
  <c r="AA30" i="2"/>
  <c r="AA17" i="2"/>
  <c r="Z69" i="2"/>
  <c r="Z60" i="2"/>
  <c r="Z68" i="2"/>
  <c r="L23" i="2"/>
  <c r="K23" i="2"/>
  <c r="J23" i="2"/>
  <c r="J25" i="2" s="1"/>
  <c r="I23" i="2"/>
  <c r="I25" i="2" s="1"/>
  <c r="H23" i="2"/>
  <c r="H25" i="2" s="1"/>
  <c r="X23" i="2"/>
  <c r="X57" i="2" s="1"/>
  <c r="AA27" i="2"/>
  <c r="AA73" i="2" s="1"/>
  <c r="AA13" i="2"/>
  <c r="AA14" i="2" s="1"/>
  <c r="Y25" i="2"/>
  <c r="W57" i="2"/>
  <c r="W25" i="2"/>
  <c r="J112" i="2" l="1"/>
  <c r="K112" i="2"/>
  <c r="K25" i="2"/>
  <c r="K57" i="2"/>
  <c r="AC16" i="2"/>
  <c r="AB30" i="2"/>
  <c r="AB29" i="2"/>
  <c r="AB17" i="2"/>
  <c r="AA68" i="2"/>
  <c r="AA60" i="2"/>
  <c r="AA69" i="2"/>
  <c r="L25" i="2"/>
  <c r="L35" i="2"/>
  <c r="M19" i="2" s="1"/>
  <c r="X25" i="2"/>
  <c r="AB13" i="2"/>
  <c r="AB14" i="2" s="1"/>
  <c r="AB27" i="2"/>
  <c r="AB73" i="2" s="1"/>
  <c r="Z18" i="2"/>
  <c r="Z33" i="2" s="1"/>
  <c r="U23" i="2"/>
  <c r="U57" i="2" s="1"/>
  <c r="Y143" i="2" l="1"/>
  <c r="Z143" i="2"/>
  <c r="AD29" i="2"/>
  <c r="AC29" i="2"/>
  <c r="AD16" i="2"/>
  <c r="AC30" i="2"/>
  <c r="AC17" i="2"/>
  <c r="AB69" i="2"/>
  <c r="AB60" i="2"/>
  <c r="AB68" i="2"/>
  <c r="M21" i="2"/>
  <c r="M22" i="2" s="1"/>
  <c r="AC13" i="2"/>
  <c r="AC14" i="2" s="1"/>
  <c r="AC27" i="2"/>
  <c r="AC73" i="2" s="1"/>
  <c r="AD30" i="2" l="1"/>
  <c r="AE16" i="2"/>
  <c r="AD17" i="2"/>
  <c r="AC68" i="2"/>
  <c r="AC60" i="2"/>
  <c r="AC69" i="2"/>
  <c r="M23" i="2"/>
  <c r="M35" i="2" s="1"/>
  <c r="AD27" i="2"/>
  <c r="AD73" i="2" s="1"/>
  <c r="AE73" i="2" s="1"/>
  <c r="AD13" i="2"/>
  <c r="AD14" i="2" s="1"/>
  <c r="AC18" i="2"/>
  <c r="AB18" i="2"/>
  <c r="AB33" i="2" s="1"/>
  <c r="AA18" i="2"/>
  <c r="AA33" i="2" s="1"/>
  <c r="AE30" i="2" l="1"/>
  <c r="AE17" i="2"/>
  <c r="AE18" i="2" s="1"/>
  <c r="AE33" i="2" s="1"/>
  <c r="AD69" i="2"/>
  <c r="AE69" i="2" s="1"/>
  <c r="AD60" i="2"/>
  <c r="AE60" i="2" s="1"/>
  <c r="AD68" i="2"/>
  <c r="AE68" i="2" s="1"/>
  <c r="AD18" i="2"/>
  <c r="AD33" i="2" s="1"/>
  <c r="M25" i="2"/>
  <c r="AC33" i="2"/>
  <c r="N19" i="2" l="1"/>
  <c r="N21" i="2" l="1"/>
  <c r="N22" i="2" s="1"/>
  <c r="Z19" i="2"/>
  <c r="Z21" i="2" l="1"/>
  <c r="N23" i="2"/>
  <c r="N35" i="2" s="1"/>
  <c r="Z35" i="2" s="1"/>
  <c r="Z22" i="2"/>
  <c r="N25" i="2" l="1"/>
  <c r="Z23" i="2"/>
  <c r="AA19" i="2"/>
  <c r="AA21" i="2" s="1"/>
  <c r="AA22" i="2" s="1"/>
  <c r="AA35" i="2" l="1"/>
  <c r="AB19" i="2" s="1"/>
  <c r="AB21" i="2" s="1"/>
  <c r="AB22" i="2" s="1"/>
  <c r="AA23" i="2"/>
  <c r="Z25" i="2"/>
  <c r="Z57" i="2"/>
  <c r="Z71" i="2" s="1"/>
  <c r="Z86" i="2" s="1"/>
  <c r="AB35" i="2" l="1"/>
  <c r="AC19" i="2" s="1"/>
  <c r="AC21" i="2" s="1"/>
  <c r="AC22" i="2" s="1"/>
  <c r="AA57" i="2"/>
  <c r="AA71" i="2" s="1"/>
  <c r="AA86" i="2" s="1"/>
  <c r="AA25" i="2"/>
  <c r="AB23" i="2"/>
  <c r="AC35" i="2" l="1"/>
  <c r="AD19" i="2" s="1"/>
  <c r="AD21" i="2" s="1"/>
  <c r="AD22" i="2" s="1"/>
  <c r="AB25" i="2"/>
  <c r="AB57" i="2"/>
  <c r="AB71" i="2" s="1"/>
  <c r="AB86" i="2" s="1"/>
  <c r="AC23" i="2"/>
  <c r="AD35" i="2" l="1"/>
  <c r="AD23" i="2"/>
  <c r="AC57" i="2"/>
  <c r="AC71" i="2" s="1"/>
  <c r="AC86" i="2" s="1"/>
  <c r="AC25" i="2"/>
  <c r="AE19" i="2" l="1"/>
  <c r="AE21" i="2" s="1"/>
  <c r="AE22" i="2" s="1"/>
  <c r="AE23" i="2" s="1"/>
  <c r="AF23" i="2" s="1"/>
  <c r="AG23" i="2" s="1"/>
  <c r="AH23" i="2" s="1"/>
  <c r="AI23" i="2" s="1"/>
  <c r="AJ23" i="2" s="1"/>
  <c r="AE35" i="2"/>
  <c r="AD57" i="2"/>
  <c r="AD71" i="2" s="1"/>
  <c r="AD86" i="2" s="1"/>
  <c r="AD25" i="2"/>
  <c r="AE25" i="2" l="1"/>
  <c r="AE57" i="2"/>
  <c r="AE71" i="2" s="1"/>
  <c r="AE86" i="2" s="1"/>
  <c r="AF86" i="2" s="1"/>
  <c r="AG86" i="2" s="1"/>
  <c r="AH86" i="2" s="1"/>
  <c r="AI86" i="2" s="1"/>
  <c r="AJ86" i="2" s="1"/>
  <c r="AK86" i="2" s="1"/>
  <c r="AL86" i="2" l="1"/>
  <c r="AM86" i="2" s="1"/>
  <c r="AN86" i="2" s="1"/>
  <c r="AO86" i="2" s="1"/>
  <c r="AP86" i="2" s="1"/>
  <c r="AQ86" i="2" s="1"/>
  <c r="AR86" i="2" s="1"/>
  <c r="AS86" i="2" s="1"/>
  <c r="AT86" i="2" s="1"/>
  <c r="AU86" i="2" s="1"/>
  <c r="AV86" i="2" s="1"/>
  <c r="AW86" i="2" s="1"/>
  <c r="AX86" i="2" s="1"/>
  <c r="AY86" i="2" s="1"/>
  <c r="AZ86" i="2" s="1"/>
  <c r="BA86" i="2" s="1"/>
  <c r="BB86" i="2" s="1"/>
  <c r="BC86" i="2" s="1"/>
  <c r="BD86" i="2" s="1"/>
  <c r="BE86" i="2" s="1"/>
  <c r="BF86" i="2" s="1"/>
  <c r="BG86" i="2" s="1"/>
  <c r="BH86" i="2" s="1"/>
  <c r="BI86" i="2" s="1"/>
  <c r="BJ86" i="2" s="1"/>
  <c r="BK86" i="2" s="1"/>
  <c r="BL86" i="2" s="1"/>
  <c r="BM86" i="2" s="1"/>
  <c r="BN86" i="2" s="1"/>
  <c r="BO86" i="2" s="1"/>
  <c r="BP86" i="2" s="1"/>
  <c r="BQ86" i="2" s="1"/>
  <c r="BR86" i="2" s="1"/>
  <c r="BS86" i="2" s="1"/>
  <c r="BT86" i="2" s="1"/>
  <c r="BU86" i="2" s="1"/>
  <c r="BV86" i="2" s="1"/>
  <c r="BW86" i="2" s="1"/>
  <c r="BX86" i="2" s="1"/>
  <c r="BY86" i="2" s="1"/>
  <c r="BZ86" i="2" s="1"/>
  <c r="CA86" i="2" s="1"/>
  <c r="CB86" i="2" s="1"/>
  <c r="CC86" i="2" s="1"/>
  <c r="CD86" i="2" s="1"/>
  <c r="CE86" i="2" s="1"/>
  <c r="CF86" i="2" s="1"/>
  <c r="CG86" i="2" s="1"/>
  <c r="CH86" i="2" s="1"/>
  <c r="CI86" i="2" s="1"/>
  <c r="CJ86" i="2" s="1"/>
  <c r="CK86" i="2" s="1"/>
  <c r="CL86" i="2" s="1"/>
  <c r="CM86" i="2" s="1"/>
  <c r="CN86" i="2" s="1"/>
  <c r="CO86" i="2" s="1"/>
  <c r="CP86" i="2" s="1"/>
  <c r="CQ86" i="2" s="1"/>
  <c r="CR86" i="2" s="1"/>
  <c r="CS86" i="2" s="1"/>
  <c r="CT86" i="2" s="1"/>
  <c r="CU86" i="2" s="1"/>
  <c r="CV86" i="2" s="1"/>
  <c r="CW86" i="2" s="1"/>
  <c r="CX86" i="2" s="1"/>
  <c r="CY86" i="2" s="1"/>
  <c r="CZ86" i="2" s="1"/>
  <c r="DA86" i="2" s="1"/>
  <c r="DB86" i="2" s="1"/>
  <c r="DC86" i="2" s="1"/>
  <c r="DD86" i="2" s="1"/>
  <c r="DE86" i="2" s="1"/>
  <c r="DF86" i="2" s="1"/>
  <c r="DG86" i="2" s="1"/>
  <c r="DH86" i="2" s="1"/>
  <c r="DI86" i="2" s="1"/>
  <c r="DJ86" i="2" s="1"/>
  <c r="DK86" i="2" s="1"/>
  <c r="DL86" i="2" s="1"/>
  <c r="DM86" i="2" s="1"/>
  <c r="DN86" i="2" s="1"/>
  <c r="DO86" i="2" s="1"/>
  <c r="DP86" i="2" s="1"/>
  <c r="DQ86" i="2" s="1"/>
  <c r="DR86" i="2" s="1"/>
  <c r="DS86" i="2" s="1"/>
  <c r="DT86" i="2" s="1"/>
  <c r="DU86" i="2" s="1"/>
  <c r="DV86" i="2" s="1"/>
  <c r="DW86" i="2" s="1"/>
  <c r="DX86" i="2" s="1"/>
  <c r="DY86" i="2" s="1"/>
  <c r="DZ86" i="2" s="1"/>
  <c r="EA86" i="2" s="1"/>
  <c r="EB86" i="2" s="1"/>
  <c r="EC86" i="2" s="1"/>
  <c r="AK23" i="2"/>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BF23" i="2" s="1"/>
  <c r="BG23" i="2" s="1"/>
  <c r="BH23" i="2" s="1"/>
  <c r="BI23" i="2" s="1"/>
  <c r="BJ23" i="2" s="1"/>
  <c r="BK23" i="2" s="1"/>
  <c r="BL23" i="2" s="1"/>
  <c r="BM23" i="2" s="1"/>
  <c r="BN23" i="2" s="1"/>
  <c r="BO23" i="2" s="1"/>
  <c r="BP23" i="2" s="1"/>
  <c r="BQ23" i="2" s="1"/>
  <c r="BR23" i="2" s="1"/>
  <c r="BS23" i="2" s="1"/>
  <c r="BT23" i="2" s="1"/>
  <c r="BU23" i="2" s="1"/>
  <c r="BV23" i="2" s="1"/>
  <c r="BW23" i="2" s="1"/>
  <c r="BX23" i="2" s="1"/>
  <c r="BY23" i="2" s="1"/>
  <c r="BZ23" i="2" s="1"/>
  <c r="CA23" i="2" s="1"/>
  <c r="CB23" i="2" s="1"/>
  <c r="CC23" i="2" s="1"/>
  <c r="CD23" i="2" s="1"/>
  <c r="CE23" i="2" s="1"/>
  <c r="CF23" i="2" s="1"/>
  <c r="CG23" i="2" s="1"/>
  <c r="CH23" i="2" s="1"/>
  <c r="CI23" i="2" s="1"/>
  <c r="CJ23" i="2" s="1"/>
  <c r="CK23" i="2" s="1"/>
  <c r="CL23" i="2" s="1"/>
  <c r="CM23" i="2" s="1"/>
  <c r="CN23" i="2" s="1"/>
  <c r="CO23" i="2" s="1"/>
  <c r="CP23" i="2" s="1"/>
  <c r="CQ23" i="2" s="1"/>
  <c r="CR23" i="2" s="1"/>
  <c r="CS23" i="2" s="1"/>
  <c r="CT23" i="2" s="1"/>
  <c r="CU23" i="2" s="1"/>
  <c r="CV23" i="2" s="1"/>
  <c r="CW23" i="2" s="1"/>
  <c r="CX23" i="2" s="1"/>
  <c r="CY23" i="2" s="1"/>
  <c r="CZ23" i="2" s="1"/>
  <c r="DA23" i="2" s="1"/>
  <c r="DB23" i="2" s="1"/>
  <c r="DC23" i="2" s="1"/>
  <c r="DD23" i="2" s="1"/>
  <c r="DE23" i="2" s="1"/>
  <c r="DF23" i="2" s="1"/>
  <c r="DG23" i="2" s="1"/>
  <c r="DH23" i="2" s="1"/>
  <c r="DI23" i="2" s="1"/>
  <c r="DJ23" i="2" s="1"/>
  <c r="DK23" i="2" s="1"/>
  <c r="DL23" i="2" s="1"/>
  <c r="DM23" i="2" s="1"/>
  <c r="DN23" i="2" s="1"/>
  <c r="DO23" i="2" s="1"/>
  <c r="DP23" i="2" s="1"/>
  <c r="DQ23" i="2" s="1"/>
  <c r="DR23" i="2" s="1"/>
  <c r="DS23" i="2" s="1"/>
  <c r="DT23" i="2" s="1"/>
  <c r="DU23" i="2" s="1"/>
  <c r="DV23" i="2" s="1"/>
  <c r="DW23" i="2" s="1"/>
  <c r="DX23" i="2" s="1"/>
  <c r="DY23" i="2" s="1"/>
  <c r="DZ23" i="2" s="1"/>
  <c r="EA23" i="2" s="1"/>
  <c r="EB23" i="2" s="1"/>
  <c r="EC23" i="2" s="1"/>
  <c r="ED23" i="2" s="1"/>
  <c r="EE23" i="2" s="1"/>
  <c r="EF23" i="2" s="1"/>
  <c r="EG23" i="2" s="1"/>
  <c r="EH23" i="2" s="1"/>
  <c r="EI23" i="2" s="1"/>
  <c r="EJ23" i="2" s="1"/>
  <c r="EK23" i="2" s="1"/>
  <c r="EL23" i="2" s="1"/>
  <c r="EM23" i="2" s="1"/>
  <c r="EN23" i="2" s="1"/>
  <c r="EO23" i="2" s="1"/>
  <c r="EP23" i="2" s="1"/>
  <c r="EQ23" i="2" s="1"/>
  <c r="ER23" i="2" s="1"/>
  <c r="ES23" i="2" s="1"/>
  <c r="ET23" i="2" s="1"/>
  <c r="EU23" i="2" s="1"/>
  <c r="AH28" i="2" s="1"/>
  <c r="AH29" i="2" l="1"/>
  <c r="AH3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tc={8D6A7BA6-00D4-411D-8C05-C13D231C4EFA}</author>
    <author>tc={C36B590C-4CAD-4746-90B3-03B2021337AB}</author>
    <author>tc={7E11744B-D5AB-4208-9165-DA43F82432E9}</author>
    <author>tc={6E6AA0E4-A083-46CE-8C20-0F4728641208}</author>
    <author>tc={72432F4D-6F91-4599-9E61-81174CFC4348}</author>
    <author>tc={97242C66-D6D4-4AA4-B5B1-A8D9F56E36B0}</author>
    <author>tc={7D3D3D17-15FE-4C11-8E03-8EE4BB1CADE6}</author>
    <author>tc={598DF252-0DEA-4867-8B51-7B510210E98B}</author>
    <author>tc={C7C042C3-7599-42DD-9EB9-2077AD8947BB}</author>
    <author>tc={F969E2A9-1FE4-45B7-A915-EC3DB5A47E83}</author>
    <author>tc={A344D5F9-9462-4846-9511-9CDFF430F99C}</author>
    <author>tc={9864907A-FBCE-45F7-93EC-36BB6B69BFEE}</author>
    <author>tc={CC1F3F03-4D80-4BCD-B760-092A2A6F9091}</author>
    <author>tc={2402A049-3A5A-434C-8F38-DD4D50FE53B6}</author>
    <author>tc={8CC96091-4248-467C-829F-DE510061A110}</author>
  </authors>
  <commentList>
    <comment ref="K3" authorId="0" shapeId="0" xr:uid="{8D6A7BA6-00D4-411D-8C05-C13D231C4EFA}">
      <text>
        <t>[Threaded comment]
Your version of Excel allows you to read this threaded comment; however, any edits to it will get removed if the file is opened in a newer version of Excel. Learn more: https://go.microsoft.com/fwlink/?linkid=870924
Comment:
    Would be 7b</t>
      </text>
    </comment>
    <comment ref="L3" authorId="1" shapeId="0" xr:uid="{C36B590C-4CAD-4746-90B3-03B2021337AB}">
      <text>
        <t>[Threaded comment]
Your version of Excel allows you to read this threaded comment; however, any edits to it will get removed if the file is opened in a newer version of Excel. Learn more: https://go.microsoft.com/fwlink/?linkid=870924
Comment:
    Would be 8b</t>
      </text>
    </comment>
    <comment ref="K11" authorId="2" shapeId="0" xr:uid="{7E11744B-D5AB-4208-9165-DA43F82432E9}">
      <text>
        <t>[Threaded comment]
Your version of Excel allows you to read this threaded comment; however, any edits to it will get removed if the file is opened in a newer version of Excel. Learn more: https://go.microsoft.com/fwlink/?linkid=870924
Comment:
    Blackwell 70% of rev</t>
      </text>
    </comment>
    <comment ref="L12" authorId="3" shapeId="0" xr:uid="{6E6AA0E4-A083-46CE-8C20-0F4728641208}">
      <text>
        <t>[Threaded comment]
Your version of Excel allows you to read this threaded comment; however, any edits to it will get removed if the file is opened in a newer version of Excel. Learn more: https://go.microsoft.com/fwlink/?linkid=870924
Comment:
    guidance
Reply:
    “loss of 8billion of H20 revenue due to export control limitations”
Reply:
    “unable to ship additional 2.5b of H20 in 1st quarter”
Reply:
    Should’ve been 53,000? In Q2</t>
      </text>
    </comment>
    <comment ref="M12" authorId="4" shapeId="0" xr:uid="{72432F4D-6F91-4599-9E61-81174CFC4348}">
      <text>
        <t>[Threaded comment]
Your version of Excel allows you to read this threaded comment; however, any edits to it will get removed if the file is opened in a newer version of Excel. Learn more: https://go.microsoft.com/fwlink/?linkid=870924
Comment:
    “no H20 guidance”</t>
      </text>
    </comment>
    <comment ref="L17" authorId="5" shapeId="0" xr:uid="{97242C66-D6D4-4AA4-B5B1-A8D9F56E36B0}">
      <text>
        <t xml:space="preserve">[Threaded comment]
Your version of Excel allows you to read this threaded comment; however, any edits to it will get removed if the file is opened in a newer version of Excel. Learn more: https://go.microsoft.com/fwlink/?linkid=870924
Comment:
    5.7b guidance
</t>
      </text>
    </comment>
    <comment ref="L22" authorId="6" shapeId="0" xr:uid="{7D3D3D17-15FE-4C11-8E03-8EE4BB1CADE6}">
      <text>
        <t>[Threaded comment]
Your version of Excel allows you to read this threaded comment; however, any edits to it will get removed if the file is opened in a newer version of Excel. Learn more: https://go.microsoft.com/fwlink/?linkid=870924
Comment:
    16.5% guidance</t>
      </text>
    </comment>
    <comment ref="H117" authorId="7" shapeId="0" xr:uid="{598DF252-0DEA-4867-8B51-7B510210E98B}">
      <text>
        <t>[Threaded comment]
Your version of Excel allows you to read this threaded comment; however, any edits to it will get removed if the file is opened in a newer version of Excel. Learn more: https://go.microsoft.com/fwlink/?linkid=870924
Comment:
    Raised 6B Series B</t>
      </text>
    </comment>
    <comment ref="J117" authorId="8" shapeId="0" xr:uid="{C7C042C3-7599-42DD-9EB9-2077AD8947BB}">
      <text>
        <t>[Threaded comment]
Your version of Excel allows you to read this threaded comment; however, any edits to it will get removed if the file is opened in a newer version of Excel. Learn more: https://go.microsoft.com/fwlink/?linkid=870924
Comment:
    Raised 6B Series C</t>
      </text>
    </comment>
    <comment ref="L117" authorId="9" shapeId="0" xr:uid="{F969E2A9-1FE4-45B7-A915-EC3DB5A47E83}">
      <text>
        <t>[Threaded comment]
Your version of Excel allows you to read this threaded comment; however, any edits to it will get removed if the file is opened in a newer version of Excel. Learn more: https://go.microsoft.com/fwlink/?linkid=870924
Comment:
    Raised 10.3B, 5.3B equity, 5.0B debt</t>
      </text>
    </comment>
    <comment ref="I118" authorId="10" shapeId="0" xr:uid="{A344D5F9-9462-4846-9511-9CDFF430F99C}">
      <text>
        <t>[Threaded comment]
Your version of Excel allows you to read this threaded comment; however, any edits to it will get removed if the file is opened in a newer version of Excel. Learn more: https://go.microsoft.com/fwlink/?linkid=870924
Comment:
    Raised $4B from Amazon</t>
      </text>
    </comment>
    <comment ref="J118" authorId="11" shapeId="0" xr:uid="{9864907A-FBCE-45F7-93EC-36BB6B69BFEE}">
      <text>
        <t>[Threaded comment]
Your version of Excel allows you to read this threaded comment; however, any edits to it will get removed if the file is opened in a newer version of Excel. Learn more: https://go.microsoft.com/fwlink/?linkid=870924
Comment:
    Raised $1B from Google</t>
      </text>
    </comment>
    <comment ref="K118" authorId="12" shapeId="0" xr:uid="{CC1F3F03-4D80-4BCD-B760-092A2A6F9091}">
      <text>
        <t>[Threaded comment]
Your version of Excel allows you to read this threaded comment; however, any edits to it will get removed if the file is opened in a newer version of Excel. Learn more: https://go.microsoft.com/fwlink/?linkid=870924
Comment:
    Raised 6B: 3.5B Series E, 2.5B debt</t>
      </text>
    </comment>
    <comment ref="J122" authorId="13" shapeId="0" xr:uid="{2402A049-3A5A-434C-8F38-DD4D50FE53B6}">
      <text>
        <t>[Threaded comment]
Your version of Excel allows you to read this threaded comment; however, any edits to it will get removed if the file is opened in a newer version of Excel. Learn more: https://go.microsoft.com/fwlink/?linkid=870924
Comment:
    Raised 10.6B in equity/debt</t>
      </text>
    </comment>
    <comment ref="K122" authorId="14" shapeId="0" xr:uid="{8CC96091-4248-467C-829F-DE510061A110}">
      <text>
        <t>[Threaded comment]
Your version of Excel allows you to read this threaded comment; however, any edits to it will get removed if the file is opened in a newer version of Excel. Learn more: https://go.microsoft.com/fwlink/?linkid=870924
Comment:
    Raised 40B from SoftBank/others</t>
      </text>
    </comment>
  </commentList>
</comments>
</file>

<file path=xl/sharedStrings.xml><?xml version="1.0" encoding="utf-8"?>
<sst xmlns="http://schemas.openxmlformats.org/spreadsheetml/2006/main" count="222" uniqueCount="197">
  <si>
    <t>Price</t>
  </si>
  <si>
    <t>Shares</t>
  </si>
  <si>
    <t>MC</t>
  </si>
  <si>
    <t>Cash</t>
  </si>
  <si>
    <t>Debt</t>
  </si>
  <si>
    <t>EV</t>
  </si>
  <si>
    <t>Revenue</t>
  </si>
  <si>
    <t>COGS</t>
  </si>
  <si>
    <t>Gross Profit</t>
  </si>
  <si>
    <t>R&amp;D</t>
  </si>
  <si>
    <t>SG&amp;A</t>
  </si>
  <si>
    <t>Operating Income</t>
  </si>
  <si>
    <t>Other</t>
  </si>
  <si>
    <t>Pretax Income</t>
  </si>
  <si>
    <t>Tax</t>
  </si>
  <si>
    <t>Net Income</t>
  </si>
  <si>
    <t>EPS</t>
  </si>
  <si>
    <t>Revenue Growth y/y</t>
  </si>
  <si>
    <t>Revenue Growth q/q</t>
  </si>
  <si>
    <t>Gross Margin</t>
  </si>
  <si>
    <t>Q125</t>
  </si>
  <si>
    <t>Net Cash</t>
  </si>
  <si>
    <t>AR</t>
  </si>
  <si>
    <t>AP</t>
  </si>
  <si>
    <t>NPV</t>
  </si>
  <si>
    <t>Maturity</t>
  </si>
  <si>
    <t>ROIC</t>
  </si>
  <si>
    <t>Discount</t>
  </si>
  <si>
    <t>Model NI</t>
  </si>
  <si>
    <t>Reported NI</t>
  </si>
  <si>
    <t>Q425</t>
  </si>
  <si>
    <t>Q225</t>
  </si>
  <si>
    <t>Q325</t>
  </si>
  <si>
    <t>Operating Margin</t>
  </si>
  <si>
    <t>Main</t>
  </si>
  <si>
    <t>Hopper</t>
  </si>
  <si>
    <t>Blackwell 2025</t>
  </si>
  <si>
    <t>Rubin Ultra 2027</t>
  </si>
  <si>
    <t>60% improvement on hopper</t>
  </si>
  <si>
    <t>CFFO</t>
  </si>
  <si>
    <t>FCF</t>
  </si>
  <si>
    <t>HUMAIN partnership</t>
  </si>
  <si>
    <t>Foxconn Taiwan AI factory supercomputer</t>
  </si>
  <si>
    <t>NVLink Fusion</t>
  </si>
  <si>
    <t>NVIDIA Spectrum-X * NVIDIA Quantum-X</t>
  </si>
  <si>
    <t>DGX SuperPOD</t>
  </si>
  <si>
    <t>Google joint-initiative</t>
  </si>
  <si>
    <t>NVIDIA inference software integration w/ Oracle</t>
  </si>
  <si>
    <t>NVIDIA Blackwell cloud now available on AWS, Google Cloud, Azure, Oracle Cloud</t>
  </si>
  <si>
    <t>DGX Cloud Lepton</t>
  </si>
  <si>
    <t>Llama Nemotron</t>
  </si>
  <si>
    <t>NVIDIA AI Data Platform</t>
  </si>
  <si>
    <t>Professional Visualization</t>
  </si>
  <si>
    <t>Automotive &amp; Robotics</t>
  </si>
  <si>
    <t>Inventories</t>
  </si>
  <si>
    <t>OLL</t>
  </si>
  <si>
    <t>OLTL</t>
  </si>
  <si>
    <t>L+SE</t>
  </si>
  <si>
    <t>SE</t>
  </si>
  <si>
    <t>Assets</t>
  </si>
  <si>
    <t>Stargate UAE 500B project</t>
  </si>
  <si>
    <t>SBC</t>
  </si>
  <si>
    <t>D&amp;A</t>
  </si>
  <si>
    <t>DT</t>
  </si>
  <si>
    <t>Gains on Securities</t>
  </si>
  <si>
    <t>Prepaids</t>
  </si>
  <si>
    <t>Accrued Liabilties</t>
  </si>
  <si>
    <t>PP&amp;E</t>
  </si>
  <si>
    <t>Is the NVDA ecosystem driving the value? (CUDA, etc.)</t>
  </si>
  <si>
    <t>How copyable is their ecosystem?</t>
  </si>
  <si>
    <t>Will AI be executed in the near-term to justify big-tech CAPEX?</t>
  </si>
  <si>
    <t>Can the entire economy find AI producitvity uses or are they more long term?</t>
  </si>
  <si>
    <t>Read</t>
  </si>
  <si>
    <t>Relevance</t>
  </si>
  <si>
    <t>Topic</t>
  </si>
  <si>
    <t>Title</t>
  </si>
  <si>
    <t>Operating Expenses</t>
  </si>
  <si>
    <t>R&amp;D y/y</t>
  </si>
  <si>
    <t>SG&amp;A y/y</t>
  </si>
  <si>
    <t>Q126</t>
  </si>
  <si>
    <t>Q226</t>
  </si>
  <si>
    <t>Q326</t>
  </si>
  <si>
    <t>Q426</t>
  </si>
  <si>
    <t>Q127</t>
  </si>
  <si>
    <t>Q227</t>
  </si>
  <si>
    <t>Q327</t>
  </si>
  <si>
    <t>Q427</t>
  </si>
  <si>
    <t>Feynman 2028</t>
  </si>
  <si>
    <t>Are AI data centers even going to increase productivity in the short-term? What are the use cases?</t>
  </si>
  <si>
    <t>OLA</t>
  </si>
  <si>
    <t>GW</t>
  </si>
  <si>
    <t>Intangible Assets</t>
  </si>
  <si>
    <t>Other Assets</t>
  </si>
  <si>
    <t>Accured Liablities</t>
  </si>
  <si>
    <t>Liabilities</t>
  </si>
  <si>
    <t>Interest Income</t>
  </si>
  <si>
    <t xml:space="preserve">Other </t>
  </si>
  <si>
    <t>WC</t>
  </si>
  <si>
    <t>CapEx</t>
  </si>
  <si>
    <t>Investments</t>
  </si>
  <si>
    <t>CFFI</t>
  </si>
  <si>
    <t>CFFF</t>
  </si>
  <si>
    <t>FX</t>
  </si>
  <si>
    <t>CIC</t>
  </si>
  <si>
    <t>Acquistions</t>
  </si>
  <si>
    <t>Buybacks</t>
  </si>
  <si>
    <t>Dividends</t>
  </si>
  <si>
    <t>Compensation</t>
  </si>
  <si>
    <t>Q124</t>
  </si>
  <si>
    <t>Q224</t>
  </si>
  <si>
    <t>Q324</t>
  </si>
  <si>
    <t>Q424</t>
  </si>
  <si>
    <t>"we are unable to ship an addition 2.5b in first quarter"</t>
  </si>
  <si>
    <t>NVDA able to ship H20 to china again</t>
  </si>
  <si>
    <t>B30 for china being made; B30 75% faster</t>
  </si>
  <si>
    <t>Q1 H20 shouldve been 7b but couldn’t ship 2.5b Q2 was 8b of orders</t>
  </si>
  <si>
    <t>Q2 w/ H20 guidance would be 53b instead of 45b</t>
  </si>
  <si>
    <t>Short-term looks strong how about long term?</t>
  </si>
  <si>
    <t>Reasoning AI takes a lot more compute means more demand and need for faster GPUs</t>
  </si>
  <si>
    <t>H20/B30 (China)</t>
  </si>
  <si>
    <t>MVLink</t>
  </si>
  <si>
    <t>Share</t>
  </si>
  <si>
    <t>A/R</t>
  </si>
  <si>
    <t>B100,B200</t>
  </si>
  <si>
    <t>H100</t>
  </si>
  <si>
    <t>How will AI improve efficiency on tasks other than compute? What do they need to do</t>
  </si>
  <si>
    <t>Current AI Tasks</t>
  </si>
  <si>
    <t>Future AI Tasks</t>
  </si>
  <si>
    <t>Robotaxi</t>
  </si>
  <si>
    <t>Image recognition</t>
  </si>
  <si>
    <t>Image generation</t>
  </si>
  <si>
    <t>Low-level code</t>
  </si>
  <si>
    <t>Chatbot</t>
  </si>
  <si>
    <t>Long-horizon tasks</t>
  </si>
  <si>
    <t>Meta CapEx</t>
  </si>
  <si>
    <t>Oracle CapEx</t>
  </si>
  <si>
    <t>Not enough electricity to expand AI enough currently without very large energy growth</t>
  </si>
  <si>
    <t>AI Growth Problems</t>
  </si>
  <si>
    <t>Large projects like Stargate struggle to get funding</t>
  </si>
  <si>
    <t>1. big AI infrastructure delaying building/funding</t>
  </si>
  <si>
    <t>2. very limited current AI applications; betting on future-theoreticals</t>
  </si>
  <si>
    <t>3. priced in to supply all AI infrastructure already and for all these projects to get funded</t>
  </si>
  <si>
    <t>problems:</t>
  </si>
  <si>
    <t>4. wavering macro</t>
  </si>
  <si>
    <t>5. long-term margins?</t>
  </si>
  <si>
    <t>6. lots of electricity and grid infrastructure needed to support growth</t>
  </si>
  <si>
    <t>https://economics.mit.edu/sites/default/files/2024-04/The%20Simple%20Macroeconomics%20of%20AI.pdf</t>
  </si>
  <si>
    <t>Economics of AI</t>
  </si>
  <si>
    <t>7. not enough near term AI productivity use-cases to justify investments</t>
  </si>
  <si>
    <t>8. many tasks currently able to be replaced by AI for productivity gain are not worth automating due to the high GPU pricing which would require margins to come down a lot</t>
  </si>
  <si>
    <t>CEO: Jensen Huang</t>
  </si>
  <si>
    <t>Main Problem</t>
  </si>
  <si>
    <t>AI currently hasn't developed better than entry-level automation and for current valuations and future growth it needs to develop but what is the time-frame and will NVDA be dominant by then and does it even matter for NVDA when these companies believe that by increasing spending and compute they can further AI to automate higher-level jobs. So the main question is can NVDA be dominant and sustain margins for a long-enough period for this to develop?</t>
  </si>
  <si>
    <t>H100 Volume</t>
  </si>
  <si>
    <t>Rubin 2H26</t>
  </si>
  <si>
    <t>Blackwell Ultra 2H25</t>
  </si>
  <si>
    <t xml:space="preserve">  Compute</t>
  </si>
  <si>
    <t xml:space="preserve">  Networking</t>
  </si>
  <si>
    <t xml:space="preserve">Gaming </t>
  </si>
  <si>
    <t xml:space="preserve">Data Center </t>
  </si>
  <si>
    <t>B200/B300 Volume</t>
  </si>
  <si>
    <t>B200/B300 ASP</t>
  </si>
  <si>
    <t xml:space="preserve">H100 ASP </t>
  </si>
  <si>
    <t>Meta</t>
  </si>
  <si>
    <t>Google</t>
  </si>
  <si>
    <t>GCP</t>
  </si>
  <si>
    <t>OpenAI</t>
  </si>
  <si>
    <t>Microsoft</t>
  </si>
  <si>
    <t>Azure</t>
  </si>
  <si>
    <t>AWS</t>
  </si>
  <si>
    <t>Amazon AI</t>
  </si>
  <si>
    <t>Lambda</t>
  </si>
  <si>
    <t>Coreweave</t>
  </si>
  <si>
    <t>Tesla/X</t>
  </si>
  <si>
    <t>Academics</t>
  </si>
  <si>
    <t>Government</t>
  </si>
  <si>
    <t>Oracle</t>
  </si>
  <si>
    <t>IBM</t>
  </si>
  <si>
    <t>Anthropic</t>
  </si>
  <si>
    <t>Bytedance</t>
  </si>
  <si>
    <t>Total</t>
  </si>
  <si>
    <t>Diff</t>
  </si>
  <si>
    <t>Forecast</t>
  </si>
  <si>
    <t>Data Center</t>
  </si>
  <si>
    <t>xAI</t>
  </si>
  <si>
    <t>MSFT CapEx</t>
  </si>
  <si>
    <t>GOOG CapEx</t>
  </si>
  <si>
    <t>AMZN CapEx</t>
  </si>
  <si>
    <t>CoreWeave</t>
  </si>
  <si>
    <t>MSFT</t>
  </si>
  <si>
    <t>AMZN</t>
  </si>
  <si>
    <t>AI CapEx</t>
  </si>
  <si>
    <t>Actual</t>
  </si>
  <si>
    <t>Accuracy</t>
  </si>
  <si>
    <t>Big Tech CapEx</t>
  </si>
  <si>
    <t>% of CapEx is AI</t>
  </si>
  <si>
    <t>GOOGL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</si>
</sst>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1"/>
      <color theme="10"/>
      <name val="Aptos Narrow"/>
      <family val="2"/>
      <scheme val="minor"/>
    </font>
    <font>
      <b/>
      <sz val="10"/>
      <color theme="1"/>
      <name val="Arial"/>
      <family val="2"/>
    </font>
    <font>
      <b/>
      <u/>
      <sz val="10"/>
      <color theme="1"/>
      <name val="Arial"/>
      <family val="2"/>
    </font>
    <font>
      <u/>
      <sz val="10"/>
      <color theme="10"/>
      <name val="Arial"/>
      <family val="2"/>
    </font>
    <font>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39">
    <xf numFmtId="0" fontId="0" fillId="0" borderId="0" xfId="0"/>
    <xf numFmtId="3" fontId="16" fillId="0" borderId="0" xfId="0" applyNumberFormat="1" applyFont="1"/>
    <xf numFmtId="3" fontId="18" fillId="0" borderId="0" xfId="0" applyNumberFormat="1" applyFont="1"/>
    <xf numFmtId="4" fontId="16" fillId="0" borderId="0" xfId="0" applyNumberFormat="1" applyFont="1"/>
    <xf numFmtId="9" fontId="18" fillId="0" borderId="0" xfId="0" applyNumberFormat="1" applyFont="1"/>
    <xf numFmtId="0" fontId="18" fillId="0" borderId="0" xfId="0" applyFont="1"/>
    <xf numFmtId="0" fontId="16" fillId="0" borderId="0" xfId="0" applyFont="1"/>
    <xf numFmtId="0" fontId="15" fillId="0" borderId="0" xfId="0" applyFont="1"/>
    <xf numFmtId="0" fontId="19" fillId="0" borderId="0" xfId="0" applyFont="1"/>
    <xf numFmtId="3" fontId="20" fillId="0" borderId="0" xfId="1" applyNumberFormat="1" applyFont="1"/>
    <xf numFmtId="0" fontId="14" fillId="0" borderId="0" xfId="0" applyFont="1"/>
    <xf numFmtId="0" fontId="20" fillId="0" borderId="0" xfId="1"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17" fillId="0" borderId="0" xfId="1"/>
    <xf numFmtId="0" fontId="4" fillId="0" borderId="0" xfId="0" applyFont="1"/>
    <xf numFmtId="0" fontId="3" fillId="0" borderId="0" xfId="0" applyFont="1"/>
    <xf numFmtId="4" fontId="18" fillId="0" borderId="0" xfId="0" applyNumberFormat="1" applyFont="1"/>
    <xf numFmtId="0" fontId="2" fillId="0" borderId="0" xfId="0" applyFont="1"/>
    <xf numFmtId="3" fontId="1" fillId="0" borderId="0" xfId="0" applyNumberFormat="1" applyFont="1"/>
    <xf numFmtId="0" fontId="1" fillId="0" borderId="0" xfId="0" applyFont="1"/>
    <xf numFmtId="0" fontId="18" fillId="0" borderId="0" xfId="0" applyFont="1" applyAlignment="1">
      <alignment horizontal="right"/>
    </xf>
    <xf numFmtId="14" fontId="1" fillId="0" borderId="0" xfId="0" applyNumberFormat="1" applyFont="1"/>
    <xf numFmtId="9" fontId="1" fillId="0" borderId="0" xfId="0" applyNumberFormat="1" applyFont="1"/>
    <xf numFmtId="1" fontId="1" fillId="0" borderId="0" xfId="0" applyNumberFormat="1" applyFont="1"/>
    <xf numFmtId="4" fontId="1" fillId="0" borderId="0" xfId="0" applyNumberFormat="1" applyFont="1"/>
    <xf numFmtId="164" fontId="1" fillId="0" borderId="0" xfId="0" applyNumberFormat="1" applyFont="1"/>
    <xf numFmtId="0" fontId="1" fillId="0" borderId="0" xfId="0" applyFont="1" applyAlignment="1">
      <alignment horizontal="right"/>
    </xf>
    <xf numFmtId="3" fontId="1" fillId="0" borderId="0" xfId="0" applyNumberFormat="1" applyFont="1" applyAlignment="1">
      <alignment horizontal="right"/>
    </xf>
    <xf numFmtId="9" fontId="1" fillId="0" borderId="0" xfId="0" applyNumberFormat="1" applyFont="1" applyAlignment="1">
      <alignment horizontal="right"/>
    </xf>
    <xf numFmtId="164" fontId="1" fillId="0" borderId="0" xfId="0" applyNumberFormat="1" applyFont="1" applyAlignment="1">
      <alignment horizontal="right"/>
    </xf>
    <xf numFmtId="1" fontId="18"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609600</xdr:colOff>
      <xdr:row>1</xdr:row>
      <xdr:rowOff>9525</xdr:rowOff>
    </xdr:from>
    <xdr:to>
      <xdr:col>11</xdr:col>
      <xdr:colOff>0</xdr:colOff>
      <xdr:row>152</xdr:row>
      <xdr:rowOff>28575</xdr:rowOff>
    </xdr:to>
    <xdr:cxnSp macro="">
      <xdr:nvCxnSpPr>
        <xdr:cNvPr id="3" name="Straight Connector 2">
          <a:extLst>
            <a:ext uri="{FF2B5EF4-FFF2-40B4-BE49-F238E27FC236}">
              <a16:creationId xmlns:a16="http://schemas.microsoft.com/office/drawing/2014/main" id="{B378CE67-E160-B97F-9ED5-8075185E0983}"/>
            </a:ext>
          </a:extLst>
        </xdr:cNvPr>
        <xdr:cNvCxnSpPr/>
      </xdr:nvCxnSpPr>
      <xdr:spPr>
        <a:xfrm>
          <a:off x="7381875" y="171450"/>
          <a:ext cx="19050" cy="24793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xdr:row>
      <xdr:rowOff>0</xdr:rowOff>
    </xdr:from>
    <xdr:to>
      <xdr:col>25</xdr:col>
      <xdr:colOff>7327</xdr:colOff>
      <xdr:row>153</xdr:row>
      <xdr:rowOff>123825</xdr:rowOff>
    </xdr:to>
    <xdr:cxnSp macro="">
      <xdr:nvCxnSpPr>
        <xdr:cNvPr id="4" name="Straight Connector 3">
          <a:extLst>
            <a:ext uri="{FF2B5EF4-FFF2-40B4-BE49-F238E27FC236}">
              <a16:creationId xmlns:a16="http://schemas.microsoft.com/office/drawing/2014/main" id="{85C79990-BAC3-448E-9B59-F20A57DBC028}"/>
            </a:ext>
          </a:extLst>
        </xdr:cNvPr>
        <xdr:cNvCxnSpPr/>
      </xdr:nvCxnSpPr>
      <xdr:spPr>
        <a:xfrm flipH="1">
          <a:off x="16221075" y="161925"/>
          <a:ext cx="7327" cy="250602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390525</xdr:colOff>
      <xdr:row>32</xdr:row>
      <xdr:rowOff>9525</xdr:rowOff>
    </xdr:from>
    <xdr:to>
      <xdr:col>13</xdr:col>
      <xdr:colOff>209130</xdr:colOff>
      <xdr:row>57</xdr:row>
      <xdr:rowOff>56986</xdr:rowOff>
    </xdr:to>
    <xdr:pic>
      <xdr:nvPicPr>
        <xdr:cNvPr id="2" name="Picture 1">
          <a:extLst>
            <a:ext uri="{FF2B5EF4-FFF2-40B4-BE49-F238E27FC236}">
              <a16:creationId xmlns:a16="http://schemas.microsoft.com/office/drawing/2014/main" id="{27FE40E9-2D00-B681-A338-5FECA8C97AA0}"/>
            </a:ext>
          </a:extLst>
        </xdr:cNvPr>
        <xdr:cNvPicPr>
          <a:picLocks noChangeAspect="1"/>
        </xdr:cNvPicPr>
      </xdr:nvPicPr>
      <xdr:blipFill>
        <a:blip xmlns:r="http://schemas.openxmlformats.org/officeDocument/2006/relationships" r:embed="rId1"/>
        <a:stretch>
          <a:fillRect/>
        </a:stretch>
      </xdr:blipFill>
      <xdr:spPr>
        <a:xfrm>
          <a:off x="723900" y="5191125"/>
          <a:ext cx="7505280" cy="40955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9624E78D-F64B-4604-8EA1-28368E38DBC9}" userId="9ffda80931a57275" providerId="Windows Live"/>
  <person displayName="Liam R" id="{7BA57726-1A28-4F09-A828-A7B9F4B7C04C}"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3" dT="2025-08-14T03:34:33.72" personId="{7BA57726-1A28-4F09-A828-A7B9F4B7C04C}" id="{8D6A7BA6-00D4-411D-8C05-C13D231C4EFA}">
    <text>Would be 7b</text>
  </threadedComment>
  <threadedComment ref="L3" dT="2025-08-14T03:34:12.08" personId="{7BA57726-1A28-4F09-A828-A7B9F4B7C04C}" id="{C36B590C-4CAD-4746-90B3-03B2021337AB}">
    <text>Would be 8b</text>
  </threadedComment>
  <threadedComment ref="K11" dT="2025-05-29T00:24:41.76" personId="{7BA57726-1A28-4F09-A828-A7B9F4B7C04C}" id="{7E11744B-D5AB-4208-9165-DA43F82432E9}">
    <text>Blackwell 70% of rev</text>
  </threadedComment>
  <threadedComment ref="L12" dT="2025-08-13T22:16:33.97" personId="{7BA57726-1A28-4F09-A828-A7B9F4B7C04C}" id="{6E6AA0E4-A083-46CE-8C20-0F4728641208}">
    <text>guidance</text>
  </threadedComment>
  <threadedComment ref="L12" dT="2025-08-13T22:17:33.69" personId="{7BA57726-1A28-4F09-A828-A7B9F4B7C04C}" id="{9A7D1AC4-5A2E-47F8-8095-832DFF94DF4C}" parentId="{6E6AA0E4-A083-46CE-8C20-0F4728641208}">
    <text>“loss of 8billion of H20 revenue due to export control limitations”</text>
  </threadedComment>
  <threadedComment ref="L12" dT="2025-08-13T23:18:21.10" personId="{7BA57726-1A28-4F09-A828-A7B9F4B7C04C}" id="{3E256FB4-0A13-4522-821A-61998678582D}" parentId="{6E6AA0E4-A083-46CE-8C20-0F4728641208}">
    <text>“unable to ship additional 2.5b of H20 in 1st quarter”</text>
  </threadedComment>
  <threadedComment ref="L12" dT="2025-08-13T23:31:22.58" personId="{7BA57726-1A28-4F09-A828-A7B9F4B7C04C}" id="{4723254A-03CE-4A8D-BB09-B472DE5622D9}" parentId="{6E6AA0E4-A083-46CE-8C20-0F4728641208}">
    <text>Should’ve been 53,000? In Q2</text>
  </threadedComment>
  <threadedComment ref="M12" dT="2025-09-03T13:05:18.78" personId="{7BA57726-1A28-4F09-A828-A7B9F4B7C04C}" id="{72432F4D-6F91-4599-9E61-81174CFC4348}">
    <text>“no H20 guidance”</text>
  </threadedComment>
  <threadedComment ref="L17" dT="2025-08-13T22:37:48.23" personId="{7BA57726-1A28-4F09-A828-A7B9F4B7C04C}" id="{97242C66-D6D4-4AA4-B5B1-A8D9F56E36B0}">
    <text xml:space="preserve">5.7b guidance
</text>
  </threadedComment>
  <threadedComment ref="L22" dT="2025-08-13T22:38:23.30" personId="{7BA57726-1A28-4F09-A828-A7B9F4B7C04C}" id="{7D3D3D17-15FE-4C11-8E03-8EE4BB1CADE6}">
    <text>16.5% guidance</text>
  </threadedComment>
  <threadedComment ref="H117" dT="2025-08-27T14:48:54.19" personId="{9624E78D-F64B-4604-8EA1-28368E38DBC9}" id="{598DF252-0DEA-4867-8B51-7B510210E98B}">
    <text>Raised 6B Series B</text>
  </threadedComment>
  <threadedComment ref="J117" dT="2025-08-27T14:48:39.95" personId="{9624E78D-F64B-4604-8EA1-28368E38DBC9}" id="{C7C042C3-7599-42DD-9EB9-2077AD8947BB}">
    <text>Raised 6B Series C</text>
  </threadedComment>
  <threadedComment ref="L117" dT="2025-08-27T14:48:03.15" personId="{9624E78D-F64B-4604-8EA1-28368E38DBC9}" id="{F969E2A9-1FE4-45B7-A915-EC3DB5A47E83}">
    <text>Raised 10.3B, 5.3B equity, 5.0B debt</text>
  </threadedComment>
  <threadedComment ref="I118" dT="2025-08-27T14:50:27.29" personId="{9624E78D-F64B-4604-8EA1-28368E38DBC9}" id="{A344D5F9-9462-4846-9511-9CDFF430F99C}">
    <text>Raised $4B from Amazon</text>
  </threadedComment>
  <threadedComment ref="J118" dT="2025-08-27T14:50:18.16" personId="{9624E78D-F64B-4604-8EA1-28368E38DBC9}" id="{9864907A-FBCE-45F7-93EC-36BB6B69BFEE}">
    <text>Raised $1B from Google</text>
  </threadedComment>
  <threadedComment ref="K118" dT="2025-08-27T14:50:00.47" personId="{9624E78D-F64B-4604-8EA1-28368E38DBC9}" id="{CC1F3F03-4D80-4BCD-B760-092A2A6F9091}">
    <text>Raised 6B: 3.5B Series E, 2.5B debt</text>
  </threadedComment>
  <threadedComment ref="J122" dT="2025-08-27T14:51:50.60" personId="{9624E78D-F64B-4604-8EA1-28368E38DBC9}" id="{2402A049-3A5A-434C-8F38-DD4D50FE53B6}">
    <text>Raised 10.6B in equity/debt</text>
  </threadedComment>
  <threadedComment ref="K122" dT="2025-08-27T14:51:27.89" personId="{9624E78D-F64B-4604-8EA1-28368E38DBC9}" id="{8CC96091-4248-467C-829F-DE510061A110}">
    <text>Raised 40B from SoftBank/others</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economics.mit.edu/sites/default/files/2024-04/The%20Simple%20Macroeconomics%20of%20A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FA77-31DD-4330-BECC-4D64D4EAFB80}">
  <dimension ref="A1:M39"/>
  <sheetViews>
    <sheetView zoomScaleNormal="100" workbookViewId="0">
      <selection activeCell="E16" sqref="E16"/>
    </sheetView>
  </sheetViews>
  <sheetFormatPr defaultRowHeight="12.75" x14ac:dyDescent="0.2"/>
  <cols>
    <col min="1" max="2" width="9.140625" style="6"/>
    <col min="3" max="3" width="10.140625" style="6" bestFit="1" customWidth="1"/>
    <col min="4" max="4" width="10.42578125" style="6" customWidth="1"/>
    <col min="5" max="5" width="9.85546875" style="6" customWidth="1"/>
    <col min="6" max="8" width="9.140625" style="6"/>
    <col min="9" max="9" width="9.7109375" style="6" customWidth="1"/>
    <col min="10" max="14" width="9.140625" style="6"/>
    <col min="15" max="15" width="10.42578125" style="6" customWidth="1"/>
    <col min="16" max="16384" width="9.140625" style="6"/>
  </cols>
  <sheetData>
    <row r="1" spans="1:12" x14ac:dyDescent="0.2">
      <c r="A1" s="5"/>
    </row>
    <row r="2" spans="1:12" x14ac:dyDescent="0.2">
      <c r="J2" s="6" t="s">
        <v>0</v>
      </c>
      <c r="K2" s="3">
        <v>183</v>
      </c>
    </row>
    <row r="3" spans="1:12" x14ac:dyDescent="0.2">
      <c r="J3" s="6" t="s">
        <v>1</v>
      </c>
      <c r="K3" s="1">
        <v>24400</v>
      </c>
      <c r="L3" s="12" t="s">
        <v>79</v>
      </c>
    </row>
    <row r="4" spans="1:12" x14ac:dyDescent="0.2">
      <c r="J4" s="6" t="s">
        <v>2</v>
      </c>
      <c r="K4" s="1">
        <f>K3*K2</f>
        <v>4465200</v>
      </c>
    </row>
    <row r="5" spans="1:12" x14ac:dyDescent="0.2">
      <c r="A5" s="6" t="s">
        <v>35</v>
      </c>
      <c r="B5" s="6">
        <v>2022</v>
      </c>
      <c r="C5" s="15" t="s">
        <v>124</v>
      </c>
      <c r="J5" s="6" t="s">
        <v>3</v>
      </c>
      <c r="K5" s="1">
        <f>53691</f>
        <v>53691</v>
      </c>
      <c r="L5" s="12" t="s">
        <v>79</v>
      </c>
    </row>
    <row r="6" spans="1:12" x14ac:dyDescent="0.2">
      <c r="A6" s="6" t="s">
        <v>36</v>
      </c>
      <c r="C6" s="15" t="s">
        <v>123</v>
      </c>
      <c r="D6" s="6" t="s">
        <v>38</v>
      </c>
      <c r="J6" s="6" t="s">
        <v>4</v>
      </c>
      <c r="K6" s="1">
        <f>8464</f>
        <v>8464</v>
      </c>
      <c r="L6" s="12" t="s">
        <v>79</v>
      </c>
    </row>
    <row r="7" spans="1:12" x14ac:dyDescent="0.2">
      <c r="A7" s="25" t="s">
        <v>155</v>
      </c>
      <c r="J7" s="6" t="s">
        <v>5</v>
      </c>
      <c r="K7" s="1">
        <f>K4+K6-K5</f>
        <v>4419973</v>
      </c>
    </row>
    <row r="8" spans="1:12" x14ac:dyDescent="0.2">
      <c r="A8" s="25" t="s">
        <v>154</v>
      </c>
    </row>
    <row r="9" spans="1:12" x14ac:dyDescent="0.2">
      <c r="A9" s="6" t="s">
        <v>37</v>
      </c>
      <c r="E9" s="8" t="s">
        <v>151</v>
      </c>
      <c r="J9" s="23" t="s">
        <v>150</v>
      </c>
      <c r="K9" s="8"/>
    </row>
    <row r="10" spans="1:12" x14ac:dyDescent="0.2">
      <c r="A10" s="12" t="s">
        <v>87</v>
      </c>
      <c r="E10" s="23" t="s">
        <v>152</v>
      </c>
    </row>
    <row r="12" spans="1:12" x14ac:dyDescent="0.2">
      <c r="I12" s="7" t="s">
        <v>68</v>
      </c>
    </row>
    <row r="13" spans="1:12" x14ac:dyDescent="0.2">
      <c r="A13" s="6" t="s">
        <v>60</v>
      </c>
      <c r="I13" s="7" t="s">
        <v>69</v>
      </c>
    </row>
    <row r="14" spans="1:12" x14ac:dyDescent="0.2">
      <c r="A14" s="6" t="s">
        <v>41</v>
      </c>
      <c r="I14" s="7" t="s">
        <v>70</v>
      </c>
    </row>
    <row r="15" spans="1:12" x14ac:dyDescent="0.2">
      <c r="A15" s="6" t="s">
        <v>42</v>
      </c>
      <c r="I15" s="7" t="s">
        <v>71</v>
      </c>
    </row>
    <row r="16" spans="1:12" x14ac:dyDescent="0.2">
      <c r="A16" s="6" t="s">
        <v>43</v>
      </c>
      <c r="I16" s="13" t="s">
        <v>88</v>
      </c>
    </row>
    <row r="17" spans="1:13" x14ac:dyDescent="0.2">
      <c r="A17" s="6" t="s">
        <v>44</v>
      </c>
      <c r="I17" s="14" t="s">
        <v>117</v>
      </c>
    </row>
    <row r="18" spans="1:13" x14ac:dyDescent="0.2">
      <c r="A18" s="6" t="s">
        <v>45</v>
      </c>
    </row>
    <row r="19" spans="1:13" x14ac:dyDescent="0.2">
      <c r="A19" s="6" t="s">
        <v>46</v>
      </c>
    </row>
    <row r="20" spans="1:13" x14ac:dyDescent="0.2">
      <c r="A20" s="6" t="s">
        <v>47</v>
      </c>
      <c r="I20" s="14" t="s">
        <v>79</v>
      </c>
    </row>
    <row r="21" spans="1:13" x14ac:dyDescent="0.2">
      <c r="A21" s="6" t="s">
        <v>48</v>
      </c>
      <c r="I21" s="14" t="s">
        <v>112</v>
      </c>
    </row>
    <row r="22" spans="1:13" x14ac:dyDescent="0.2">
      <c r="A22" s="6" t="s">
        <v>49</v>
      </c>
      <c r="I22" s="14" t="s">
        <v>113</v>
      </c>
    </row>
    <row r="23" spans="1:13" x14ac:dyDescent="0.2">
      <c r="A23" s="6" t="s">
        <v>50</v>
      </c>
      <c r="I23" s="14" t="s">
        <v>114</v>
      </c>
    </row>
    <row r="24" spans="1:13" x14ac:dyDescent="0.2">
      <c r="A24" s="6" t="s">
        <v>51</v>
      </c>
      <c r="I24" s="14" t="s">
        <v>115</v>
      </c>
    </row>
    <row r="25" spans="1:13" x14ac:dyDescent="0.2">
      <c r="A25" s="14" t="s">
        <v>118</v>
      </c>
      <c r="I25" s="14" t="s">
        <v>116</v>
      </c>
    </row>
    <row r="28" spans="1:13" x14ac:dyDescent="0.2">
      <c r="I28" s="1"/>
    </row>
    <row r="29" spans="1:13" x14ac:dyDescent="0.2">
      <c r="I29" s="15" t="s">
        <v>125</v>
      </c>
    </row>
    <row r="30" spans="1:13" x14ac:dyDescent="0.2">
      <c r="E30" s="14" t="s">
        <v>120</v>
      </c>
      <c r="I30" s="1"/>
    </row>
    <row r="31" spans="1:13" x14ac:dyDescent="0.2">
      <c r="A31" s="17" t="s">
        <v>142</v>
      </c>
    </row>
    <row r="32" spans="1:13" x14ac:dyDescent="0.2">
      <c r="A32" s="17" t="s">
        <v>139</v>
      </c>
      <c r="G32" s="8" t="s">
        <v>126</v>
      </c>
      <c r="J32" s="8" t="s">
        <v>127</v>
      </c>
      <c r="M32" s="8" t="s">
        <v>137</v>
      </c>
    </row>
    <row r="33" spans="1:13" x14ac:dyDescent="0.2">
      <c r="A33" s="17" t="s">
        <v>140</v>
      </c>
      <c r="G33" s="15" t="s">
        <v>128</v>
      </c>
      <c r="J33" s="15" t="s">
        <v>133</v>
      </c>
      <c r="M33" s="16" t="s">
        <v>136</v>
      </c>
    </row>
    <row r="34" spans="1:13" x14ac:dyDescent="0.2">
      <c r="A34" s="17" t="s">
        <v>141</v>
      </c>
      <c r="G34" s="15" t="s">
        <v>129</v>
      </c>
      <c r="M34" s="16" t="s">
        <v>138</v>
      </c>
    </row>
    <row r="35" spans="1:13" x14ac:dyDescent="0.2">
      <c r="A35" s="18" t="s">
        <v>143</v>
      </c>
      <c r="G35" s="15" t="s">
        <v>130</v>
      </c>
    </row>
    <row r="36" spans="1:13" x14ac:dyDescent="0.2">
      <c r="A36" s="18" t="s">
        <v>144</v>
      </c>
      <c r="G36" s="15" t="s">
        <v>131</v>
      </c>
    </row>
    <row r="37" spans="1:13" x14ac:dyDescent="0.2">
      <c r="A37" s="19" t="s">
        <v>145</v>
      </c>
      <c r="G37" s="15" t="s">
        <v>132</v>
      </c>
    </row>
    <row r="38" spans="1:13" x14ac:dyDescent="0.2">
      <c r="A38" s="20" t="s">
        <v>148</v>
      </c>
    </row>
    <row r="39" spans="1:13" x14ac:dyDescent="0.2">
      <c r="A39" s="22"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BE28-398D-4CC8-A7C9-E94B6BC720A8}">
  <dimension ref="A1:EU143"/>
  <sheetViews>
    <sheetView tabSelected="1" zoomScale="130" zoomScaleNormal="130" workbookViewId="0">
      <pane xSplit="2" ySplit="2" topLeftCell="V123" activePane="bottomRight" state="frozen"/>
      <selection pane="topRight" activeCell="B1" sqref="B1"/>
      <selection pane="bottomLeft" activeCell="A2" sqref="A2"/>
      <selection pane="bottomRight" activeCell="AB144" sqref="AB144"/>
    </sheetView>
  </sheetViews>
  <sheetFormatPr defaultRowHeight="12.75" x14ac:dyDescent="0.2"/>
  <cols>
    <col min="1" max="1" width="5" style="26" customWidth="1"/>
    <col min="2" max="2" width="22.7109375" style="26" bestFit="1" customWidth="1"/>
    <col min="3" max="6" width="9.140625" style="26" customWidth="1"/>
    <col min="7" max="9" width="9.28515625" style="26" bestFit="1" customWidth="1"/>
    <col min="10" max="12" width="9.42578125" style="26" bestFit="1" customWidth="1"/>
    <col min="13" max="13" width="9" style="26" customWidth="1"/>
    <col min="14" max="14" width="9.42578125" style="26" bestFit="1" customWidth="1"/>
    <col min="15" max="15" width="9.28515625" style="26" customWidth="1"/>
    <col min="16" max="19" width="9.28515625" style="26" bestFit="1" customWidth="1"/>
    <col min="20" max="24" width="9.42578125" style="26" bestFit="1" customWidth="1"/>
    <col min="25" max="25" width="10.85546875" style="26" bestFit="1" customWidth="1"/>
    <col min="26" max="30" width="9.42578125" style="26" bestFit="1" customWidth="1"/>
    <col min="31" max="31" width="10.85546875" style="26" bestFit="1" customWidth="1"/>
    <col min="32" max="33" width="10.28515625" style="26" bestFit="1" customWidth="1"/>
    <col min="34" max="64" width="9.42578125" style="26" bestFit="1" customWidth="1"/>
    <col min="65" max="65" width="10.5703125" style="26" bestFit="1" customWidth="1"/>
    <col min="66" max="127" width="9.42578125" style="26" bestFit="1" customWidth="1"/>
    <col min="128" max="151" width="10.28515625" style="26" bestFit="1" customWidth="1"/>
    <col min="152" max="16384" width="9.140625" style="26"/>
  </cols>
  <sheetData>
    <row r="1" spans="1:35" x14ac:dyDescent="0.2">
      <c r="A1" s="9" t="s">
        <v>34</v>
      </c>
      <c r="L1" s="29">
        <v>45896</v>
      </c>
      <c r="W1" s="30"/>
      <c r="X1" s="30"/>
      <c r="Y1" s="30"/>
    </row>
    <row r="2" spans="1:35" x14ac:dyDescent="0.2">
      <c r="C2" s="26" t="s">
        <v>108</v>
      </c>
      <c r="D2" s="26" t="s">
        <v>109</v>
      </c>
      <c r="E2" s="26" t="s">
        <v>110</v>
      </c>
      <c r="F2" s="26" t="s">
        <v>111</v>
      </c>
      <c r="G2" s="26" t="s">
        <v>20</v>
      </c>
      <c r="H2" s="26" t="s">
        <v>31</v>
      </c>
      <c r="I2" s="26" t="s">
        <v>32</v>
      </c>
      <c r="J2" s="26" t="s">
        <v>30</v>
      </c>
      <c r="K2" s="26" t="s">
        <v>79</v>
      </c>
      <c r="L2" s="26" t="s">
        <v>80</v>
      </c>
      <c r="M2" s="26" t="s">
        <v>81</v>
      </c>
      <c r="N2" s="26" t="s">
        <v>82</v>
      </c>
      <c r="O2" s="26" t="s">
        <v>83</v>
      </c>
      <c r="P2" s="26" t="s">
        <v>84</v>
      </c>
      <c r="Q2" s="26" t="s">
        <v>85</v>
      </c>
      <c r="R2" s="26" t="s">
        <v>86</v>
      </c>
      <c r="T2" s="31">
        <v>2019</v>
      </c>
      <c r="U2" s="31">
        <v>2020</v>
      </c>
      <c r="V2" s="31">
        <f>U2+1</f>
        <v>2021</v>
      </c>
      <c r="W2" s="31">
        <f t="shared" ref="W2:AE2" si="0">V2+1</f>
        <v>2022</v>
      </c>
      <c r="X2" s="31">
        <f t="shared" si="0"/>
        <v>2023</v>
      </c>
      <c r="Y2" s="31">
        <f t="shared" si="0"/>
        <v>2024</v>
      </c>
      <c r="Z2" s="31">
        <f t="shared" si="0"/>
        <v>2025</v>
      </c>
      <c r="AA2" s="31">
        <f t="shared" si="0"/>
        <v>2026</v>
      </c>
      <c r="AB2" s="31">
        <f t="shared" si="0"/>
        <v>2027</v>
      </c>
      <c r="AC2" s="31">
        <f t="shared" si="0"/>
        <v>2028</v>
      </c>
      <c r="AD2" s="31">
        <f t="shared" si="0"/>
        <v>2029</v>
      </c>
      <c r="AE2" s="31">
        <f t="shared" si="0"/>
        <v>2030</v>
      </c>
      <c r="AF2" s="31"/>
      <c r="AG2" s="31"/>
      <c r="AH2" s="31"/>
      <c r="AI2" s="31"/>
    </row>
    <row r="3" spans="1:35" x14ac:dyDescent="0.2">
      <c r="B3" s="26" t="s">
        <v>119</v>
      </c>
      <c r="K3" s="26">
        <v>4500</v>
      </c>
      <c r="L3" s="26">
        <v>0</v>
      </c>
      <c r="M3" s="26">
        <f>8560*0.85</f>
        <v>7276</v>
      </c>
      <c r="N3" s="26">
        <f>M3*1.07</f>
        <v>7785.3200000000006</v>
      </c>
      <c r="T3" s="31"/>
      <c r="U3" s="31"/>
      <c r="V3" s="31"/>
      <c r="W3" s="30"/>
      <c r="X3" s="30"/>
      <c r="AE3" s="31"/>
      <c r="AG3" s="31"/>
      <c r="AH3" s="31"/>
      <c r="AI3" s="31"/>
    </row>
    <row r="4" spans="1:35" x14ac:dyDescent="0.2">
      <c r="T4" s="31"/>
      <c r="U4" s="31"/>
      <c r="V4" s="31"/>
      <c r="W4" s="30"/>
      <c r="X4" s="30"/>
      <c r="Z4" s="30"/>
      <c r="AA4" s="30"/>
      <c r="AB4" s="30"/>
      <c r="AC4" s="30"/>
      <c r="AD4" s="30"/>
      <c r="AE4" s="31"/>
      <c r="AF4" s="31"/>
      <c r="AG4" s="31"/>
      <c r="AH4" s="31"/>
      <c r="AI4" s="31"/>
    </row>
    <row r="5" spans="1:35" x14ac:dyDescent="0.2">
      <c r="B5" s="26" t="s">
        <v>96</v>
      </c>
      <c r="D5" s="26">
        <v>66</v>
      </c>
      <c r="E5" s="26">
        <v>73</v>
      </c>
      <c r="F5" s="26">
        <v>90</v>
      </c>
      <c r="G5" s="26">
        <v>78</v>
      </c>
      <c r="H5" s="26">
        <v>88</v>
      </c>
      <c r="I5" s="26">
        <v>97</v>
      </c>
      <c r="J5" s="26">
        <v>126</v>
      </c>
      <c r="K5" s="26">
        <v>111</v>
      </c>
      <c r="T5" s="31"/>
      <c r="U5" s="31"/>
      <c r="V5" s="31"/>
      <c r="W5" s="31"/>
      <c r="X5" s="31"/>
      <c r="Z5" s="26">
        <f>SUM(K5:N5)</f>
        <v>111</v>
      </c>
      <c r="AA5" s="31"/>
      <c r="AB5" s="31"/>
      <c r="AC5" s="31"/>
      <c r="AD5" s="31"/>
      <c r="AE5" s="31"/>
      <c r="AF5" s="31"/>
      <c r="AG5" s="31"/>
      <c r="AH5" s="31"/>
      <c r="AI5" s="31"/>
    </row>
    <row r="6" spans="1:35" x14ac:dyDescent="0.2">
      <c r="A6" s="9"/>
      <c r="B6" s="26" t="s">
        <v>53</v>
      </c>
      <c r="D6" s="26">
        <v>253</v>
      </c>
      <c r="E6" s="26">
        <v>261</v>
      </c>
      <c r="F6" s="26">
        <v>281</v>
      </c>
      <c r="G6" s="26">
        <v>329</v>
      </c>
      <c r="H6" s="26">
        <v>346</v>
      </c>
      <c r="I6" s="26">
        <v>449</v>
      </c>
      <c r="J6" s="26">
        <v>570</v>
      </c>
      <c r="K6" s="26">
        <v>567</v>
      </c>
      <c r="T6" s="31"/>
      <c r="U6" s="26">
        <v>535</v>
      </c>
      <c r="V6" s="26">
        <v>565</v>
      </c>
      <c r="W6" s="26">
        <v>903</v>
      </c>
      <c r="X6" s="26">
        <v>1091</v>
      </c>
      <c r="Y6" s="26">
        <v>1700</v>
      </c>
      <c r="Z6" s="26">
        <f>SUM(K6:N6)</f>
        <v>567</v>
      </c>
    </row>
    <row r="7" spans="1:35" x14ac:dyDescent="0.2">
      <c r="A7" s="9"/>
      <c r="B7" s="26" t="s">
        <v>52</v>
      </c>
      <c r="D7" s="26">
        <v>379</v>
      </c>
      <c r="E7" s="26">
        <v>416</v>
      </c>
      <c r="F7" s="26">
        <v>463</v>
      </c>
      <c r="G7" s="26">
        <v>427</v>
      </c>
      <c r="H7" s="26">
        <v>454</v>
      </c>
      <c r="I7" s="26">
        <v>486</v>
      </c>
      <c r="J7" s="26">
        <v>511</v>
      </c>
      <c r="K7" s="26">
        <v>509</v>
      </c>
      <c r="T7" s="31"/>
      <c r="U7" s="26">
        <v>1053</v>
      </c>
      <c r="V7" s="26">
        <v>2111</v>
      </c>
      <c r="W7" s="26">
        <v>1544</v>
      </c>
      <c r="X7" s="26">
        <v>1553</v>
      </c>
      <c r="Y7" s="26">
        <v>1900</v>
      </c>
      <c r="Z7" s="26">
        <f>SUM(K7:N7)</f>
        <v>509</v>
      </c>
    </row>
    <row r="8" spans="1:35" x14ac:dyDescent="0.2">
      <c r="A8" s="9"/>
      <c r="B8" s="26" t="s">
        <v>158</v>
      </c>
      <c r="D8" s="26">
        <v>2486</v>
      </c>
      <c r="E8" s="26">
        <v>2856</v>
      </c>
      <c r="F8" s="26">
        <v>2865</v>
      </c>
      <c r="G8" s="26">
        <v>2647</v>
      </c>
      <c r="H8" s="26">
        <v>2880</v>
      </c>
      <c r="I8" s="26">
        <v>3279</v>
      </c>
      <c r="J8" s="26">
        <v>2544</v>
      </c>
      <c r="K8" s="26">
        <v>3763</v>
      </c>
      <c r="T8" s="31"/>
      <c r="U8" s="26">
        <v>7759</v>
      </c>
      <c r="V8" s="26">
        <v>12462</v>
      </c>
      <c r="W8" s="26">
        <v>9067</v>
      </c>
      <c r="X8" s="26">
        <v>10447</v>
      </c>
      <c r="Y8" s="26">
        <v>11400</v>
      </c>
      <c r="Z8" s="26">
        <f>SUM(K8:N8)</f>
        <v>3763</v>
      </c>
    </row>
    <row r="9" spans="1:35" x14ac:dyDescent="0.2">
      <c r="A9" s="9"/>
      <c r="B9" s="26" t="s">
        <v>157</v>
      </c>
      <c r="T9" s="31"/>
      <c r="Z9" s="26">
        <f>SUM(K9:N9)</f>
        <v>0</v>
      </c>
    </row>
    <row r="10" spans="1:35" x14ac:dyDescent="0.2">
      <c r="A10" s="9"/>
      <c r="B10" s="26" t="s">
        <v>156</v>
      </c>
      <c r="L10" s="30"/>
      <c r="T10" s="31"/>
      <c r="W10" s="30"/>
      <c r="X10" s="30"/>
      <c r="Y10" s="30"/>
      <c r="Z10" s="26">
        <f>SUM(K10:N10)</f>
        <v>0</v>
      </c>
    </row>
    <row r="11" spans="1:35" x14ac:dyDescent="0.2">
      <c r="A11" s="9"/>
      <c r="B11" s="26" t="s">
        <v>159</v>
      </c>
      <c r="D11" s="26">
        <v>10323</v>
      </c>
      <c r="E11" s="26">
        <v>14514</v>
      </c>
      <c r="F11" s="26">
        <v>18404</v>
      </c>
      <c r="G11" s="26">
        <v>22563</v>
      </c>
      <c r="H11" s="26">
        <v>26272</v>
      </c>
      <c r="I11" s="26">
        <v>30771</v>
      </c>
      <c r="J11" s="26">
        <v>35580</v>
      </c>
      <c r="K11" s="26">
        <v>39112</v>
      </c>
      <c r="L11" s="26">
        <v>35000</v>
      </c>
      <c r="M11" s="26">
        <f>M12*0.89</f>
        <v>48060</v>
      </c>
      <c r="N11" s="26">
        <f>N12*0.89</f>
        <v>52866.000000000007</v>
      </c>
      <c r="T11" s="31"/>
      <c r="U11" s="26">
        <f>U12-SUM(U6:U8)</f>
        <v>1573</v>
      </c>
      <c r="V11" s="26">
        <f>V12-SUM(V6:V8)</f>
        <v>1542</v>
      </c>
      <c r="W11" s="26">
        <f>W12-SUM(W6:W8)</f>
        <v>15460</v>
      </c>
      <c r="X11" s="26">
        <f>X12-SUM(X6:X8)</f>
        <v>47831</v>
      </c>
      <c r="Y11" s="26">
        <v>115200</v>
      </c>
      <c r="Z11" s="26">
        <f>SUM(K11:N11)</f>
        <v>175038</v>
      </c>
      <c r="AF11" s="32"/>
    </row>
    <row r="12" spans="1:35" s="2" customFormat="1" x14ac:dyDescent="0.2">
      <c r="B12" s="2" t="s">
        <v>6</v>
      </c>
      <c r="D12" s="2">
        <f t="shared" ref="D12:K12" si="1">SUM(D5:D11)</f>
        <v>13507</v>
      </c>
      <c r="E12" s="2">
        <f t="shared" si="1"/>
        <v>18120</v>
      </c>
      <c r="F12" s="2">
        <f t="shared" si="1"/>
        <v>22103</v>
      </c>
      <c r="G12" s="2">
        <f t="shared" si="1"/>
        <v>26044</v>
      </c>
      <c r="H12" s="2">
        <f t="shared" si="1"/>
        <v>30040</v>
      </c>
      <c r="I12" s="2">
        <f t="shared" si="1"/>
        <v>35082</v>
      </c>
      <c r="J12" s="2">
        <f t="shared" si="1"/>
        <v>39331</v>
      </c>
      <c r="K12" s="2">
        <f t="shared" si="1"/>
        <v>44062</v>
      </c>
      <c r="L12" s="2">
        <v>47000</v>
      </c>
      <c r="M12" s="2">
        <v>54000</v>
      </c>
      <c r="N12" s="2">
        <f>M12*1.1</f>
        <v>59400.000000000007</v>
      </c>
      <c r="O12" s="2">
        <f>N12*1.1</f>
        <v>65340.000000000015</v>
      </c>
      <c r="P12" s="2">
        <f t="shared" ref="P12:R12" si="2">O12*1.1</f>
        <v>71874.000000000015</v>
      </c>
      <c r="Q12" s="2">
        <f t="shared" si="2"/>
        <v>79061.400000000023</v>
      </c>
      <c r="R12" s="2">
        <f t="shared" si="2"/>
        <v>86967.540000000037</v>
      </c>
      <c r="T12" s="2">
        <v>11720</v>
      </c>
      <c r="U12" s="2">
        <v>10920</v>
      </c>
      <c r="V12" s="2">
        <v>16680</v>
      </c>
      <c r="W12" s="2">
        <v>26974</v>
      </c>
      <c r="X12" s="2">
        <v>60922</v>
      </c>
      <c r="Y12" s="2">
        <v>130497</v>
      </c>
      <c r="Z12" s="2">
        <f>SUM(K12:N12)</f>
        <v>204462</v>
      </c>
      <c r="AA12" s="2">
        <f>AA141</f>
        <v>312689.60399999999</v>
      </c>
      <c r="AB12" s="2">
        <f>AB141</f>
        <v>425465.49839999998</v>
      </c>
      <c r="AC12" s="2">
        <f>AC141</f>
        <v>560796.57167999994</v>
      </c>
      <c r="AD12" s="2">
        <f>AD141</f>
        <v>723193.85961599997</v>
      </c>
      <c r="AE12" s="2">
        <f>AE141</f>
        <v>918070.60513919999</v>
      </c>
    </row>
    <row r="13" spans="1:35" x14ac:dyDescent="0.2">
      <c r="B13" s="26" t="s">
        <v>7</v>
      </c>
      <c r="G13" s="26">
        <v>5638</v>
      </c>
      <c r="K13" s="26">
        <v>17394</v>
      </c>
      <c r="L13" s="26">
        <f>L12*(1-L32)</f>
        <v>13160.000000000002</v>
      </c>
      <c r="M13" s="26">
        <f>M12*(1-M32)</f>
        <v>14310</v>
      </c>
      <c r="N13" s="26">
        <f>N12*(1-N32)</f>
        <v>14850.000000000002</v>
      </c>
      <c r="W13" s="26">
        <v>11618</v>
      </c>
      <c r="X13" s="26">
        <v>16621</v>
      </c>
      <c r="Y13" s="26">
        <v>32639</v>
      </c>
      <c r="Z13" s="26">
        <f>SUM(K13:N13)</f>
        <v>59714</v>
      </c>
      <c r="AA13" s="26">
        <f>AA12*(1-AA32)</f>
        <v>78172.400999999998</v>
      </c>
      <c r="AB13" s="26">
        <f>AB12*(1-AB32)</f>
        <v>93602.409647999986</v>
      </c>
      <c r="AC13" s="26">
        <f>AC12*(1-AC32)</f>
        <v>123375.24576959998</v>
      </c>
      <c r="AD13" s="26">
        <f>AD12*(1-AD32)</f>
        <v>159102.64911551998</v>
      </c>
      <c r="AE13" s="26">
        <f>AE12*(1-AE32)</f>
        <v>201975.53313062398</v>
      </c>
    </row>
    <row r="14" spans="1:35" x14ac:dyDescent="0.2">
      <c r="B14" s="26" t="s">
        <v>8</v>
      </c>
      <c r="G14" s="26">
        <f>G12-G13</f>
        <v>20406</v>
      </c>
      <c r="H14" s="26">
        <f t="shared" ref="H14:N14" si="3">H12-H13</f>
        <v>30040</v>
      </c>
      <c r="I14" s="26">
        <f t="shared" si="3"/>
        <v>35082</v>
      </c>
      <c r="J14" s="26">
        <f t="shared" si="3"/>
        <v>39331</v>
      </c>
      <c r="K14" s="26">
        <f t="shared" si="3"/>
        <v>26668</v>
      </c>
      <c r="L14" s="26">
        <f t="shared" si="3"/>
        <v>33840</v>
      </c>
      <c r="M14" s="26">
        <f t="shared" si="3"/>
        <v>39690</v>
      </c>
      <c r="N14" s="26">
        <f t="shared" si="3"/>
        <v>44550.000000000007</v>
      </c>
      <c r="T14" s="26">
        <f t="shared" ref="T14:AD14" si="4">T12-T13</f>
        <v>11720</v>
      </c>
      <c r="U14" s="26">
        <f t="shared" si="4"/>
        <v>10920</v>
      </c>
      <c r="V14" s="26">
        <f t="shared" si="4"/>
        <v>16680</v>
      </c>
      <c r="W14" s="26">
        <f t="shared" si="4"/>
        <v>15356</v>
      </c>
      <c r="X14" s="26">
        <f t="shared" si="4"/>
        <v>44301</v>
      </c>
      <c r="Y14" s="26">
        <f t="shared" si="4"/>
        <v>97858</v>
      </c>
      <c r="Z14" s="26">
        <f t="shared" si="4"/>
        <v>144748</v>
      </c>
      <c r="AA14" s="26">
        <f t="shared" si="4"/>
        <v>234517.20299999998</v>
      </c>
      <c r="AB14" s="26">
        <f t="shared" si="4"/>
        <v>331863.08875200001</v>
      </c>
      <c r="AC14" s="26">
        <f t="shared" si="4"/>
        <v>437421.32591039996</v>
      </c>
      <c r="AD14" s="26">
        <f t="shared" si="4"/>
        <v>564091.21050048003</v>
      </c>
      <c r="AE14" s="26">
        <f t="shared" ref="AE14" si="5">AE12-AE13</f>
        <v>716095.07200857601</v>
      </c>
    </row>
    <row r="15" spans="1:35" x14ac:dyDescent="0.2">
      <c r="B15" s="26" t="s">
        <v>9</v>
      </c>
      <c r="G15" s="26">
        <v>2720</v>
      </c>
      <c r="K15" s="26">
        <v>3989</v>
      </c>
      <c r="L15" s="26">
        <f>K15*1.14</f>
        <v>4547.46</v>
      </c>
      <c r="M15" s="26">
        <f t="shared" ref="M15:N15" si="6">L15*1.02</f>
        <v>4638.4092000000001</v>
      </c>
      <c r="N15" s="26">
        <f t="shared" si="6"/>
        <v>4731.1773840000005</v>
      </c>
      <c r="V15" s="30"/>
      <c r="W15" s="26">
        <v>7339</v>
      </c>
      <c r="X15" s="26">
        <v>8675</v>
      </c>
      <c r="Y15" s="26">
        <v>12914</v>
      </c>
      <c r="Z15" s="26">
        <f>SUM(K15:N15)</f>
        <v>17906.046584</v>
      </c>
      <c r="AA15" s="26">
        <f>Z15*1.23</f>
        <v>22024.437298320001</v>
      </c>
      <c r="AB15" s="26">
        <f t="shared" ref="AB15:AE15" si="7">AA15*1.23</f>
        <v>27090.057876933603</v>
      </c>
      <c r="AC15" s="26">
        <f t="shared" si="7"/>
        <v>33320.771188628329</v>
      </c>
      <c r="AD15" s="26">
        <f t="shared" si="7"/>
        <v>40984.548562012846</v>
      </c>
      <c r="AE15" s="26">
        <f t="shared" si="7"/>
        <v>50410.994731275801</v>
      </c>
    </row>
    <row r="16" spans="1:35" x14ac:dyDescent="0.2">
      <c r="B16" s="26" t="s">
        <v>10</v>
      </c>
      <c r="G16" s="26">
        <v>777</v>
      </c>
      <c r="K16" s="26">
        <v>1041</v>
      </c>
      <c r="L16" s="26">
        <f>K16*1.1</f>
        <v>1145.1000000000001</v>
      </c>
      <c r="M16" s="26">
        <f t="shared" ref="M16:N16" si="8">L16*1.02</f>
        <v>1168.0020000000002</v>
      </c>
      <c r="N16" s="26">
        <f t="shared" si="8"/>
        <v>1191.3620400000002</v>
      </c>
      <c r="W16" s="26">
        <v>2440</v>
      </c>
      <c r="X16" s="26">
        <v>2654</v>
      </c>
      <c r="Y16" s="26">
        <v>3491</v>
      </c>
      <c r="Z16" s="26">
        <f>SUM(K16:N16)</f>
        <v>4545.4640400000008</v>
      </c>
      <c r="AA16" s="26">
        <f>Z16*1.2</f>
        <v>5454.5568480000011</v>
      </c>
      <c r="AB16" s="26">
        <f t="shared" ref="AB16:AE16" si="9">AA16*1.2</f>
        <v>6545.4682176000015</v>
      </c>
      <c r="AC16" s="26">
        <f t="shared" si="9"/>
        <v>7854.5618611200016</v>
      </c>
      <c r="AD16" s="26">
        <f t="shared" si="9"/>
        <v>9425.4742333440008</v>
      </c>
      <c r="AE16" s="26">
        <f t="shared" si="9"/>
        <v>11310.569080012801</v>
      </c>
    </row>
    <row r="17" spans="2:151" x14ac:dyDescent="0.2">
      <c r="B17" s="26" t="s">
        <v>76</v>
      </c>
      <c r="G17" s="26">
        <f t="shared" ref="G17:N17" si="10">SUM(G15:G16)</f>
        <v>3497</v>
      </c>
      <c r="H17" s="26">
        <f t="shared" si="10"/>
        <v>0</v>
      </c>
      <c r="I17" s="26">
        <f t="shared" si="10"/>
        <v>0</v>
      </c>
      <c r="J17" s="26">
        <f t="shared" si="10"/>
        <v>0</v>
      </c>
      <c r="K17" s="26">
        <f t="shared" si="10"/>
        <v>5030</v>
      </c>
      <c r="L17" s="26">
        <f t="shared" si="10"/>
        <v>5692.56</v>
      </c>
      <c r="M17" s="26">
        <f t="shared" si="10"/>
        <v>5806.4112000000005</v>
      </c>
      <c r="N17" s="26">
        <f t="shared" si="10"/>
        <v>5922.5394240000005</v>
      </c>
      <c r="T17" s="26">
        <f t="shared" ref="T17:AD17" si="11">SUM(T15:T16)</f>
        <v>0</v>
      </c>
      <c r="U17" s="26">
        <f t="shared" si="11"/>
        <v>0</v>
      </c>
      <c r="V17" s="26">
        <f t="shared" si="11"/>
        <v>0</v>
      </c>
      <c r="W17" s="26">
        <f t="shared" si="11"/>
        <v>9779</v>
      </c>
      <c r="X17" s="26">
        <f t="shared" si="11"/>
        <v>11329</v>
      </c>
      <c r="Y17" s="26">
        <f t="shared" si="11"/>
        <v>16405</v>
      </c>
      <c r="Z17" s="26">
        <f t="shared" si="11"/>
        <v>22451.510624000002</v>
      </c>
      <c r="AA17" s="26">
        <f t="shared" si="11"/>
        <v>27478.994146320001</v>
      </c>
      <c r="AB17" s="26">
        <f t="shared" si="11"/>
        <v>33635.526094533605</v>
      </c>
      <c r="AC17" s="26">
        <f t="shared" si="11"/>
        <v>41175.333049748333</v>
      </c>
      <c r="AD17" s="26">
        <f t="shared" si="11"/>
        <v>50410.022795356846</v>
      </c>
      <c r="AE17" s="26">
        <f t="shared" ref="AE17" si="12">SUM(AE15:AE16)</f>
        <v>61721.563811288601</v>
      </c>
    </row>
    <row r="18" spans="2:151" x14ac:dyDescent="0.2">
      <c r="B18" s="26" t="s">
        <v>11</v>
      </c>
      <c r="G18" s="26">
        <f t="shared" ref="G18:N18" si="13">G14-G17</f>
        <v>16909</v>
      </c>
      <c r="H18" s="26">
        <f t="shared" si="13"/>
        <v>30040</v>
      </c>
      <c r="I18" s="26">
        <f t="shared" si="13"/>
        <v>35082</v>
      </c>
      <c r="J18" s="26">
        <f t="shared" si="13"/>
        <v>39331</v>
      </c>
      <c r="K18" s="26">
        <f t="shared" si="13"/>
        <v>21638</v>
      </c>
      <c r="L18" s="26">
        <f t="shared" si="13"/>
        <v>28147.439999999999</v>
      </c>
      <c r="M18" s="26">
        <f t="shared" si="13"/>
        <v>33883.588799999998</v>
      </c>
      <c r="N18" s="26">
        <f t="shared" si="13"/>
        <v>38627.460576000005</v>
      </c>
      <c r="T18" s="26">
        <f t="shared" ref="T18:AD18" si="14">T14-T17</f>
        <v>11720</v>
      </c>
      <c r="U18" s="26">
        <f t="shared" si="14"/>
        <v>10920</v>
      </c>
      <c r="V18" s="26">
        <f t="shared" si="14"/>
        <v>16680</v>
      </c>
      <c r="W18" s="26">
        <f t="shared" si="14"/>
        <v>5577</v>
      </c>
      <c r="X18" s="26">
        <f t="shared" si="14"/>
        <v>32972</v>
      </c>
      <c r="Y18" s="26">
        <f t="shared" si="14"/>
        <v>81453</v>
      </c>
      <c r="Z18" s="26">
        <f t="shared" si="14"/>
        <v>122296.489376</v>
      </c>
      <c r="AA18" s="26">
        <f t="shared" si="14"/>
        <v>207038.20885367997</v>
      </c>
      <c r="AB18" s="26">
        <f t="shared" si="14"/>
        <v>298227.56265746639</v>
      </c>
      <c r="AC18" s="26">
        <f t="shared" si="14"/>
        <v>396245.99286065163</v>
      </c>
      <c r="AD18" s="26">
        <f t="shared" si="14"/>
        <v>513681.18770512316</v>
      </c>
      <c r="AE18" s="26">
        <f t="shared" ref="AE18" si="15">AE14-AE17</f>
        <v>654373.50819728745</v>
      </c>
    </row>
    <row r="19" spans="2:151" x14ac:dyDescent="0.2">
      <c r="B19" s="26" t="s">
        <v>95</v>
      </c>
      <c r="G19" s="26">
        <f>359-64</f>
        <v>295</v>
      </c>
      <c r="K19" s="26">
        <f>515-63</f>
        <v>452</v>
      </c>
      <c r="L19" s="26">
        <f>K35*$AH$25/4</f>
        <v>226.13499999999999</v>
      </c>
      <c r="M19" s="26">
        <f>L35*$AH$25/4</f>
        <v>344.59467562499998</v>
      </c>
      <c r="N19" s="26">
        <f>M35*$AH$25/4</f>
        <v>483.21881870128118</v>
      </c>
      <c r="T19" s="26">
        <f>P35*$AH$25</f>
        <v>0</v>
      </c>
      <c r="U19" s="26">
        <f>T35*$AH$25</f>
        <v>0</v>
      </c>
      <c r="V19" s="26">
        <f>U35*$AH$25</f>
        <v>0</v>
      </c>
      <c r="W19" s="26">
        <f>267-262</f>
        <v>5</v>
      </c>
      <c r="X19" s="26">
        <f>866-257</f>
        <v>609</v>
      </c>
      <c r="Y19" s="26">
        <f>1786-247</f>
        <v>1539</v>
      </c>
      <c r="Z19" s="26">
        <f>SUM(K19:N19)</f>
        <v>1505.9484943262812</v>
      </c>
      <c r="AA19" s="26">
        <f>Z35*$AH$25</f>
        <v>2566.4682809992855</v>
      </c>
      <c r="AB19" s="26">
        <f>AA35*$AH$25</f>
        <v>2617.7976466192713</v>
      </c>
      <c r="AC19" s="26">
        <f>AB35*$AH$25</f>
        <v>2670.1535995516565</v>
      </c>
      <c r="AD19" s="26">
        <f>AC35*$AH$25</f>
        <v>2723.5566715426894</v>
      </c>
      <c r="AE19" s="26">
        <f>AD35*$AH$25</f>
        <v>2778.0278049735434</v>
      </c>
    </row>
    <row r="20" spans="2:151" x14ac:dyDescent="0.2">
      <c r="B20" s="26" t="s">
        <v>96</v>
      </c>
      <c r="G20" s="26">
        <v>75</v>
      </c>
      <c r="K20" s="26">
        <v>-180</v>
      </c>
      <c r="W20" s="26">
        <v>-48</v>
      </c>
      <c r="X20" s="26">
        <v>237</v>
      </c>
      <c r="Y20" s="26">
        <v>1034</v>
      </c>
      <c r="Z20" s="26">
        <f>SUM(K20:N20)</f>
        <v>-180</v>
      </c>
      <c r="AA20" s="26">
        <v>0</v>
      </c>
      <c r="AB20" s="26">
        <f t="shared" ref="AB20:AE20" si="16">AA20*1.02</f>
        <v>0</v>
      </c>
      <c r="AC20" s="26">
        <f t="shared" si="16"/>
        <v>0</v>
      </c>
      <c r="AD20" s="26">
        <f t="shared" si="16"/>
        <v>0</v>
      </c>
      <c r="AE20" s="26">
        <f t="shared" si="16"/>
        <v>0</v>
      </c>
    </row>
    <row r="21" spans="2:151" x14ac:dyDescent="0.2">
      <c r="B21" s="26" t="s">
        <v>13</v>
      </c>
      <c r="G21" s="26">
        <f>G18+SUM(G19:G20)</f>
        <v>17279</v>
      </c>
      <c r="H21" s="26">
        <f t="shared" ref="H21:N21" si="17">H18+SUM(H19:H20)</f>
        <v>30040</v>
      </c>
      <c r="I21" s="26">
        <f t="shared" si="17"/>
        <v>35082</v>
      </c>
      <c r="J21" s="26">
        <f t="shared" si="17"/>
        <v>39331</v>
      </c>
      <c r="K21" s="26">
        <f t="shared" si="17"/>
        <v>21910</v>
      </c>
      <c r="L21" s="26">
        <f t="shared" si="17"/>
        <v>28373.574999999997</v>
      </c>
      <c r="M21" s="26">
        <f t="shared" si="17"/>
        <v>34228.183475624995</v>
      </c>
      <c r="N21" s="26">
        <f t="shared" si="17"/>
        <v>39110.679394701285</v>
      </c>
      <c r="T21" s="26">
        <f>T18+SUM(T19:T20)</f>
        <v>11720</v>
      </c>
      <c r="U21" s="26">
        <f>U18+SUM(U19:U20)</f>
        <v>10920</v>
      </c>
      <c r="V21" s="26">
        <f t="shared" ref="V21:Y21" si="18">V18+SUM(V19:V20)</f>
        <v>16680</v>
      </c>
      <c r="W21" s="26">
        <f t="shared" si="18"/>
        <v>5534</v>
      </c>
      <c r="X21" s="26">
        <f t="shared" si="18"/>
        <v>33818</v>
      </c>
      <c r="Y21" s="26">
        <f t="shared" si="18"/>
        <v>84026</v>
      </c>
      <c r="Z21" s="26">
        <f>Z18+SUM(Z19:Z20)</f>
        <v>123622.43787032628</v>
      </c>
      <c r="AA21" s="26">
        <f t="shared" ref="AA21:AD21" si="19">AA18+SUM(AA19:AA20)</f>
        <v>209604.67713467925</v>
      </c>
      <c r="AB21" s="26">
        <f t="shared" si="19"/>
        <v>300845.36030408565</v>
      </c>
      <c r="AC21" s="26">
        <f t="shared" si="19"/>
        <v>398916.14646020328</v>
      </c>
      <c r="AD21" s="26">
        <f t="shared" si="19"/>
        <v>516404.74437666585</v>
      </c>
      <c r="AE21" s="26">
        <f t="shared" ref="AE21" si="20">AE18+SUM(AE19:AE20)</f>
        <v>657151.53600226098</v>
      </c>
    </row>
    <row r="22" spans="2:151" x14ac:dyDescent="0.2">
      <c r="B22" s="26" t="s">
        <v>14</v>
      </c>
      <c r="G22" s="26">
        <v>2398</v>
      </c>
      <c r="K22" s="26">
        <v>3135</v>
      </c>
      <c r="L22" s="26">
        <f>L21*0.165</f>
        <v>4681.6398749999998</v>
      </c>
      <c r="M22" s="26">
        <f>M21*0.19</f>
        <v>6503.3548603687495</v>
      </c>
      <c r="N22" s="26">
        <f>N21*0.19</f>
        <v>7431.0290849932444</v>
      </c>
      <c r="W22" s="26">
        <v>-187</v>
      </c>
      <c r="X22" s="26">
        <v>4058</v>
      </c>
      <c r="Y22" s="26">
        <v>11146</v>
      </c>
      <c r="Z22" s="26">
        <f>SUM(K22:N22)</f>
        <v>21751.023820361996</v>
      </c>
      <c r="AA22" s="26">
        <f>AA21*0.19</f>
        <v>39824.888655589057</v>
      </c>
      <c r="AB22" s="26">
        <f t="shared" ref="AB22:AD22" si="21">AB21*0.19</f>
        <v>57160.618457776276</v>
      </c>
      <c r="AC22" s="26">
        <f t="shared" si="21"/>
        <v>75794.06782743863</v>
      </c>
      <c r="AD22" s="26">
        <f t="shared" si="21"/>
        <v>98116.901431566512</v>
      </c>
      <c r="AE22" s="26">
        <f t="shared" ref="AE22" si="22">AE21*0.19</f>
        <v>124858.79184042959</v>
      </c>
    </row>
    <row r="23" spans="2:151" s="2" customFormat="1" x14ac:dyDescent="0.2">
      <c r="B23" s="2" t="s">
        <v>15</v>
      </c>
      <c r="G23" s="2">
        <f>G21-G22</f>
        <v>14881</v>
      </c>
      <c r="H23" s="2">
        <f t="shared" ref="H23:N23" si="23">H21-H22</f>
        <v>30040</v>
      </c>
      <c r="I23" s="2">
        <f t="shared" si="23"/>
        <v>35082</v>
      </c>
      <c r="J23" s="2">
        <f t="shared" si="23"/>
        <v>39331</v>
      </c>
      <c r="K23" s="2">
        <f t="shared" si="23"/>
        <v>18775</v>
      </c>
      <c r="L23" s="2">
        <f t="shared" si="23"/>
        <v>23691.935124999996</v>
      </c>
      <c r="M23" s="2">
        <f t="shared" si="23"/>
        <v>27724.828615256247</v>
      </c>
      <c r="N23" s="2">
        <f t="shared" si="23"/>
        <v>31679.650309708042</v>
      </c>
      <c r="T23" s="2">
        <f>T21-T22</f>
        <v>11720</v>
      </c>
      <c r="U23" s="2">
        <f>U21-U22</f>
        <v>10920</v>
      </c>
      <c r="V23" s="2">
        <f t="shared" ref="V23:Y23" si="24">V21-V22</f>
        <v>16680</v>
      </c>
      <c r="W23" s="2">
        <f t="shared" si="24"/>
        <v>5721</v>
      </c>
      <c r="X23" s="2">
        <f t="shared" si="24"/>
        <v>29760</v>
      </c>
      <c r="Y23" s="2">
        <f t="shared" si="24"/>
        <v>72880</v>
      </c>
      <c r="Z23" s="2">
        <f>Z21-Z22</f>
        <v>101871.41404996428</v>
      </c>
      <c r="AA23" s="2">
        <f t="shared" ref="AA23:AD23" si="25">AA21-AA22</f>
        <v>169779.7884790902</v>
      </c>
      <c r="AB23" s="2">
        <f t="shared" si="25"/>
        <v>243684.74184630939</v>
      </c>
      <c r="AC23" s="2">
        <f t="shared" si="25"/>
        <v>323122.07863276463</v>
      </c>
      <c r="AD23" s="2">
        <f t="shared" si="25"/>
        <v>418287.84294509934</v>
      </c>
      <c r="AE23" s="2">
        <f t="shared" ref="AE23" si="26">AE21-AE22</f>
        <v>532292.74416183145</v>
      </c>
      <c r="AF23" s="2">
        <f>AE23*(1+$AH$26)</f>
        <v>537615.67160344974</v>
      </c>
      <c r="AG23" s="2">
        <f>AF23*(1+$AH$26)</f>
        <v>542991.82831948425</v>
      </c>
      <c r="AH23" s="2">
        <f>AG23*(1+$AH$26)</f>
        <v>548421.74660267914</v>
      </c>
      <c r="AI23" s="2">
        <f>AH23*(1+$AH$26)</f>
        <v>553905.96406870591</v>
      </c>
      <c r="AJ23" s="2">
        <f>AI23*(1+$AH$26)</f>
        <v>559445.02370939299</v>
      </c>
      <c r="AK23" s="2">
        <f>AJ23*(1+$AH$26)</f>
        <v>565039.47394648695</v>
      </c>
      <c r="AL23" s="2">
        <f>AK23*(1+$AH$26)</f>
        <v>570689.86868595181</v>
      </c>
      <c r="AM23" s="2">
        <f>AL23*(1+$AH$26)</f>
        <v>576396.76737281133</v>
      </c>
      <c r="AN23" s="2">
        <f>AM23*(1+$AH$26)</f>
        <v>582160.73504653946</v>
      </c>
      <c r="AO23" s="2">
        <f>AN23*(1+$AH$26)</f>
        <v>587982.34239700483</v>
      </c>
      <c r="AP23" s="2">
        <f>AO23*(1+$AH$26)</f>
        <v>593862.16582097486</v>
      </c>
      <c r="AQ23" s="2">
        <f>AP23*(1+$AH$26)</f>
        <v>599800.78747918457</v>
      </c>
      <c r="AR23" s="2">
        <f>AQ23*(1+$AH$26)</f>
        <v>605798.79535397643</v>
      </c>
      <c r="AS23" s="2">
        <f>AR23*(1+$AH$26)</f>
        <v>611856.78330751625</v>
      </c>
      <c r="AT23" s="2">
        <f>AS23*(1+$AH$26)</f>
        <v>617975.35114059143</v>
      </c>
      <c r="AU23" s="2">
        <f>AT23*(1+$AH$26)</f>
        <v>624155.10465199733</v>
      </c>
      <c r="AV23" s="2">
        <f>AU23*(1+$AH$26)</f>
        <v>630396.65569851734</v>
      </c>
      <c r="AW23" s="2">
        <f>AV23*(1+$AH$26)</f>
        <v>636700.6222555025</v>
      </c>
      <c r="AX23" s="2">
        <f>AW23*(1+$AH$26)</f>
        <v>643067.62847805757</v>
      </c>
      <c r="AY23" s="2">
        <f>AX23*(1+$AH$26)</f>
        <v>649498.30476283818</v>
      </c>
      <c r="AZ23" s="2">
        <f>AY23*(1+$AH$26)</f>
        <v>655993.2878104666</v>
      </c>
      <c r="BA23" s="2">
        <f>AZ23*(1+$AH$26)</f>
        <v>662553.22068857122</v>
      </c>
      <c r="BB23" s="2">
        <f>BA23*(1+$AH$26)</f>
        <v>669178.75289545697</v>
      </c>
      <c r="BC23" s="2">
        <f>BB23*(1+$AH$26)</f>
        <v>675870.54042441153</v>
      </c>
      <c r="BD23" s="2">
        <f>BC23*(1+$AH$26)</f>
        <v>682629.24582865566</v>
      </c>
      <c r="BE23" s="2">
        <f>BD23*(1+$AH$26)</f>
        <v>689455.53828694217</v>
      </c>
      <c r="BF23" s="2">
        <f>BE23*(1+$AH$26)</f>
        <v>696350.09366981161</v>
      </c>
      <c r="BG23" s="2">
        <f>BF23*(1+$AH$26)</f>
        <v>703313.59460650978</v>
      </c>
      <c r="BH23" s="2">
        <f>BG23*(1+$AH$26)</f>
        <v>710346.73055257485</v>
      </c>
      <c r="BI23" s="2">
        <f>BH23*(1+$AH$26)</f>
        <v>717450.19785810064</v>
      </c>
      <c r="BJ23" s="2">
        <f>BI23*(1+$AH$26)</f>
        <v>724624.6998366816</v>
      </c>
      <c r="BK23" s="2">
        <f>BJ23*(1+$AH$26)</f>
        <v>731870.94683504838</v>
      </c>
      <c r="BL23" s="2">
        <f>BK23*(1+$AH$26)</f>
        <v>739189.65630339889</v>
      </c>
      <c r="BM23" s="2">
        <f>BL23*(1+$AH$26)</f>
        <v>746581.55286643293</v>
      </c>
      <c r="BN23" s="2">
        <f>BM23*(1+$AH$26)</f>
        <v>754047.36839509732</v>
      </c>
      <c r="BO23" s="2">
        <f>BN23*(1+$AH$26)</f>
        <v>761587.84207904828</v>
      </c>
      <c r="BP23" s="2">
        <f>BO23*(1+$AH$26)</f>
        <v>769203.72049983882</v>
      </c>
      <c r="BQ23" s="2">
        <f>BP23*(1+$AH$26)</f>
        <v>776895.75770483725</v>
      </c>
      <c r="BR23" s="2">
        <f>BQ23*(1+$AH$26)</f>
        <v>784664.71528188558</v>
      </c>
      <c r="BS23" s="2">
        <f>BR23*(1+$AH$26)</f>
        <v>792511.36243470444</v>
      </c>
      <c r="BT23" s="2">
        <f>BS23*(1+$AH$26)</f>
        <v>800436.47605905146</v>
      </c>
      <c r="BU23" s="2">
        <f>BT23*(1+$AH$26)</f>
        <v>808440.84081964195</v>
      </c>
      <c r="BV23" s="2">
        <f>BU23*(1+$AH$26)</f>
        <v>816525.24922783836</v>
      </c>
      <c r="BW23" s="2">
        <f>BV23*(1+$AH$26)</f>
        <v>824690.50172011671</v>
      </c>
      <c r="BX23" s="2">
        <f>BW23*(1+$AH$26)</f>
        <v>832937.40673731791</v>
      </c>
      <c r="BY23" s="2">
        <f>BX23*(1+$AH$26)</f>
        <v>841266.78080469114</v>
      </c>
      <c r="BZ23" s="2">
        <f>BY23*(1+$AH$26)</f>
        <v>849679.44861273805</v>
      </c>
      <c r="CA23" s="2">
        <f>BZ23*(1+$AH$26)</f>
        <v>858176.2430988655</v>
      </c>
      <c r="CB23" s="2">
        <f>CA23*(1+$AH$26)</f>
        <v>866758.00552985421</v>
      </c>
      <c r="CC23" s="2">
        <f>CB23*(1+$AH$26)</f>
        <v>875425.58558515273</v>
      </c>
      <c r="CD23" s="2">
        <f>CC23*(1+$AH$26)</f>
        <v>884179.8414410043</v>
      </c>
      <c r="CE23" s="2">
        <f>CD23*(1+$AH$26)</f>
        <v>893021.6398554144</v>
      </c>
      <c r="CF23" s="2">
        <f>CE23*(1+$AH$26)</f>
        <v>901951.85625396855</v>
      </c>
      <c r="CG23" s="2">
        <f>CF23*(1+$AH$26)</f>
        <v>910971.37481650827</v>
      </c>
      <c r="CH23" s="2">
        <f>CG23*(1+$AH$26)</f>
        <v>920081.08856467332</v>
      </c>
      <c r="CI23" s="2">
        <f>CH23*(1+$AH$26)</f>
        <v>929281.89945032005</v>
      </c>
      <c r="CJ23" s="2">
        <f>CI23*(1+$AH$26)</f>
        <v>938574.71844482329</v>
      </c>
      <c r="CK23" s="2">
        <f>CJ23*(1+$AH$26)</f>
        <v>947960.46562927158</v>
      </c>
      <c r="CL23" s="2">
        <f>CK23*(1+$AH$26)</f>
        <v>957440.07028556429</v>
      </c>
      <c r="CM23" s="2">
        <f>CL23*(1+$AH$26)</f>
        <v>967014.47098841995</v>
      </c>
      <c r="CN23" s="2">
        <f>CM23*(1+$AH$26)</f>
        <v>976684.61569830414</v>
      </c>
      <c r="CO23" s="2">
        <f>CN23*(1+$AH$26)</f>
        <v>986451.4618552872</v>
      </c>
      <c r="CP23" s="2">
        <f>CO23*(1+$AH$26)</f>
        <v>996315.97647384007</v>
      </c>
      <c r="CQ23" s="2">
        <f>CP23*(1+$AH$26)</f>
        <v>1006279.1362385785</v>
      </c>
      <c r="CR23" s="2">
        <f>CQ23*(1+$AH$26)</f>
        <v>1016341.9276009643</v>
      </c>
      <c r="CS23" s="2">
        <f>CR23*(1+$AH$26)</f>
        <v>1026505.346876974</v>
      </c>
      <c r="CT23" s="2">
        <f>CS23*(1+$AH$26)</f>
        <v>1036770.4003457438</v>
      </c>
      <c r="CU23" s="2">
        <f>CT23*(1+$AH$26)</f>
        <v>1047138.1043492012</v>
      </c>
      <c r="CV23" s="2">
        <f>CU23*(1+$AH$26)</f>
        <v>1057609.4853926932</v>
      </c>
      <c r="CW23" s="2">
        <f>CV23*(1+$AH$26)</f>
        <v>1068185.5802466201</v>
      </c>
      <c r="CX23" s="2">
        <f>CW23*(1+$AH$26)</f>
        <v>1078867.4360490863</v>
      </c>
      <c r="CY23" s="2">
        <f>CX23*(1+$AH$26)</f>
        <v>1089656.1104095771</v>
      </c>
      <c r="CZ23" s="2">
        <f>CY23*(1+$AH$26)</f>
        <v>1100552.6715136729</v>
      </c>
      <c r="DA23" s="2">
        <f>CZ23*(1+$AH$26)</f>
        <v>1111558.1982288097</v>
      </c>
      <c r="DB23" s="2">
        <f>DA23*(1+$AH$26)</f>
        <v>1122673.7802110978</v>
      </c>
      <c r="DC23" s="2">
        <f>DB23*(1+$AH$26)</f>
        <v>1133900.5180132089</v>
      </c>
      <c r="DD23" s="2">
        <f>DC23*(1+$AH$26)</f>
        <v>1145239.523193341</v>
      </c>
      <c r="DE23" s="2">
        <f>DD23*(1+$AH$26)</f>
        <v>1156691.9184252743</v>
      </c>
      <c r="DF23" s="2">
        <f>DE23*(1+$AH$26)</f>
        <v>1168258.8376095272</v>
      </c>
      <c r="DG23" s="2">
        <f>DF23*(1+$AH$26)</f>
        <v>1179941.4259856225</v>
      </c>
      <c r="DH23" s="2">
        <f>DG23*(1+$AH$26)</f>
        <v>1191740.8402454788</v>
      </c>
      <c r="DI23" s="2">
        <f>DH23*(1+$AH$26)</f>
        <v>1203658.2486479336</v>
      </c>
      <c r="DJ23" s="2">
        <f>DI23*(1+$AH$26)</f>
        <v>1215694.8311344129</v>
      </c>
      <c r="DK23" s="2">
        <f>DJ23*(1+$AH$26)</f>
        <v>1227851.7794457572</v>
      </c>
      <c r="DL23" s="2">
        <f>DK23*(1+$AH$26)</f>
        <v>1240130.2972402147</v>
      </c>
      <c r="DM23" s="2">
        <f>DL23*(1+$AH$26)</f>
        <v>1252531.6002126168</v>
      </c>
      <c r="DN23" s="2">
        <f>DM23*(1+$AH$26)</f>
        <v>1265056.9162147429</v>
      </c>
      <c r="DO23" s="2">
        <f>DN23*(1+$AH$26)</f>
        <v>1277707.4853768903</v>
      </c>
      <c r="DP23" s="2">
        <f>DO23*(1+$AH$26)</f>
        <v>1290484.5602306591</v>
      </c>
      <c r="DQ23" s="2">
        <f>DP23*(1+$AH$26)</f>
        <v>1303389.4058329656</v>
      </c>
      <c r="DR23" s="2">
        <f>DQ23*(1+$AH$26)</f>
        <v>1316423.2998912954</v>
      </c>
      <c r="DS23" s="2">
        <f>DR23*(1+$AH$26)</f>
        <v>1329587.5328902083</v>
      </c>
      <c r="DT23" s="2">
        <f>DS23*(1+$AH$26)</f>
        <v>1342883.4082191105</v>
      </c>
      <c r="DU23" s="2">
        <f>DT23*(1+$AH$26)</f>
        <v>1356312.2423013016</v>
      </c>
      <c r="DV23" s="2">
        <f>DU23*(1+$AH$26)</f>
        <v>1369875.3647243145</v>
      </c>
      <c r="DW23" s="2">
        <f>DV23*(1+$AH$26)</f>
        <v>1383574.1183715577</v>
      </c>
      <c r="DX23" s="2">
        <f>DW23*(1+$AH$26)</f>
        <v>1397409.8595552733</v>
      </c>
      <c r="DY23" s="2">
        <f>DX23*(1+$AH$26)</f>
        <v>1411383.9581508262</v>
      </c>
      <c r="DZ23" s="2">
        <f>DY23*(1+$AH$26)</f>
        <v>1425497.7977323344</v>
      </c>
      <c r="EA23" s="2">
        <f>DZ23*(1+$AH$26)</f>
        <v>1439752.7757096577</v>
      </c>
      <c r="EB23" s="2">
        <f>EA23*(1+$AH$26)</f>
        <v>1454150.3034667543</v>
      </c>
      <c r="EC23" s="2">
        <f>EB23*(1+$AH$26)</f>
        <v>1468691.8065014218</v>
      </c>
      <c r="ED23" s="2">
        <f>EC23*(1+$AH$26)</f>
        <v>1483378.7245664361</v>
      </c>
      <c r="EE23" s="2">
        <f>ED23*(1+$AH$26)</f>
        <v>1498212.5118121004</v>
      </c>
      <c r="EF23" s="2">
        <f>EE23*(1+$AH$26)</f>
        <v>1513194.6369302215</v>
      </c>
      <c r="EG23" s="2">
        <f>EF23*(1+$AH$26)</f>
        <v>1528326.5832995237</v>
      </c>
      <c r="EH23" s="2">
        <f>EG23*(1+$AH$26)</f>
        <v>1543609.849132519</v>
      </c>
      <c r="EI23" s="2">
        <f>EH23*(1+$AH$26)</f>
        <v>1559045.9476238443</v>
      </c>
      <c r="EJ23" s="2">
        <f>EI23*(1+$AH$26)</f>
        <v>1574636.4071000826</v>
      </c>
      <c r="EK23" s="2">
        <f>EJ23*(1+$AH$26)</f>
        <v>1590382.7711710834</v>
      </c>
      <c r="EL23" s="2">
        <f>EK23*(1+$AH$26)</f>
        <v>1606286.5988827944</v>
      </c>
      <c r="EM23" s="2">
        <f>EL23*(1+$AH$26)</f>
        <v>1622349.4648716224</v>
      </c>
      <c r="EN23" s="2">
        <f>EM23*(1+$AH$26)</f>
        <v>1638572.9595203386</v>
      </c>
      <c r="EO23" s="2">
        <f>EN23*(1+$AH$26)</f>
        <v>1654958.689115542</v>
      </c>
      <c r="EP23" s="2">
        <f>EO23*(1+$AH$26)</f>
        <v>1671508.2760066974</v>
      </c>
      <c r="EQ23" s="2">
        <f>EP23*(1+$AH$26)</f>
        <v>1688223.3587667644</v>
      </c>
      <c r="ER23" s="2">
        <f>EQ23*(1+$AH$26)</f>
        <v>1705105.592354432</v>
      </c>
      <c r="ES23" s="2">
        <f>ER23*(1+$AH$26)</f>
        <v>1722156.6482779763</v>
      </c>
      <c r="ET23" s="2">
        <f>ES23*(1+$AH$26)</f>
        <v>1739378.2147607561</v>
      </c>
      <c r="EU23" s="2">
        <f>ET23*(1+$AH$26)</f>
        <v>1756771.9969083637</v>
      </c>
    </row>
    <row r="24" spans="2:151" x14ac:dyDescent="0.2">
      <c r="B24" s="26" t="s">
        <v>1</v>
      </c>
      <c r="G24" s="26">
        <v>24890</v>
      </c>
      <c r="K24" s="26">
        <v>24611</v>
      </c>
      <c r="L24" s="26">
        <f>K24*0.995</f>
        <v>24487.945</v>
      </c>
      <c r="M24" s="26">
        <f t="shared" ref="M24:N24" si="27">L24*0.995</f>
        <v>24365.505275</v>
      </c>
      <c r="N24" s="26">
        <f t="shared" si="27"/>
        <v>24243.677748624999</v>
      </c>
      <c r="W24" s="26">
        <v>25070</v>
      </c>
      <c r="X24" s="26">
        <v>24940</v>
      </c>
      <c r="Y24" s="26">
        <v>24400</v>
      </c>
      <c r="Z24" s="26">
        <f>N24</f>
        <v>24243.677748624999</v>
      </c>
      <c r="AA24" s="26">
        <f t="shared" ref="AA24:AE24" si="28">Z24*0.99</f>
        <v>24001.240971138748</v>
      </c>
      <c r="AB24" s="26">
        <f t="shared" si="28"/>
        <v>23761.228561427361</v>
      </c>
      <c r="AC24" s="26">
        <f t="shared" si="28"/>
        <v>23523.616275813085</v>
      </c>
      <c r="AD24" s="26">
        <f t="shared" si="28"/>
        <v>23288.380113054955</v>
      </c>
      <c r="AE24" s="26">
        <f t="shared" si="28"/>
        <v>23055.496311924406</v>
      </c>
    </row>
    <row r="25" spans="2:151" x14ac:dyDescent="0.2">
      <c r="B25" s="26" t="s">
        <v>16</v>
      </c>
      <c r="G25" s="32">
        <f>G23/G24</f>
        <v>0.5978706307754118</v>
      </c>
      <c r="H25" s="32" t="e">
        <f t="shared" ref="H25:N25" si="29">H23/H24</f>
        <v>#DIV/0!</v>
      </c>
      <c r="I25" s="32" t="e">
        <f t="shared" si="29"/>
        <v>#DIV/0!</v>
      </c>
      <c r="J25" s="32" t="e">
        <f t="shared" si="29"/>
        <v>#DIV/0!</v>
      </c>
      <c r="K25" s="32">
        <f t="shared" si="29"/>
        <v>0.7628702612652879</v>
      </c>
      <c r="L25" s="32">
        <f t="shared" si="29"/>
        <v>0.96749380664649465</v>
      </c>
      <c r="M25" s="32">
        <f t="shared" si="29"/>
        <v>1.1378720983760204</v>
      </c>
      <c r="N25" s="32">
        <f t="shared" si="29"/>
        <v>1.30671800863649</v>
      </c>
      <c r="O25" s="32"/>
      <c r="W25" s="32">
        <f>W23/W24</f>
        <v>0.22820103709613082</v>
      </c>
      <c r="X25" s="32">
        <f>X23/X24</f>
        <v>1.1932638331996792</v>
      </c>
      <c r="Y25" s="32">
        <f>Y23/Y24</f>
        <v>2.9868852459016395</v>
      </c>
      <c r="Z25" s="32">
        <f t="shared" ref="Z25:AD25" si="30">Z23/Z24</f>
        <v>4.2019785573062238</v>
      </c>
      <c r="AA25" s="32">
        <f t="shared" si="30"/>
        <v>7.073792087802822</v>
      </c>
      <c r="AB25" s="32">
        <f t="shared" si="30"/>
        <v>10.255561542886444</v>
      </c>
      <c r="AC25" s="32">
        <f t="shared" si="30"/>
        <v>13.736071650046334</v>
      </c>
      <c r="AD25" s="32">
        <f t="shared" si="30"/>
        <v>17.961225337034772</v>
      </c>
      <c r="AE25" s="32">
        <f t="shared" ref="AE25" si="31">AE23/AE24</f>
        <v>23.087455457921642</v>
      </c>
      <c r="AG25" s="26" t="s">
        <v>26</v>
      </c>
      <c r="AH25" s="30">
        <v>0.02</v>
      </c>
      <c r="AI25" s="32"/>
    </row>
    <row r="26" spans="2:151" x14ac:dyDescent="0.2">
      <c r="P26" s="32"/>
      <c r="Q26" s="32"/>
      <c r="R26" s="32"/>
      <c r="S26" s="32"/>
      <c r="W26" s="30"/>
      <c r="X26" s="30"/>
      <c r="Y26" s="30"/>
      <c r="Z26" s="30"/>
      <c r="AA26" s="30"/>
      <c r="AB26" s="30"/>
      <c r="AC26" s="30"/>
      <c r="AD26" s="30"/>
      <c r="AE26" s="30"/>
      <c r="AG26" s="26" t="s">
        <v>25</v>
      </c>
      <c r="AH26" s="30">
        <v>0.01</v>
      </c>
      <c r="AI26" s="30"/>
    </row>
    <row r="27" spans="2:151" s="2" customFormat="1" x14ac:dyDescent="0.2">
      <c r="B27" s="2" t="s">
        <v>17</v>
      </c>
      <c r="H27" s="4">
        <f t="shared" ref="H27:N27" si="32">H12/D12-1</f>
        <v>1.2240319834160065</v>
      </c>
      <c r="I27" s="4">
        <f t="shared" si="32"/>
        <v>0.93609271523178816</v>
      </c>
      <c r="J27" s="4">
        <f t="shared" si="32"/>
        <v>0.77944170474596208</v>
      </c>
      <c r="K27" s="4">
        <f t="shared" si="32"/>
        <v>0.69182921210259551</v>
      </c>
      <c r="L27" s="4">
        <f t="shared" si="32"/>
        <v>0.5645805592543276</v>
      </c>
      <c r="M27" s="4">
        <f t="shared" si="32"/>
        <v>0.53925089789635705</v>
      </c>
      <c r="N27" s="4">
        <f t="shared" si="32"/>
        <v>0.51025908316595081</v>
      </c>
      <c r="O27" s="4"/>
      <c r="U27" s="4">
        <f t="shared" ref="U27:AE27" si="33">U12/T12-1</f>
        <v>-6.8259385665529027E-2</v>
      </c>
      <c r="V27" s="4">
        <f t="shared" si="33"/>
        <v>0.52747252747252737</v>
      </c>
      <c r="W27" s="4">
        <f t="shared" si="33"/>
        <v>0.61714628297362117</v>
      </c>
      <c r="X27" s="4">
        <f t="shared" si="33"/>
        <v>1.2585452658115224</v>
      </c>
      <c r="Y27" s="4">
        <f t="shared" si="33"/>
        <v>1.1420340763599355</v>
      </c>
      <c r="Z27" s="4">
        <f t="shared" si="33"/>
        <v>0.56679463895721738</v>
      </c>
      <c r="AA27" s="4">
        <f t="shared" si="33"/>
        <v>0.52932869677495087</v>
      </c>
      <c r="AB27" s="4">
        <f t="shared" si="33"/>
        <v>0.36066403537995462</v>
      </c>
      <c r="AC27" s="4">
        <f t="shared" si="33"/>
        <v>0.31807766737590759</v>
      </c>
      <c r="AD27" s="4">
        <f t="shared" si="33"/>
        <v>0.28958323951499954</v>
      </c>
      <c r="AE27" s="4">
        <f t="shared" si="33"/>
        <v>0.26946681437073505</v>
      </c>
      <c r="AG27" s="26" t="s">
        <v>27</v>
      </c>
      <c r="AH27" s="33">
        <v>9.5000000000000001E-2</v>
      </c>
      <c r="AI27" s="4"/>
    </row>
    <row r="28" spans="2:151" x14ac:dyDescent="0.2">
      <c r="B28" s="26" t="s">
        <v>18</v>
      </c>
      <c r="D28" s="30"/>
      <c r="E28" s="30">
        <f t="shared" ref="E28:N28" si="34">E12/D12-1</f>
        <v>0.34152661582882948</v>
      </c>
      <c r="F28" s="30">
        <f t="shared" si="34"/>
        <v>0.21981236203090515</v>
      </c>
      <c r="G28" s="30">
        <f t="shared" si="34"/>
        <v>0.17830158801972584</v>
      </c>
      <c r="H28" s="30">
        <f t="shared" si="34"/>
        <v>0.1534326524343419</v>
      </c>
      <c r="I28" s="30">
        <f t="shared" si="34"/>
        <v>0.16784287616511318</v>
      </c>
      <c r="J28" s="30">
        <f t="shared" si="34"/>
        <v>0.12111624194743742</v>
      </c>
      <c r="K28" s="30">
        <f t="shared" si="34"/>
        <v>0.12028679667437903</v>
      </c>
      <c r="L28" s="30">
        <f t="shared" si="34"/>
        <v>6.6678770822931277E-2</v>
      </c>
      <c r="M28" s="30">
        <f t="shared" si="34"/>
        <v>0.14893617021276606</v>
      </c>
      <c r="N28" s="30">
        <f t="shared" si="34"/>
        <v>0.10000000000000009</v>
      </c>
      <c r="O28" s="30"/>
      <c r="V28" s="30"/>
      <c r="W28" s="30"/>
      <c r="X28" s="30"/>
      <c r="Y28" s="30"/>
      <c r="Z28" s="30"/>
      <c r="AA28" s="30"/>
      <c r="AB28" s="30"/>
      <c r="AC28" s="30"/>
      <c r="AD28" s="30"/>
      <c r="AG28" s="26" t="s">
        <v>24</v>
      </c>
      <c r="AH28" s="26">
        <f>NPV(AH27,Z23:EU23)+Main!K5-Main!K6</f>
        <v>4933665.265403524</v>
      </c>
    </row>
    <row r="29" spans="2:151" x14ac:dyDescent="0.2">
      <c r="B29" s="26" t="s">
        <v>77</v>
      </c>
      <c r="K29" s="30">
        <f t="shared" ref="K29:N30" si="35">K15/G15-1</f>
        <v>0.46654411764705883</v>
      </c>
      <c r="L29" s="30" t="e">
        <f t="shared" si="35"/>
        <v>#DIV/0!</v>
      </c>
      <c r="M29" s="30" t="e">
        <f t="shared" si="35"/>
        <v>#DIV/0!</v>
      </c>
      <c r="N29" s="30" t="e">
        <f t="shared" si="35"/>
        <v>#DIV/0!</v>
      </c>
      <c r="O29" s="30"/>
      <c r="X29" s="30">
        <f t="shared" ref="X29:AE30" si="36">X15/W15-1</f>
        <v>0.18204115002043886</v>
      </c>
      <c r="Y29" s="30">
        <f t="shared" si="36"/>
        <v>0.48864553314121029</v>
      </c>
      <c r="Z29" s="30">
        <f t="shared" si="36"/>
        <v>0.38656083196530888</v>
      </c>
      <c r="AA29" s="30">
        <f t="shared" si="36"/>
        <v>0.22999999999999998</v>
      </c>
      <c r="AB29" s="30">
        <f t="shared" si="36"/>
        <v>0.22999999999999998</v>
      </c>
      <c r="AC29" s="30">
        <f t="shared" si="36"/>
        <v>0.22999999999999998</v>
      </c>
      <c r="AD29" s="30">
        <f t="shared" si="36"/>
        <v>0.22999999999999998</v>
      </c>
      <c r="AE29" s="30">
        <f t="shared" si="36"/>
        <v>0.22999999999999998</v>
      </c>
      <c r="AG29" s="26" t="s">
        <v>121</v>
      </c>
      <c r="AH29" s="32">
        <f>AH28/Main!K3</f>
        <v>202.19939612309526</v>
      </c>
      <c r="AI29" s="32"/>
    </row>
    <row r="30" spans="2:151" x14ac:dyDescent="0.2">
      <c r="B30" s="26" t="s">
        <v>78</v>
      </c>
      <c r="K30" s="30">
        <f t="shared" si="35"/>
        <v>0.33976833976833976</v>
      </c>
      <c r="L30" s="30" t="e">
        <f t="shared" si="35"/>
        <v>#DIV/0!</v>
      </c>
      <c r="M30" s="30" t="e">
        <f t="shared" si="35"/>
        <v>#DIV/0!</v>
      </c>
      <c r="N30" s="30" t="e">
        <f t="shared" si="35"/>
        <v>#DIV/0!</v>
      </c>
      <c r="O30" s="30"/>
      <c r="X30" s="30">
        <f t="shared" si="36"/>
        <v>8.7704918032786905E-2</v>
      </c>
      <c r="Y30" s="30">
        <f t="shared" si="36"/>
        <v>0.31537302185380556</v>
      </c>
      <c r="Z30" s="30">
        <f t="shared" si="36"/>
        <v>0.30205214551704396</v>
      </c>
      <c r="AA30" s="30">
        <f t="shared" si="36"/>
        <v>0.19999999999999996</v>
      </c>
      <c r="AB30" s="30">
        <f t="shared" si="36"/>
        <v>0.19999999999999996</v>
      </c>
      <c r="AC30" s="30">
        <f t="shared" si="36"/>
        <v>0.19999999999999996</v>
      </c>
      <c r="AD30" s="30">
        <f t="shared" si="36"/>
        <v>0.19999999999999996</v>
      </c>
      <c r="AE30" s="30">
        <f t="shared" si="36"/>
        <v>0.19999999999999996</v>
      </c>
      <c r="AH30" s="30">
        <f>AH29/Main!K2-1</f>
        <v>0.10491473291308884</v>
      </c>
      <c r="AI30" s="32"/>
    </row>
    <row r="31" spans="2:151" x14ac:dyDescent="0.2">
      <c r="AI31" s="32"/>
    </row>
    <row r="32" spans="2:151" s="2" customFormat="1" x14ac:dyDescent="0.2">
      <c r="B32" s="2" t="s">
        <v>19</v>
      </c>
      <c r="C32" s="4" t="e">
        <f t="shared" ref="C32:K32" si="37">C14/C12</f>
        <v>#DIV/0!</v>
      </c>
      <c r="D32" s="4">
        <f t="shared" si="37"/>
        <v>0</v>
      </c>
      <c r="E32" s="4">
        <f t="shared" si="37"/>
        <v>0</v>
      </c>
      <c r="F32" s="4">
        <f t="shared" si="37"/>
        <v>0</v>
      </c>
      <c r="G32" s="4">
        <f t="shared" si="37"/>
        <v>0.78352019659038552</v>
      </c>
      <c r="H32" s="4">
        <f t="shared" si="37"/>
        <v>1</v>
      </c>
      <c r="I32" s="4">
        <f t="shared" si="37"/>
        <v>1</v>
      </c>
      <c r="J32" s="4">
        <f t="shared" si="37"/>
        <v>1</v>
      </c>
      <c r="K32" s="4">
        <f t="shared" si="37"/>
        <v>0.60523807362353044</v>
      </c>
      <c r="L32" s="4">
        <v>0.72</v>
      </c>
      <c r="M32" s="4">
        <v>0.73499999999999999</v>
      </c>
      <c r="N32" s="4">
        <v>0.75</v>
      </c>
      <c r="O32" s="4"/>
      <c r="U32" s="4">
        <f t="shared" ref="U32:Z32" si="38">U14/U12</f>
        <v>1</v>
      </c>
      <c r="V32" s="4">
        <f t="shared" si="38"/>
        <v>1</v>
      </c>
      <c r="W32" s="4">
        <f t="shared" si="38"/>
        <v>0.56928894490991322</v>
      </c>
      <c r="X32" s="4">
        <f t="shared" si="38"/>
        <v>0.72717573290436954</v>
      </c>
      <c r="Y32" s="4">
        <f t="shared" si="38"/>
        <v>0.74988697058169917</v>
      </c>
      <c r="Z32" s="4">
        <f t="shared" si="38"/>
        <v>0.70794573074703371</v>
      </c>
      <c r="AA32" s="4">
        <v>0.75</v>
      </c>
      <c r="AB32" s="4">
        <v>0.78</v>
      </c>
      <c r="AC32" s="4">
        <v>0.78</v>
      </c>
      <c r="AD32" s="4">
        <v>0.78</v>
      </c>
      <c r="AE32" s="4">
        <v>0.78</v>
      </c>
      <c r="AF32" s="4"/>
      <c r="AG32" s="24"/>
      <c r="AH32" s="4"/>
      <c r="AI32" s="4"/>
    </row>
    <row r="33" spans="1:35" x14ac:dyDescent="0.2">
      <c r="A33" s="2"/>
      <c r="B33" s="26" t="s">
        <v>33</v>
      </c>
      <c r="C33" s="30" t="e">
        <f t="shared" ref="C33:N33" si="39">C18/C12</f>
        <v>#DIV/0!</v>
      </c>
      <c r="D33" s="30">
        <f t="shared" si="39"/>
        <v>0</v>
      </c>
      <c r="E33" s="30">
        <f t="shared" si="39"/>
        <v>0</v>
      </c>
      <c r="F33" s="30">
        <f t="shared" si="39"/>
        <v>0</v>
      </c>
      <c r="G33" s="30">
        <f t="shared" si="39"/>
        <v>0.64924742743050223</v>
      </c>
      <c r="H33" s="30">
        <f t="shared" si="39"/>
        <v>1</v>
      </c>
      <c r="I33" s="30">
        <f t="shared" si="39"/>
        <v>1</v>
      </c>
      <c r="J33" s="30">
        <f t="shared" si="39"/>
        <v>1</v>
      </c>
      <c r="K33" s="30">
        <f t="shared" si="39"/>
        <v>0.49108074985248057</v>
      </c>
      <c r="L33" s="30">
        <f t="shared" si="39"/>
        <v>0.59888170212765957</v>
      </c>
      <c r="M33" s="30">
        <f t="shared" si="39"/>
        <v>0.6274738666666666</v>
      </c>
      <c r="N33" s="30">
        <f t="shared" si="39"/>
        <v>0.6502939490909091</v>
      </c>
      <c r="O33" s="30"/>
      <c r="U33" s="30"/>
      <c r="V33" s="30"/>
      <c r="W33" s="30">
        <f t="shared" ref="W33:AD33" si="40">W18/W12</f>
        <v>0.20675465262845702</v>
      </c>
      <c r="X33" s="30">
        <f t="shared" si="40"/>
        <v>0.54121663766783756</v>
      </c>
      <c r="Y33" s="30">
        <f t="shared" si="40"/>
        <v>0.62417526839697468</v>
      </c>
      <c r="Z33" s="30">
        <f t="shared" si="40"/>
        <v>0.59813798835969523</v>
      </c>
      <c r="AA33" s="30">
        <f t="shared" si="40"/>
        <v>0.66212053808376681</v>
      </c>
      <c r="AB33" s="30">
        <f t="shared" si="40"/>
        <v>0.70094417474266912</v>
      </c>
      <c r="AC33" s="30">
        <f t="shared" si="40"/>
        <v>0.70657705997310616</v>
      </c>
      <c r="AD33" s="30">
        <f t="shared" si="40"/>
        <v>0.71029528372638084</v>
      </c>
      <c r="AE33" s="30">
        <f t="shared" ref="AE33" si="41">AE18/AE12</f>
        <v>0.71277035179453307</v>
      </c>
      <c r="AF33" s="30"/>
      <c r="AG33" s="30"/>
      <c r="AH33" s="30"/>
      <c r="AI33" s="30"/>
    </row>
    <row r="35" spans="1:35" x14ac:dyDescent="0.2">
      <c r="B35" s="26" t="s">
        <v>21</v>
      </c>
      <c r="C35" s="26">
        <f t="shared" ref="C35:K35" si="42">C36-C50</f>
        <v>0</v>
      </c>
      <c r="D35" s="26">
        <f t="shared" si="42"/>
        <v>0</v>
      </c>
      <c r="E35" s="26">
        <f t="shared" si="42"/>
        <v>0</v>
      </c>
      <c r="F35" s="26">
        <f t="shared" si="42"/>
        <v>0</v>
      </c>
      <c r="G35" s="26">
        <f t="shared" si="42"/>
        <v>44747</v>
      </c>
      <c r="H35" s="26">
        <f t="shared" si="42"/>
        <v>0</v>
      </c>
      <c r="I35" s="26">
        <f t="shared" si="42"/>
        <v>0</v>
      </c>
      <c r="J35" s="26">
        <f t="shared" si="42"/>
        <v>0</v>
      </c>
      <c r="K35" s="26">
        <f t="shared" si="42"/>
        <v>45227</v>
      </c>
      <c r="L35" s="26">
        <f>K35+L23</f>
        <v>68918.935124999989</v>
      </c>
      <c r="M35" s="26">
        <f>L35+M23</f>
        <v>96643.76374025624</v>
      </c>
      <c r="N35" s="26">
        <f>M35+N23</f>
        <v>128323.41404996428</v>
      </c>
      <c r="Y35" s="26">
        <f>Y36-Y50</f>
        <v>30502</v>
      </c>
      <c r="Z35" s="26">
        <f>N35</f>
        <v>128323.41404996428</v>
      </c>
      <c r="AA35" s="26">
        <f>Z35+AA19</f>
        <v>130889.88233096356</v>
      </c>
      <c r="AB35" s="26">
        <f>AA35+AB19</f>
        <v>133507.67997758283</v>
      </c>
      <c r="AC35" s="26">
        <f>AB35+AC19</f>
        <v>136177.83357713447</v>
      </c>
      <c r="AD35" s="26">
        <f>AC35+AD19</f>
        <v>138901.39024867717</v>
      </c>
      <c r="AE35" s="26">
        <f>AD35+AE19</f>
        <v>141679.4180536507</v>
      </c>
    </row>
    <row r="36" spans="1:35" x14ac:dyDescent="0.2">
      <c r="B36" s="26" t="s">
        <v>3</v>
      </c>
      <c r="G36" s="26">
        <v>53210</v>
      </c>
      <c r="K36" s="26">
        <v>53691</v>
      </c>
      <c r="Y36" s="26">
        <f>8589+34621</f>
        <v>43210</v>
      </c>
    </row>
    <row r="37" spans="1:35" x14ac:dyDescent="0.2">
      <c r="B37" s="26" t="s">
        <v>122</v>
      </c>
      <c r="G37" s="26">
        <v>23065</v>
      </c>
      <c r="K37" s="26">
        <v>22132</v>
      </c>
    </row>
    <row r="38" spans="1:35" x14ac:dyDescent="0.2">
      <c r="B38" s="26" t="s">
        <v>54</v>
      </c>
      <c r="G38" s="26">
        <v>10080</v>
      </c>
      <c r="K38" s="26">
        <v>11333</v>
      </c>
    </row>
    <row r="39" spans="1:35" x14ac:dyDescent="0.2">
      <c r="B39" s="26" t="s">
        <v>65</v>
      </c>
      <c r="G39" s="26">
        <v>3771</v>
      </c>
      <c r="K39" s="26">
        <v>2779</v>
      </c>
    </row>
    <row r="40" spans="1:35" x14ac:dyDescent="0.2">
      <c r="B40" s="26" t="s">
        <v>67</v>
      </c>
      <c r="G40" s="26">
        <v>6283</v>
      </c>
      <c r="K40" s="26">
        <v>7136</v>
      </c>
    </row>
    <row r="41" spans="1:35" x14ac:dyDescent="0.2">
      <c r="B41" s="26" t="s">
        <v>89</v>
      </c>
      <c r="G41" s="26">
        <v>1793</v>
      </c>
      <c r="K41" s="26">
        <v>1810</v>
      </c>
    </row>
    <row r="42" spans="1:35" x14ac:dyDescent="0.2">
      <c r="B42" s="26" t="s">
        <v>90</v>
      </c>
      <c r="G42" s="26">
        <v>5188</v>
      </c>
      <c r="K42" s="26">
        <v>5498</v>
      </c>
    </row>
    <row r="43" spans="1:35" x14ac:dyDescent="0.2">
      <c r="B43" s="26" t="s">
        <v>91</v>
      </c>
      <c r="G43" s="26">
        <v>807</v>
      </c>
      <c r="K43" s="26">
        <v>769</v>
      </c>
    </row>
    <row r="44" spans="1:35" x14ac:dyDescent="0.2">
      <c r="B44" s="26" t="s">
        <v>63</v>
      </c>
      <c r="G44" s="26">
        <v>10979</v>
      </c>
      <c r="K44" s="26">
        <v>13318</v>
      </c>
    </row>
    <row r="45" spans="1:35" x14ac:dyDescent="0.2">
      <c r="B45" s="26" t="s">
        <v>92</v>
      </c>
      <c r="G45" s="26">
        <v>6425</v>
      </c>
      <c r="K45" s="26">
        <v>6788</v>
      </c>
    </row>
    <row r="46" spans="1:35" x14ac:dyDescent="0.2">
      <c r="B46" s="26" t="s">
        <v>59</v>
      </c>
      <c r="G46" s="26">
        <f>SUM(G36:G45)</f>
        <v>121601</v>
      </c>
      <c r="K46" s="26">
        <f>SUM(K36:K45)</f>
        <v>125254</v>
      </c>
    </row>
    <row r="48" spans="1:35" x14ac:dyDescent="0.2">
      <c r="B48" s="26" t="s">
        <v>23</v>
      </c>
      <c r="G48" s="26">
        <v>6310</v>
      </c>
      <c r="K48" s="26">
        <v>7331</v>
      </c>
    </row>
    <row r="49" spans="1:35" x14ac:dyDescent="0.2">
      <c r="B49" s="26" t="s">
        <v>93</v>
      </c>
      <c r="G49" s="26">
        <v>11737</v>
      </c>
      <c r="K49" s="26">
        <v>19211</v>
      </c>
    </row>
    <row r="50" spans="1:35" x14ac:dyDescent="0.2">
      <c r="B50" s="26" t="s">
        <v>4</v>
      </c>
      <c r="G50" s="26">
        <v>8463</v>
      </c>
      <c r="K50" s="26">
        <v>8464</v>
      </c>
      <c r="Y50" s="26">
        <f>8463+4245</f>
        <v>12708</v>
      </c>
    </row>
    <row r="51" spans="1:35" x14ac:dyDescent="0.2">
      <c r="B51" s="26" t="s">
        <v>55</v>
      </c>
      <c r="G51" s="26">
        <v>1519</v>
      </c>
      <c r="K51" s="26">
        <v>1521</v>
      </c>
    </row>
    <row r="52" spans="1:35" x14ac:dyDescent="0.2">
      <c r="B52" s="26" t="s">
        <v>56</v>
      </c>
      <c r="G52" s="26">
        <v>4245</v>
      </c>
      <c r="K52" s="26">
        <v>4884</v>
      </c>
    </row>
    <row r="53" spans="1:35" x14ac:dyDescent="0.2">
      <c r="B53" s="26" t="s">
        <v>94</v>
      </c>
      <c r="G53" s="26">
        <f>SUM(G48:G52)</f>
        <v>32274</v>
      </c>
      <c r="K53" s="26">
        <f>SUM(K48:K52)</f>
        <v>41411</v>
      </c>
    </row>
    <row r="54" spans="1:35" x14ac:dyDescent="0.2">
      <c r="B54" s="26" t="s">
        <v>58</v>
      </c>
      <c r="G54" s="26">
        <f>G46-G53</f>
        <v>89327</v>
      </c>
      <c r="K54" s="26">
        <f>K46-K53</f>
        <v>83843</v>
      </c>
    </row>
    <row r="55" spans="1:35" x14ac:dyDescent="0.2">
      <c r="B55" s="26" t="s">
        <v>57</v>
      </c>
      <c r="G55" s="26">
        <f>G54+G53</f>
        <v>121601</v>
      </c>
      <c r="K55" s="26">
        <f>K54+K53</f>
        <v>125254</v>
      </c>
    </row>
    <row r="57" spans="1:35" x14ac:dyDescent="0.2">
      <c r="B57" s="26" t="s">
        <v>28</v>
      </c>
      <c r="G57" s="26">
        <f t="shared" ref="G57" si="43">G23</f>
        <v>14881</v>
      </c>
      <c r="K57" s="26">
        <f t="shared" ref="K57" si="44">K23</f>
        <v>18775</v>
      </c>
      <c r="U57" s="26">
        <f t="shared" ref="U57:AD57" si="45">U23</f>
        <v>10920</v>
      </c>
      <c r="V57" s="26">
        <f t="shared" si="45"/>
        <v>16680</v>
      </c>
      <c r="W57" s="26">
        <f t="shared" si="45"/>
        <v>5721</v>
      </c>
      <c r="X57" s="26">
        <f t="shared" si="45"/>
        <v>29760</v>
      </c>
      <c r="Y57" s="26">
        <f t="shared" si="45"/>
        <v>72880</v>
      </c>
      <c r="Z57" s="26">
        <f t="shared" si="45"/>
        <v>101871.41404996428</v>
      </c>
      <c r="AA57" s="26">
        <f t="shared" si="45"/>
        <v>169779.7884790902</v>
      </c>
      <c r="AB57" s="26">
        <f t="shared" si="45"/>
        <v>243684.74184630939</v>
      </c>
      <c r="AC57" s="26">
        <f t="shared" si="45"/>
        <v>323122.07863276463</v>
      </c>
      <c r="AD57" s="26">
        <f t="shared" si="45"/>
        <v>418287.84294509934</v>
      </c>
      <c r="AE57" s="26">
        <f t="shared" ref="AE57" si="46">AE23</f>
        <v>532292.74416183145</v>
      </c>
    </row>
    <row r="58" spans="1:35" x14ac:dyDescent="0.2">
      <c r="B58" s="26" t="s">
        <v>29</v>
      </c>
      <c r="G58" s="26">
        <v>14881</v>
      </c>
      <c r="K58" s="26">
        <v>18775</v>
      </c>
      <c r="W58" s="26">
        <v>4368</v>
      </c>
      <c r="X58" s="26">
        <v>29760</v>
      </c>
      <c r="Y58" s="26">
        <v>72880</v>
      </c>
    </row>
    <row r="59" spans="1:35" x14ac:dyDescent="0.2">
      <c r="B59" s="26" t="s">
        <v>61</v>
      </c>
      <c r="K59" s="26">
        <v>1474</v>
      </c>
      <c r="X59" s="26">
        <v>3549</v>
      </c>
      <c r="Y59" s="26">
        <v>4737</v>
      </c>
      <c r="Z59" s="26">
        <f>Y59*1.2</f>
        <v>5684.4</v>
      </c>
      <c r="AA59" s="26">
        <f t="shared" ref="AA59:AE59" si="47">Z59*1.2</f>
        <v>6821.28</v>
      </c>
      <c r="AB59" s="26">
        <f t="shared" si="47"/>
        <v>8185.5359999999991</v>
      </c>
      <c r="AC59" s="26">
        <f t="shared" si="47"/>
        <v>9822.6431999999986</v>
      </c>
      <c r="AD59" s="26">
        <f t="shared" si="47"/>
        <v>11787.171839999997</v>
      </c>
      <c r="AE59" s="26">
        <f t="shared" si="47"/>
        <v>14144.606207999996</v>
      </c>
    </row>
    <row r="60" spans="1:35" s="2" customFormat="1" x14ac:dyDescent="0.2">
      <c r="A60" s="26"/>
      <c r="B60" s="26" t="s">
        <v>62</v>
      </c>
      <c r="C60" s="26"/>
      <c r="D60" s="26"/>
      <c r="E60" s="26"/>
      <c r="F60" s="26"/>
      <c r="K60" s="2">
        <v>611</v>
      </c>
      <c r="X60" s="26">
        <v>1508</v>
      </c>
      <c r="Y60" s="26">
        <v>1864</v>
      </c>
      <c r="Z60" s="26">
        <f>Y60*(1+Z27)</f>
        <v>2920.5052070162533</v>
      </c>
      <c r="AA60" s="26">
        <f>Z60*(1+AA27)</f>
        <v>4466.4124221706252</v>
      </c>
      <c r="AB60" s="26">
        <f>AA60*(1+AB27)</f>
        <v>6077.2867500218399</v>
      </c>
      <c r="AC60" s="26">
        <f>AB60*(1+AC27)</f>
        <v>8010.3359434432969</v>
      </c>
      <c r="AD60" s="26">
        <f>AC60*(1+AD27)</f>
        <v>10329.994975549047</v>
      </c>
      <c r="AE60" s="26">
        <f>AD60*(1+AE27)</f>
        <v>13113.585814075948</v>
      </c>
      <c r="AF60" s="26"/>
      <c r="AG60" s="26"/>
      <c r="AH60" s="26"/>
      <c r="AI60" s="26"/>
    </row>
    <row r="61" spans="1:35" x14ac:dyDescent="0.2">
      <c r="B61" s="26" t="s">
        <v>63</v>
      </c>
      <c r="K61" s="26">
        <v>-2177</v>
      </c>
      <c r="X61" s="26">
        <v>-2489</v>
      </c>
      <c r="Y61" s="26">
        <v>-4477</v>
      </c>
      <c r="Z61" s="26">
        <v>0</v>
      </c>
      <c r="AA61" s="26">
        <v>0</v>
      </c>
      <c r="AB61" s="26">
        <v>0</v>
      </c>
      <c r="AC61" s="26">
        <v>0</v>
      </c>
      <c r="AD61" s="26">
        <v>0</v>
      </c>
      <c r="AE61" s="26">
        <v>0</v>
      </c>
    </row>
    <row r="62" spans="1:35" x14ac:dyDescent="0.2">
      <c r="B62" s="26" t="s">
        <v>64</v>
      </c>
      <c r="K62" s="26">
        <v>175</v>
      </c>
      <c r="X62" s="26">
        <v>-238</v>
      </c>
      <c r="Y62" s="26">
        <v>-1030</v>
      </c>
      <c r="Z62" s="26">
        <v>180</v>
      </c>
      <c r="AA62" s="26">
        <v>0</v>
      </c>
      <c r="AB62" s="26">
        <v>0</v>
      </c>
      <c r="AC62" s="26">
        <v>0</v>
      </c>
      <c r="AD62" s="26">
        <v>0</v>
      </c>
      <c r="AE62" s="26">
        <v>0</v>
      </c>
    </row>
    <row r="63" spans="1:35" x14ac:dyDescent="0.2">
      <c r="B63" s="26" t="s">
        <v>12</v>
      </c>
      <c r="K63" s="26">
        <v>-98</v>
      </c>
      <c r="X63" s="26">
        <v>-278</v>
      </c>
      <c r="Y63" s="26">
        <v>-502</v>
      </c>
      <c r="Z63" s="26">
        <v>0</v>
      </c>
      <c r="AA63" s="26">
        <v>0</v>
      </c>
      <c r="AB63" s="26">
        <v>0</v>
      </c>
      <c r="AC63" s="26">
        <v>0</v>
      </c>
      <c r="AD63" s="26">
        <v>0</v>
      </c>
      <c r="AE63" s="26">
        <v>0</v>
      </c>
    </row>
    <row r="64" spans="1:35" x14ac:dyDescent="0.2">
      <c r="B64" s="26" t="s">
        <v>22</v>
      </c>
      <c r="K64" s="26">
        <v>933</v>
      </c>
      <c r="X64" s="26">
        <v>-6172</v>
      </c>
      <c r="Y64" s="26">
        <v>-13063</v>
      </c>
      <c r="Z64" s="26">
        <v>0</v>
      </c>
      <c r="AA64" s="26">
        <v>0</v>
      </c>
      <c r="AB64" s="26">
        <v>0</v>
      </c>
      <c r="AC64" s="26">
        <v>0</v>
      </c>
      <c r="AD64" s="26">
        <v>0</v>
      </c>
      <c r="AE64" s="26">
        <v>0</v>
      </c>
    </row>
    <row r="65" spans="2:31" x14ac:dyDescent="0.2">
      <c r="B65" s="26" t="s">
        <v>54</v>
      </c>
      <c r="K65" s="26">
        <v>-1258</v>
      </c>
      <c r="X65" s="26">
        <v>-98</v>
      </c>
      <c r="Y65" s="26">
        <v>-4781</v>
      </c>
      <c r="Z65" s="26">
        <v>0</v>
      </c>
      <c r="AA65" s="26">
        <v>0</v>
      </c>
      <c r="AB65" s="26">
        <v>0</v>
      </c>
      <c r="AC65" s="26">
        <v>0</v>
      </c>
      <c r="AD65" s="26">
        <v>0</v>
      </c>
      <c r="AE65" s="26">
        <v>0</v>
      </c>
    </row>
    <row r="66" spans="2:31" x14ac:dyDescent="0.2">
      <c r="B66" s="26" t="s">
        <v>65</v>
      </c>
      <c r="K66" s="26">
        <v>560</v>
      </c>
      <c r="X66" s="26">
        <v>-1522</v>
      </c>
      <c r="Y66" s="26">
        <v>-395</v>
      </c>
      <c r="Z66" s="26">
        <v>0</v>
      </c>
      <c r="AA66" s="26">
        <v>0</v>
      </c>
      <c r="AB66" s="26">
        <v>0</v>
      </c>
      <c r="AC66" s="26">
        <v>0</v>
      </c>
      <c r="AD66" s="26">
        <v>0</v>
      </c>
      <c r="AE66" s="26">
        <v>0</v>
      </c>
    </row>
    <row r="67" spans="2:31" x14ac:dyDescent="0.2">
      <c r="B67" s="26" t="s">
        <v>23</v>
      </c>
      <c r="K67" s="26">
        <v>941</v>
      </c>
      <c r="X67" s="26">
        <v>1531</v>
      </c>
      <c r="Y67" s="26">
        <v>3357</v>
      </c>
      <c r="Z67" s="26">
        <v>0</v>
      </c>
      <c r="AA67" s="26">
        <v>0</v>
      </c>
      <c r="AB67" s="26">
        <v>0</v>
      </c>
      <c r="AC67" s="26">
        <v>0</v>
      </c>
      <c r="AD67" s="26">
        <v>0</v>
      </c>
      <c r="AE67" s="26">
        <v>0</v>
      </c>
    </row>
    <row r="68" spans="2:31" x14ac:dyDescent="0.2">
      <c r="B68" s="26" t="s">
        <v>66</v>
      </c>
      <c r="K68" s="26">
        <v>7128</v>
      </c>
      <c r="X68" s="26">
        <v>2025</v>
      </c>
      <c r="Y68" s="26">
        <v>4278</v>
      </c>
      <c r="Z68" s="26">
        <f>Y68*(1+Z27)</f>
        <v>6702.747465458976</v>
      </c>
      <c r="AA68" s="26">
        <f>Z68*(1+AA27)</f>
        <v>10250.70404616198</v>
      </c>
      <c r="AB68" s="26">
        <f>AA68*(1+AB27)</f>
        <v>13947.764332936389</v>
      </c>
      <c r="AC68" s="26">
        <f>AB68*(1+AC27)</f>
        <v>18384.236677065677</v>
      </c>
      <c r="AD68" s="26">
        <f>AC68*(1+AD27)</f>
        <v>23708.003490020827</v>
      </c>
      <c r="AE68" s="26">
        <f>AD68*(1+AE27)</f>
        <v>30096.523665567009</v>
      </c>
    </row>
    <row r="69" spans="2:31" x14ac:dyDescent="0.2">
      <c r="B69" s="26" t="s">
        <v>56</v>
      </c>
      <c r="K69" s="26">
        <v>350</v>
      </c>
      <c r="X69" s="26">
        <v>514</v>
      </c>
      <c r="Y69" s="26">
        <v>1221</v>
      </c>
      <c r="Z69" s="26">
        <f>Y69*(1+Z27)</f>
        <v>1913.0562541667625</v>
      </c>
      <c r="AA69" s="26">
        <f>Z69*(1+AA27)</f>
        <v>2925.6918280420241</v>
      </c>
      <c r="AB69" s="26">
        <f>AA69*(1+AB27)</f>
        <v>3980.8836490218168</v>
      </c>
      <c r="AC69" s="26">
        <f>AB69*(1+AC27)</f>
        <v>5247.1138341975675</v>
      </c>
      <c r="AD69" s="26">
        <f>AC69*(1+AD27)</f>
        <v>6766.5900564084695</v>
      </c>
      <c r="AE69" s="26">
        <f>AD69*(1+AE27)</f>
        <v>8589.9615230615527</v>
      </c>
    </row>
    <row r="70" spans="2:31" x14ac:dyDescent="0.2">
      <c r="B70" s="26" t="s">
        <v>97</v>
      </c>
      <c r="K70" s="26">
        <f>SUM(K36:K39)-SUM(K48:K49)</f>
        <v>63393</v>
      </c>
      <c r="X70" s="26">
        <f>SUM(X36:X39)-SUM(X48:X49)</f>
        <v>0</v>
      </c>
      <c r="Y70" s="26">
        <f t="shared" ref="Y70:AD70" si="48">SUM(Y36:Y39)-SUM(Y48:Y49)</f>
        <v>43210</v>
      </c>
      <c r="Z70" s="26">
        <f t="shared" si="48"/>
        <v>0</v>
      </c>
      <c r="AA70" s="26">
        <f t="shared" si="48"/>
        <v>0</v>
      </c>
      <c r="AB70" s="26">
        <f t="shared" si="48"/>
        <v>0</v>
      </c>
      <c r="AC70" s="26">
        <f t="shared" si="48"/>
        <v>0</v>
      </c>
      <c r="AD70" s="26">
        <f t="shared" si="48"/>
        <v>0</v>
      </c>
      <c r="AE70" s="26">
        <f t="shared" ref="AE70" si="49">SUM(AE36:AE39)-SUM(AE48:AE49)</f>
        <v>0</v>
      </c>
    </row>
    <row r="71" spans="2:31" x14ac:dyDescent="0.2">
      <c r="B71" s="26" t="s">
        <v>39</v>
      </c>
      <c r="G71" s="26">
        <f>SUM(G58:G69)</f>
        <v>14881</v>
      </c>
      <c r="K71" s="26">
        <f>SUM(K58:K69)</f>
        <v>27414</v>
      </c>
      <c r="U71" s="26">
        <v>5822</v>
      </c>
      <c r="V71" s="26">
        <v>9108</v>
      </c>
      <c r="W71" s="26">
        <v>5641</v>
      </c>
      <c r="X71" s="26">
        <f>SUM(X58:X69)</f>
        <v>28090</v>
      </c>
      <c r="Y71" s="26">
        <f>SUM(Y58:Y69)</f>
        <v>64089</v>
      </c>
      <c r="Z71" s="26">
        <f>SUM(Z59:Z69,Z57)</f>
        <v>119272.12297660628</v>
      </c>
      <c r="AA71" s="26">
        <f t="shared" ref="AA71:AD71" si="50">SUM(AA59:AA69,AA57)</f>
        <v>194243.87677546483</v>
      </c>
      <c r="AB71" s="26">
        <f t="shared" si="50"/>
        <v>275876.21257828944</v>
      </c>
      <c r="AC71" s="26">
        <f t="shared" si="50"/>
        <v>364586.40828747116</v>
      </c>
      <c r="AD71" s="26">
        <f t="shared" si="50"/>
        <v>470879.60330707766</v>
      </c>
      <c r="AE71" s="26">
        <f t="shared" ref="AE71" si="51">SUM(AE59:AE69,AE57)</f>
        <v>598237.42137253599</v>
      </c>
    </row>
    <row r="73" spans="2:31" x14ac:dyDescent="0.2">
      <c r="B73" s="26" t="s">
        <v>98</v>
      </c>
      <c r="G73" s="26">
        <v>-409</v>
      </c>
      <c r="K73" s="26">
        <v>-1279</v>
      </c>
      <c r="U73" s="26">
        <v>-1155</v>
      </c>
      <c r="V73" s="26">
        <v>-1059</v>
      </c>
      <c r="W73" s="26">
        <v>-1891</v>
      </c>
      <c r="X73" s="26">
        <v>-1069</v>
      </c>
      <c r="Y73" s="26">
        <v>-3236</v>
      </c>
      <c r="Z73" s="26">
        <f>Y73*(1+Z27)</f>
        <v>-5070.1474516655553</v>
      </c>
      <c r="AA73" s="26">
        <f>Z73*(1+AA27)</f>
        <v>-7753.9219947125221</v>
      </c>
      <c r="AB73" s="26">
        <f>AA73*(1+AB27)</f>
        <v>-10550.482791346927</v>
      </c>
      <c r="AC73" s="26">
        <f>AB73*(1+AC27)</f>
        <v>-13906.355747308213</v>
      </c>
      <c r="AD73" s="26">
        <f>AC73*(1+AD27)</f>
        <v>-17933.403294461757</v>
      </c>
      <c r="AE73" s="26">
        <f>AD73*(1+AE27)</f>
        <v>-22765.860351046013</v>
      </c>
    </row>
    <row r="74" spans="2:31" x14ac:dyDescent="0.2">
      <c r="B74" s="26" t="s">
        <v>99</v>
      </c>
      <c r="K74" s="26">
        <f>3122+467-6546-649</f>
        <v>-3606</v>
      </c>
    </row>
    <row r="75" spans="2:31" x14ac:dyDescent="0.2">
      <c r="B75" s="26" t="s">
        <v>104</v>
      </c>
      <c r="K75" s="26">
        <v>-383</v>
      </c>
    </row>
    <row r="76" spans="2:31" x14ac:dyDescent="0.2">
      <c r="B76" s="26" t="s">
        <v>100</v>
      </c>
      <c r="G76" s="26">
        <f>SUM(G73:G75)</f>
        <v>-409</v>
      </c>
      <c r="K76" s="26">
        <f>SUM(K73:K75)</f>
        <v>-5268</v>
      </c>
    </row>
    <row r="78" spans="2:31" x14ac:dyDescent="0.2">
      <c r="B78" s="26" t="s">
        <v>107</v>
      </c>
      <c r="K78" s="26">
        <f>370-1532</f>
        <v>-1162</v>
      </c>
    </row>
    <row r="79" spans="2:31" x14ac:dyDescent="0.2">
      <c r="B79" s="26" t="s">
        <v>105</v>
      </c>
      <c r="K79" s="26">
        <v>-14095</v>
      </c>
    </row>
    <row r="80" spans="2:31" x14ac:dyDescent="0.2">
      <c r="B80" s="26" t="s">
        <v>106</v>
      </c>
      <c r="K80" s="26">
        <v>-244</v>
      </c>
    </row>
    <row r="81" spans="1:133" x14ac:dyDescent="0.2">
      <c r="B81" s="26" t="s">
        <v>12</v>
      </c>
      <c r="K81" s="26">
        <v>-52</v>
      </c>
    </row>
    <row r="82" spans="1:133" x14ac:dyDescent="0.2">
      <c r="B82" s="26" t="s">
        <v>101</v>
      </c>
      <c r="K82" s="26">
        <f>SUM(K78:K81)</f>
        <v>-15553</v>
      </c>
    </row>
    <row r="83" spans="1:133" x14ac:dyDescent="0.2">
      <c r="B83" s="26" t="s">
        <v>102</v>
      </c>
    </row>
    <row r="84" spans="1:133" x14ac:dyDescent="0.2">
      <c r="B84" s="26" t="s">
        <v>103</v>
      </c>
      <c r="G84" s="26">
        <f>G71+G82+G76</f>
        <v>14472</v>
      </c>
      <c r="K84" s="26">
        <f>K71+K82+K76</f>
        <v>6593</v>
      </c>
    </row>
    <row r="86" spans="1:133" s="2" customFormat="1" x14ac:dyDescent="0.2">
      <c r="A86" s="26"/>
      <c r="B86" s="2" t="s">
        <v>40</v>
      </c>
      <c r="G86" s="2">
        <f>G71+G73</f>
        <v>14472</v>
      </c>
      <c r="K86" s="2">
        <f>K71+K73</f>
        <v>26135</v>
      </c>
      <c r="U86" s="2">
        <v>4667</v>
      </c>
      <c r="V86" s="2">
        <v>8049</v>
      </c>
      <c r="W86" s="2">
        <v>3750</v>
      </c>
      <c r="X86" s="2">
        <f t="shared" ref="X86:AE86" si="52">X71+X73</f>
        <v>27021</v>
      </c>
      <c r="Y86" s="2">
        <f t="shared" si="52"/>
        <v>60853</v>
      </c>
      <c r="Z86" s="2">
        <f t="shared" si="52"/>
        <v>114201.97552494072</v>
      </c>
      <c r="AA86" s="2">
        <f t="shared" si="52"/>
        <v>186489.9547807523</v>
      </c>
      <c r="AB86" s="2">
        <f t="shared" si="52"/>
        <v>265325.72978694254</v>
      </c>
      <c r="AC86" s="2">
        <f t="shared" si="52"/>
        <v>350680.05254016293</v>
      </c>
      <c r="AD86" s="2">
        <f t="shared" si="52"/>
        <v>452946.20001261588</v>
      </c>
      <c r="AE86" s="2">
        <f t="shared" si="52"/>
        <v>575471.56102149002</v>
      </c>
      <c r="AF86" s="2">
        <f>AE86*(1+$AH$26)</f>
        <v>581226.27663170488</v>
      </c>
      <c r="AG86" s="2">
        <f>AF86*(1+$AH$26)</f>
        <v>587038.53939802188</v>
      </c>
      <c r="AH86" s="2">
        <f>AG86*(1+$AH$26)</f>
        <v>592908.92479200207</v>
      </c>
      <c r="AI86" s="2">
        <f>AH86*(1+$AH$26)</f>
        <v>598838.01403992204</v>
      </c>
      <c r="AJ86" s="2">
        <f>AI86*(1+$AH$26)</f>
        <v>604826.39418032125</v>
      </c>
      <c r="AK86" s="2">
        <f>AJ86*(1+$AH$26)</f>
        <v>610874.6581221245</v>
      </c>
      <c r="AL86" s="2">
        <f>AK86*(1+$AH$26)</f>
        <v>616983.40470334573</v>
      </c>
      <c r="AM86" s="2">
        <f>AL86*(1+$AH$26)</f>
        <v>623153.23875037918</v>
      </c>
      <c r="AN86" s="2">
        <f>AM86*(1+$AH$26)</f>
        <v>629384.77113788296</v>
      </c>
      <c r="AO86" s="2">
        <f>AN86*(1+$AH$26)</f>
        <v>635678.61884926178</v>
      </c>
      <c r="AP86" s="2">
        <f>AO86*(1+$AH$26)</f>
        <v>642035.40503775445</v>
      </c>
      <c r="AQ86" s="2">
        <f>AP86*(1+$AH$26)</f>
        <v>648455.75908813195</v>
      </c>
      <c r="AR86" s="2">
        <f>AQ86*(1+$AH$26)</f>
        <v>654940.31667901331</v>
      </c>
      <c r="AS86" s="2">
        <f>AR86*(1+$AH$26)</f>
        <v>661489.71984580345</v>
      </c>
      <c r="AT86" s="2">
        <f>AS86*(1+$AH$26)</f>
        <v>668104.61704426154</v>
      </c>
      <c r="AU86" s="2">
        <f>AT86*(1+$AH$26)</f>
        <v>674785.66321470414</v>
      </c>
      <c r="AV86" s="2">
        <f>AU86*(1+$AH$26)</f>
        <v>681533.51984685124</v>
      </c>
      <c r="AW86" s="2">
        <f>AV86*(1+$AH$26)</f>
        <v>688348.85504531977</v>
      </c>
      <c r="AX86" s="2">
        <f>AW86*(1+$AH$26)</f>
        <v>695232.34359577298</v>
      </c>
      <c r="AY86" s="2">
        <f>AX86*(1+$AH$26)</f>
        <v>702184.66703173076</v>
      </c>
      <c r="AZ86" s="2">
        <f>AY86*(1+$AH$26)</f>
        <v>709206.51370204811</v>
      </c>
      <c r="BA86" s="2">
        <f>AZ86*(1+$AH$26)</f>
        <v>716298.57883906865</v>
      </c>
      <c r="BB86" s="2">
        <f>BA86*(1+$AH$26)</f>
        <v>723461.56462745939</v>
      </c>
      <c r="BC86" s="2">
        <f>BB86*(1+$AH$26)</f>
        <v>730696.18027373403</v>
      </c>
      <c r="BD86" s="2">
        <f>BC86*(1+$AH$26)</f>
        <v>738003.14207647135</v>
      </c>
      <c r="BE86" s="2">
        <f>BD86*(1+$AH$26)</f>
        <v>745383.1734972361</v>
      </c>
      <c r="BF86" s="2">
        <f>BE86*(1+$AH$26)</f>
        <v>752837.00523220852</v>
      </c>
      <c r="BG86" s="2">
        <f>BF86*(1+$AH$26)</f>
        <v>760365.37528453057</v>
      </c>
      <c r="BH86" s="2">
        <f>BG86*(1+$AH$26)</f>
        <v>767969.02903737593</v>
      </c>
      <c r="BI86" s="2">
        <f>BH86*(1+$AH$26)</f>
        <v>775648.71932774968</v>
      </c>
      <c r="BJ86" s="2">
        <f>BI86*(1+$AH$26)</f>
        <v>783405.20652102714</v>
      </c>
      <c r="BK86" s="2">
        <f>BJ86*(1+$AH$26)</f>
        <v>791239.25858623744</v>
      </c>
      <c r="BL86" s="2">
        <f>BK86*(1+$AH$26)</f>
        <v>799151.65117209987</v>
      </c>
      <c r="BM86" s="2">
        <f>BL86*(1+$AH$26)</f>
        <v>807143.16768382082</v>
      </c>
      <c r="BN86" s="2">
        <f>BM86*(1+$AH$26)</f>
        <v>815214.59936065902</v>
      </c>
      <c r="BO86" s="2">
        <f>BN86*(1+$AH$26)</f>
        <v>823366.74535426567</v>
      </c>
      <c r="BP86" s="2">
        <f>BO86*(1+$AH$26)</f>
        <v>831600.41280780837</v>
      </c>
      <c r="BQ86" s="2">
        <f>BP86*(1+$AH$26)</f>
        <v>839916.41693588649</v>
      </c>
      <c r="BR86" s="2">
        <f>BQ86*(1+$AH$26)</f>
        <v>848315.58110524539</v>
      </c>
      <c r="BS86" s="2">
        <f>BR86*(1+$AH$26)</f>
        <v>856798.73691629781</v>
      </c>
      <c r="BT86" s="2">
        <f>BS86*(1+$AH$26)</f>
        <v>865366.72428546078</v>
      </c>
      <c r="BU86" s="2">
        <f>BT86*(1+$AH$26)</f>
        <v>874020.39152831538</v>
      </c>
      <c r="BV86" s="2">
        <f>BU86*(1+$AH$26)</f>
        <v>882760.59544359858</v>
      </c>
      <c r="BW86" s="2">
        <f>BV86*(1+$AH$26)</f>
        <v>891588.20139803458</v>
      </c>
      <c r="BX86" s="2">
        <f>BW86*(1+$AH$26)</f>
        <v>900504.08341201488</v>
      </c>
      <c r="BY86" s="2">
        <f>BX86*(1+$AH$26)</f>
        <v>909509.124246135</v>
      </c>
      <c r="BZ86" s="2">
        <f>BY86*(1+$AH$26)</f>
        <v>918604.21548859635</v>
      </c>
      <c r="CA86" s="2">
        <f>BZ86*(1+$AH$26)</f>
        <v>927790.2576434823</v>
      </c>
      <c r="CB86" s="2">
        <f>CA86*(1+$AH$26)</f>
        <v>937068.16021991707</v>
      </c>
      <c r="CC86" s="2">
        <f>CB86*(1+$AH$26)</f>
        <v>946438.84182211629</v>
      </c>
      <c r="CD86" s="2">
        <f>CC86*(1+$AH$26)</f>
        <v>955903.23024033743</v>
      </c>
      <c r="CE86" s="2">
        <f>CD86*(1+$AH$26)</f>
        <v>965462.26254274079</v>
      </c>
      <c r="CF86" s="2">
        <f>CE86*(1+$AH$26)</f>
        <v>975116.88516816823</v>
      </c>
      <c r="CG86" s="2">
        <f>CF86*(1+$AH$26)</f>
        <v>984868.05401984986</v>
      </c>
      <c r="CH86" s="2">
        <f>CG86*(1+$AH$26)</f>
        <v>994716.73456004832</v>
      </c>
      <c r="CI86" s="2">
        <f>CH86*(1+$AH$26)</f>
        <v>1004663.9019056488</v>
      </c>
      <c r="CJ86" s="2">
        <f>CI86*(1+$AH$26)</f>
        <v>1014710.5409247052</v>
      </c>
      <c r="CK86" s="2">
        <f>CJ86*(1+$AH$26)</f>
        <v>1024857.6463339523</v>
      </c>
      <c r="CL86" s="2">
        <f>CK86*(1+$AH$26)</f>
        <v>1035106.2227972918</v>
      </c>
      <c r="CM86" s="2">
        <f>CL86*(1+$AH$26)</f>
        <v>1045457.2850252647</v>
      </c>
      <c r="CN86" s="2">
        <f>CM86*(1+$AH$26)</f>
        <v>1055911.8578755173</v>
      </c>
      <c r="CO86" s="2">
        <f>CN86*(1+$AH$26)</f>
        <v>1066470.9764542726</v>
      </c>
      <c r="CP86" s="2">
        <f>CO86*(1+$AH$26)</f>
        <v>1077135.6862188154</v>
      </c>
      <c r="CQ86" s="2">
        <f>CP86*(1+$AH$26)</f>
        <v>1087907.0430810035</v>
      </c>
      <c r="CR86" s="2">
        <f>CQ86*(1+$AH$26)</f>
        <v>1098786.1135118136</v>
      </c>
      <c r="CS86" s="2">
        <f>CR86*(1+$AH$26)</f>
        <v>1109773.9746469317</v>
      </c>
      <c r="CT86" s="2">
        <f>CS86*(1+$AH$26)</f>
        <v>1120871.7143934011</v>
      </c>
      <c r="CU86" s="2">
        <f>CT86*(1+$AH$26)</f>
        <v>1132080.431537335</v>
      </c>
      <c r="CV86" s="2">
        <f>CU86*(1+$AH$26)</f>
        <v>1143401.2358527083</v>
      </c>
      <c r="CW86" s="2">
        <f>CV86*(1+$AH$26)</f>
        <v>1154835.2482112355</v>
      </c>
      <c r="CX86" s="2">
        <f>CW86*(1+$AH$26)</f>
        <v>1166383.6006933479</v>
      </c>
      <c r="CY86" s="2">
        <f>CX86*(1+$AH$26)</f>
        <v>1178047.4367002815</v>
      </c>
      <c r="CZ86" s="2">
        <f>CY86*(1+$AH$26)</f>
        <v>1189827.9110672842</v>
      </c>
      <c r="DA86" s="2">
        <f>CZ86*(1+$AH$26)</f>
        <v>1201726.1901779571</v>
      </c>
      <c r="DB86" s="2">
        <f>DA86*(1+$AH$26)</f>
        <v>1213743.4520797366</v>
      </c>
      <c r="DC86" s="2">
        <f>DB86*(1+$AH$26)</f>
        <v>1225880.886600534</v>
      </c>
      <c r="DD86" s="2">
        <f>DC86*(1+$AH$26)</f>
        <v>1238139.6954665394</v>
      </c>
      <c r="DE86" s="2">
        <f>DD86*(1+$AH$26)</f>
        <v>1250521.0924212048</v>
      </c>
      <c r="DF86" s="2">
        <f>DE86*(1+$AH$26)</f>
        <v>1263026.3033454169</v>
      </c>
      <c r="DG86" s="2">
        <f>DF86*(1+$AH$26)</f>
        <v>1275656.566378871</v>
      </c>
      <c r="DH86" s="2">
        <f>DG86*(1+$AH$26)</f>
        <v>1288413.1320426597</v>
      </c>
      <c r="DI86" s="2">
        <f>DH86*(1+$AH$26)</f>
        <v>1301297.2633630864</v>
      </c>
      <c r="DJ86" s="2">
        <f>DI86*(1+$AH$26)</f>
        <v>1314310.2359967174</v>
      </c>
      <c r="DK86" s="2">
        <f>DJ86*(1+$AH$26)</f>
        <v>1327453.3383566844</v>
      </c>
      <c r="DL86" s="2">
        <f>DK86*(1+$AH$26)</f>
        <v>1340727.8717402513</v>
      </c>
      <c r="DM86" s="2">
        <f>DL86*(1+$AH$26)</f>
        <v>1354135.1504576539</v>
      </c>
      <c r="DN86" s="2">
        <f>DM86*(1+$AH$26)</f>
        <v>1367676.5019622305</v>
      </c>
      <c r="DO86" s="2">
        <f>DN86*(1+$AH$26)</f>
        <v>1381353.2669818529</v>
      </c>
      <c r="DP86" s="2">
        <f>DO86*(1+$AH$26)</f>
        <v>1395166.7996516714</v>
      </c>
      <c r="DQ86" s="2">
        <f>DP86*(1+$AH$26)</f>
        <v>1409118.4676481881</v>
      </c>
      <c r="DR86" s="2">
        <f>DQ86*(1+$AH$26)</f>
        <v>1423209.65232467</v>
      </c>
      <c r="DS86" s="2">
        <f>DR86*(1+$AH$26)</f>
        <v>1437441.7488479167</v>
      </c>
      <c r="DT86" s="2">
        <f>DS86*(1+$AH$26)</f>
        <v>1451816.166336396</v>
      </c>
      <c r="DU86" s="2">
        <f>DT86*(1+$AH$26)</f>
        <v>1466334.3279997599</v>
      </c>
      <c r="DV86" s="2">
        <f>DU86*(1+$AH$26)</f>
        <v>1480997.6712797575</v>
      </c>
      <c r="DW86" s="2">
        <f>DV86*(1+$AH$26)</f>
        <v>1495807.6479925551</v>
      </c>
      <c r="DX86" s="2">
        <f>DW86*(1+$AH$26)</f>
        <v>1510765.7244724806</v>
      </c>
      <c r="DY86" s="2">
        <f>DX86*(1+$AH$26)</f>
        <v>1525873.3817172055</v>
      </c>
      <c r="DZ86" s="2">
        <f>DY86*(1+$AH$26)</f>
        <v>1541132.1155343775</v>
      </c>
      <c r="EA86" s="2">
        <f>DZ86*(1+$AH$26)</f>
        <v>1556543.4366897214</v>
      </c>
      <c r="EB86" s="2">
        <f>EA86*(1+$AH$26)</f>
        <v>1572108.8710566186</v>
      </c>
      <c r="EC86" s="2">
        <f>EB86*(1+$AH$26)</f>
        <v>1587829.9597671849</v>
      </c>
    </row>
    <row r="88" spans="1:133" x14ac:dyDescent="0.2">
      <c r="B88" s="27" t="s">
        <v>163</v>
      </c>
    </row>
    <row r="89" spans="1:133" x14ac:dyDescent="0.2">
      <c r="B89" s="27" t="s">
        <v>164</v>
      </c>
    </row>
    <row r="90" spans="1:133" x14ac:dyDescent="0.2">
      <c r="B90" s="27" t="s">
        <v>165</v>
      </c>
    </row>
    <row r="91" spans="1:133" x14ac:dyDescent="0.2">
      <c r="B91" s="27" t="s">
        <v>166</v>
      </c>
    </row>
    <row r="92" spans="1:133" x14ac:dyDescent="0.2">
      <c r="B92" s="27" t="s">
        <v>167</v>
      </c>
    </row>
    <row r="93" spans="1:133" x14ac:dyDescent="0.2">
      <c r="B93" s="27" t="s">
        <v>168</v>
      </c>
    </row>
    <row r="94" spans="1:133" x14ac:dyDescent="0.2">
      <c r="B94" s="27" t="s">
        <v>169</v>
      </c>
    </row>
    <row r="95" spans="1:133" x14ac:dyDescent="0.2">
      <c r="B95" s="27" t="s">
        <v>170</v>
      </c>
    </row>
    <row r="96" spans="1:133" x14ac:dyDescent="0.2">
      <c r="B96" s="27" t="s">
        <v>171</v>
      </c>
    </row>
    <row r="97" spans="1:35" x14ac:dyDescent="0.2">
      <c r="B97" s="27" t="s">
        <v>172</v>
      </c>
    </row>
    <row r="98" spans="1:35" x14ac:dyDescent="0.2">
      <c r="B98" s="27" t="s">
        <v>173</v>
      </c>
    </row>
    <row r="99" spans="1:35" x14ac:dyDescent="0.2">
      <c r="B99" s="27" t="s">
        <v>174</v>
      </c>
    </row>
    <row r="100" spans="1:35" x14ac:dyDescent="0.2">
      <c r="B100" s="27" t="s">
        <v>175</v>
      </c>
    </row>
    <row r="101" spans="1:35" x14ac:dyDescent="0.2">
      <c r="B101" s="27" t="s">
        <v>176</v>
      </c>
    </row>
    <row r="102" spans="1:35" x14ac:dyDescent="0.2">
      <c r="B102" s="27" t="s">
        <v>177</v>
      </c>
    </row>
    <row r="103" spans="1:35" x14ac:dyDescent="0.2">
      <c r="B103" s="27" t="s">
        <v>178</v>
      </c>
    </row>
    <row r="104" spans="1:35" x14ac:dyDescent="0.2">
      <c r="B104" s="27" t="s">
        <v>179</v>
      </c>
    </row>
    <row r="105" spans="1:35" s="2" customFormat="1" x14ac:dyDescent="0.2">
      <c r="A105" s="26"/>
      <c r="B105" s="2" t="s">
        <v>180</v>
      </c>
    </row>
    <row r="107" spans="1:35" s="2" customFormat="1" x14ac:dyDescent="0.2">
      <c r="A107" s="26"/>
      <c r="B107" s="2" t="s">
        <v>160</v>
      </c>
      <c r="K107" s="2">
        <f>K11/K108</f>
        <v>782.24</v>
      </c>
      <c r="L107" s="2">
        <f>L11/L108</f>
        <v>700</v>
      </c>
      <c r="M107" s="2">
        <f>M11/M108</f>
        <v>961.2</v>
      </c>
      <c r="N107" s="2">
        <f>N11/N108</f>
        <v>1057.3200000000002</v>
      </c>
      <c r="T107" s="38"/>
      <c r="U107" s="38"/>
      <c r="V107" s="38"/>
      <c r="W107" s="38"/>
      <c r="X107" s="4"/>
      <c r="Z107" s="2">
        <f>Z11/Z108</f>
        <v>3500.76</v>
      </c>
      <c r="AF107" s="38"/>
      <c r="AG107" s="38"/>
      <c r="AH107" s="4"/>
      <c r="AI107" s="38"/>
    </row>
    <row r="108" spans="1:35" x14ac:dyDescent="0.2">
      <c r="B108" s="26" t="s">
        <v>161</v>
      </c>
      <c r="K108" s="26">
        <v>50</v>
      </c>
      <c r="L108" s="26">
        <v>50</v>
      </c>
      <c r="M108" s="26">
        <v>50</v>
      </c>
      <c r="N108" s="26">
        <v>50</v>
      </c>
      <c r="T108" s="31"/>
      <c r="U108" s="31"/>
      <c r="V108" s="31"/>
      <c r="W108" s="31"/>
      <c r="X108" s="30"/>
      <c r="Z108" s="26">
        <v>50</v>
      </c>
      <c r="AF108" s="31"/>
      <c r="AG108" s="31"/>
      <c r="AH108" s="30"/>
      <c r="AI108" s="31"/>
    </row>
    <row r="109" spans="1:35" s="2" customFormat="1" x14ac:dyDescent="0.2">
      <c r="A109" s="26"/>
      <c r="B109" s="2" t="s">
        <v>153</v>
      </c>
      <c r="D109" s="2">
        <f>D11/D110</f>
        <v>344.1</v>
      </c>
      <c r="E109" s="2">
        <f>E11/E110</f>
        <v>483.8</v>
      </c>
      <c r="F109" s="2">
        <f>F11/F110</f>
        <v>613.4666666666667</v>
      </c>
      <c r="G109" s="2">
        <f>G11/G110</f>
        <v>752.1</v>
      </c>
      <c r="H109" s="2">
        <f>H11/H110</f>
        <v>875.73333333333335</v>
      </c>
      <c r="I109" s="2">
        <f>I11/I110</f>
        <v>1025.7</v>
      </c>
      <c r="T109" s="38"/>
      <c r="U109" s="38"/>
      <c r="V109" s="38"/>
      <c r="W109" s="38"/>
      <c r="X109" s="2">
        <f>X11/X110</f>
        <v>1594.3666666666666</v>
      </c>
      <c r="Y109" s="2">
        <f>Y11/Y110</f>
        <v>3840</v>
      </c>
      <c r="AE109" s="4"/>
      <c r="AF109" s="38"/>
      <c r="AG109" s="38"/>
      <c r="AH109" s="38"/>
      <c r="AI109" s="38"/>
    </row>
    <row r="110" spans="1:35" x14ac:dyDescent="0.2">
      <c r="B110" s="26" t="s">
        <v>162</v>
      </c>
      <c r="D110" s="26">
        <v>30</v>
      </c>
      <c r="E110" s="26">
        <v>30</v>
      </c>
      <c r="F110" s="26">
        <v>30</v>
      </c>
      <c r="G110" s="26">
        <v>30</v>
      </c>
      <c r="H110" s="26">
        <v>30</v>
      </c>
      <c r="I110" s="26">
        <v>30</v>
      </c>
      <c r="T110" s="31"/>
      <c r="U110" s="31"/>
      <c r="V110" s="31"/>
      <c r="W110" s="31"/>
      <c r="X110" s="26">
        <v>30</v>
      </c>
      <c r="Y110" s="26">
        <v>30</v>
      </c>
      <c r="AE110" s="30"/>
      <c r="AF110" s="31"/>
      <c r="AG110" s="31"/>
      <c r="AH110" s="31"/>
      <c r="AI110" s="31"/>
    </row>
    <row r="112" spans="1:35" s="27" customFormat="1" x14ac:dyDescent="0.2">
      <c r="B112" s="27" t="s">
        <v>181</v>
      </c>
      <c r="C112" s="26">
        <f t="shared" ref="C112:K112" si="53">+C113-C114</f>
        <v>16301.507142857143</v>
      </c>
      <c r="D112" s="26">
        <f t="shared" si="53"/>
        <v>4911.1571428571406</v>
      </c>
      <c r="E112" s="26">
        <f t="shared" si="53"/>
        <v>880.00714285714275</v>
      </c>
      <c r="F112" s="26">
        <f t="shared" si="53"/>
        <v>-647.79285714285652</v>
      </c>
      <c r="G112" s="26">
        <f t="shared" si="53"/>
        <v>-2786.8428571428558</v>
      </c>
      <c r="H112" s="26">
        <f t="shared" si="53"/>
        <v>-2171.2428571428572</v>
      </c>
      <c r="I112" s="26">
        <f t="shared" si="53"/>
        <v>-1903.9499999999971</v>
      </c>
      <c r="J112" s="26">
        <f t="shared" si="53"/>
        <v>-361.90000000000146</v>
      </c>
      <c r="K112" s="26">
        <f t="shared" si="53"/>
        <v>481.70000000000437</v>
      </c>
      <c r="P112" s="34"/>
      <c r="Q112" s="34"/>
    </row>
    <row r="113" spans="2:31" s="27" customFormat="1" x14ac:dyDescent="0.2">
      <c r="B113" s="27" t="s">
        <v>182</v>
      </c>
      <c r="C113" s="26">
        <f t="shared" ref="C113:J113" si="54">+C116*0.45</f>
        <v>16301.507142857143</v>
      </c>
      <c r="D113" s="26">
        <f t="shared" si="54"/>
        <v>18418.157142857141</v>
      </c>
      <c r="E113" s="26">
        <f t="shared" si="54"/>
        <v>19000.007142857143</v>
      </c>
      <c r="F113" s="26">
        <f t="shared" si="54"/>
        <v>21455.207142857143</v>
      </c>
      <c r="G113" s="26">
        <f t="shared" si="54"/>
        <v>23257.157142857144</v>
      </c>
      <c r="H113" s="26">
        <f t="shared" si="54"/>
        <v>27868.757142857143</v>
      </c>
      <c r="I113" s="26">
        <f t="shared" si="54"/>
        <v>33178.050000000003</v>
      </c>
      <c r="J113" s="26">
        <f t="shared" si="54"/>
        <v>38969.1</v>
      </c>
      <c r="K113" s="26">
        <f>+K116*0.45</f>
        <v>44543.700000000004</v>
      </c>
      <c r="L113" s="26">
        <f>+L116*0.4</f>
        <v>47511.600000000006</v>
      </c>
      <c r="M113" s="26">
        <f t="shared" ref="M113:N113" si="55">+M116*0.4</f>
        <v>52510.720000000001</v>
      </c>
      <c r="N113" s="26">
        <f t="shared" si="55"/>
        <v>54343.104000000007</v>
      </c>
      <c r="P113" s="34"/>
      <c r="Q113" s="34"/>
    </row>
    <row r="114" spans="2:31" s="27" customFormat="1" x14ac:dyDescent="0.2">
      <c r="B114" s="27" t="s">
        <v>6</v>
      </c>
      <c r="C114" s="26">
        <f>C12</f>
        <v>0</v>
      </c>
      <c r="D114" s="26">
        <f>D12</f>
        <v>13507</v>
      </c>
      <c r="E114" s="26">
        <f>E12</f>
        <v>18120</v>
      </c>
      <c r="F114" s="26">
        <f>F12</f>
        <v>22103</v>
      </c>
      <c r="G114" s="26">
        <f>G12</f>
        <v>26044</v>
      </c>
      <c r="H114" s="26">
        <f>H12</f>
        <v>30040</v>
      </c>
      <c r="I114" s="26">
        <f>I12</f>
        <v>35082</v>
      </c>
      <c r="J114" s="26">
        <f>J12</f>
        <v>39331</v>
      </c>
      <c r="K114" s="26">
        <f>K12</f>
        <v>44062</v>
      </c>
      <c r="L114" s="26">
        <f>L12</f>
        <v>47000</v>
      </c>
      <c r="M114" s="26">
        <f>M12</f>
        <v>54000</v>
      </c>
      <c r="N114" s="26">
        <f>N12</f>
        <v>59400.000000000007</v>
      </c>
      <c r="P114" s="34"/>
      <c r="Q114" s="34"/>
    </row>
    <row r="115" spans="2:31" s="27" customFormat="1" x14ac:dyDescent="0.2">
      <c r="B115" s="27" t="s">
        <v>183</v>
      </c>
      <c r="C115" s="35">
        <f>C11</f>
        <v>0</v>
      </c>
      <c r="D115" s="35">
        <f>D11</f>
        <v>10323</v>
      </c>
      <c r="E115" s="35">
        <f>E11</f>
        <v>14514</v>
      </c>
      <c r="F115" s="35">
        <f>F11</f>
        <v>18404</v>
      </c>
      <c r="G115" s="35">
        <f>G11</f>
        <v>22563</v>
      </c>
      <c r="H115" s="35">
        <f>H11</f>
        <v>26272</v>
      </c>
      <c r="I115" s="35">
        <f>I11</f>
        <v>30771</v>
      </c>
      <c r="J115" s="35">
        <f>J11</f>
        <v>35580</v>
      </c>
      <c r="K115" s="35">
        <f>K11</f>
        <v>39112</v>
      </c>
      <c r="L115" s="35">
        <f>L11</f>
        <v>35000</v>
      </c>
      <c r="M115" s="35">
        <f>M11</f>
        <v>48060</v>
      </c>
      <c r="N115" s="35">
        <f>N11</f>
        <v>52866.000000000007</v>
      </c>
      <c r="P115" s="34"/>
      <c r="Q115" s="34"/>
    </row>
    <row r="116" spans="2:31" s="5" customFormat="1" x14ac:dyDescent="0.2">
      <c r="B116" s="5" t="s">
        <v>194</v>
      </c>
      <c r="C116" s="2">
        <f>SUM(C117:C125)</f>
        <v>36225.571428571428</v>
      </c>
      <c r="D116" s="2">
        <f t="shared" ref="D116:N116" si="56">SUM(D117:D125)</f>
        <v>40929.238095238092</v>
      </c>
      <c r="E116" s="2">
        <f t="shared" si="56"/>
        <v>42222.238095238092</v>
      </c>
      <c r="F116" s="2">
        <f t="shared" si="56"/>
        <v>47678.238095238092</v>
      </c>
      <c r="G116" s="2">
        <f t="shared" si="56"/>
        <v>51682.571428571428</v>
      </c>
      <c r="H116" s="2">
        <f t="shared" si="56"/>
        <v>61930.571428571428</v>
      </c>
      <c r="I116" s="2">
        <f t="shared" si="56"/>
        <v>73729</v>
      </c>
      <c r="J116" s="2">
        <f t="shared" si="56"/>
        <v>86598</v>
      </c>
      <c r="K116" s="2">
        <f t="shared" si="56"/>
        <v>98986</v>
      </c>
      <c r="L116" s="2">
        <f t="shared" si="56"/>
        <v>118779</v>
      </c>
      <c r="M116" s="2">
        <f t="shared" si="56"/>
        <v>131276.79999999999</v>
      </c>
      <c r="N116" s="2">
        <f t="shared" si="56"/>
        <v>135857.76</v>
      </c>
      <c r="P116" s="28"/>
      <c r="Q116" s="28"/>
    </row>
    <row r="117" spans="2:31" x14ac:dyDescent="0.2">
      <c r="B117" s="26" t="s">
        <v>184</v>
      </c>
      <c r="C117" s="35">
        <v>0</v>
      </c>
      <c r="D117" s="26">
        <v>0</v>
      </c>
      <c r="E117" s="26">
        <v>0</v>
      </c>
      <c r="F117" s="26">
        <v>125</v>
      </c>
      <c r="G117" s="26">
        <v>125</v>
      </c>
      <c r="H117" s="26">
        <v>1500</v>
      </c>
      <c r="I117" s="26">
        <f t="shared" ref="I117:N117" si="57">+H117+500</f>
        <v>2000</v>
      </c>
      <c r="J117" s="26">
        <f t="shared" si="57"/>
        <v>2500</v>
      </c>
      <c r="K117" s="26">
        <f t="shared" si="57"/>
        <v>3000</v>
      </c>
      <c r="L117" s="26">
        <f t="shared" si="57"/>
        <v>3500</v>
      </c>
      <c r="M117" s="26">
        <f t="shared" si="57"/>
        <v>4000</v>
      </c>
      <c r="N117" s="26">
        <f t="shared" si="57"/>
        <v>4500</v>
      </c>
      <c r="P117" s="35"/>
      <c r="Q117" s="35"/>
    </row>
    <row r="118" spans="2:31" x14ac:dyDescent="0.2">
      <c r="B118" s="26" t="s">
        <v>178</v>
      </c>
      <c r="C118" s="35">
        <v>450</v>
      </c>
      <c r="D118" s="26">
        <v>4000</v>
      </c>
      <c r="E118" s="26">
        <v>2000</v>
      </c>
      <c r="F118" s="26">
        <v>750</v>
      </c>
      <c r="G118" s="26">
        <v>1000</v>
      </c>
      <c r="H118" s="26">
        <v>1000</v>
      </c>
      <c r="I118" s="26">
        <v>4000</v>
      </c>
      <c r="J118" s="26">
        <v>1000</v>
      </c>
      <c r="K118" s="26">
        <v>3000</v>
      </c>
      <c r="L118" s="26">
        <v>3000</v>
      </c>
      <c r="M118" s="26">
        <v>3000</v>
      </c>
      <c r="N118" s="26">
        <v>3000</v>
      </c>
      <c r="P118" s="35"/>
      <c r="Q118" s="35"/>
      <c r="X118" s="26">
        <f>X128</f>
        <v>7200</v>
      </c>
      <c r="Y118" s="26">
        <f t="shared" ref="Y118:AE118" si="58">Y128</f>
        <v>7000</v>
      </c>
      <c r="Z118" s="26">
        <f>Z128*0.7</f>
        <v>8400</v>
      </c>
      <c r="AA118" s="26">
        <f t="shared" si="58"/>
        <v>14400</v>
      </c>
      <c r="AB118" s="26">
        <f t="shared" si="58"/>
        <v>17280</v>
      </c>
      <c r="AC118" s="26">
        <f t="shared" si="58"/>
        <v>20736</v>
      </c>
      <c r="AD118" s="26">
        <f t="shared" si="58"/>
        <v>24883.200000000001</v>
      </c>
      <c r="AE118" s="26">
        <f t="shared" si="58"/>
        <v>29859.84</v>
      </c>
    </row>
    <row r="119" spans="2:31" x14ac:dyDescent="0.2">
      <c r="B119" s="26" t="s">
        <v>185</v>
      </c>
      <c r="C119" s="26">
        <v>6607</v>
      </c>
      <c r="D119" s="26">
        <v>8943</v>
      </c>
      <c r="E119" s="26">
        <v>9917</v>
      </c>
      <c r="F119" s="26">
        <v>9735</v>
      </c>
      <c r="G119" s="26">
        <v>10952</v>
      </c>
      <c r="H119" s="26">
        <v>13873</v>
      </c>
      <c r="I119" s="26">
        <v>14923</v>
      </c>
      <c r="J119" s="26">
        <v>15804</v>
      </c>
      <c r="K119" s="26">
        <v>16745</v>
      </c>
      <c r="L119" s="26">
        <v>17079</v>
      </c>
      <c r="M119" s="26">
        <f>+I119*1.6</f>
        <v>23876.800000000003</v>
      </c>
      <c r="N119" s="26">
        <f>+J119*1.44</f>
        <v>22757.759999999998</v>
      </c>
      <c r="P119" s="35"/>
      <c r="Q119" s="35"/>
      <c r="X119" s="26">
        <f>X129-V129</f>
        <v>7102</v>
      </c>
      <c r="Y119" s="26">
        <f>Y129-(X129-X119)</f>
        <v>27452</v>
      </c>
      <c r="Z119" s="26">
        <f>(Z129-V129)*0.7</f>
        <v>36650.991999999998</v>
      </c>
      <c r="AA119" s="26">
        <f>Z119+(AA129-Z129)</f>
        <v>52742.703999999998</v>
      </c>
      <c r="AB119" s="26">
        <f t="shared" ref="AB119:AE125" si="59">AA119+(AB129-AA129)</f>
        <v>72052.758399999992</v>
      </c>
      <c r="AC119" s="26">
        <f t="shared" si="59"/>
        <v>95224.823679999972</v>
      </c>
      <c r="AD119" s="26">
        <f t="shared" si="59"/>
        <v>123031.30201599997</v>
      </c>
      <c r="AE119" s="26">
        <f t="shared" si="59"/>
        <v>156399.07601919997</v>
      </c>
    </row>
    <row r="120" spans="2:31" s="27" customFormat="1" x14ac:dyDescent="0.2">
      <c r="B120" s="27" t="s">
        <v>186</v>
      </c>
      <c r="C120" s="35">
        <v>6289</v>
      </c>
      <c r="D120" s="35">
        <f>13177-C120</f>
        <v>6888</v>
      </c>
      <c r="E120" s="35">
        <v>8055</v>
      </c>
      <c r="F120" s="35">
        <v>11019</v>
      </c>
      <c r="G120" s="35">
        <v>12012</v>
      </c>
      <c r="H120" s="35">
        <f>25198-G120</f>
        <v>13186</v>
      </c>
      <c r="I120" s="35">
        <f>38259-H120-G120</f>
        <v>13061</v>
      </c>
      <c r="J120" s="35">
        <f>52535-I120-H120-G120</f>
        <v>14276</v>
      </c>
      <c r="K120" s="26">
        <v>17197</v>
      </c>
      <c r="L120" s="26">
        <v>22446</v>
      </c>
      <c r="M120" s="26">
        <f>+L120+500</f>
        <v>22946</v>
      </c>
      <c r="N120" s="26">
        <f>+M120+500</f>
        <v>23446</v>
      </c>
      <c r="P120" s="34"/>
      <c r="Q120" s="34"/>
      <c r="X120" s="26">
        <f>X130-V130</f>
        <v>751</v>
      </c>
      <c r="Y120" s="26">
        <f>Y130-(X130-X120)</f>
        <v>21035</v>
      </c>
      <c r="Z120" s="26">
        <f t="shared" ref="Z120:Z125" si="60">(Z130-V130)*0.7</f>
        <v>38174.5</v>
      </c>
      <c r="AA120" s="26">
        <f t="shared" ref="AA120:AD125" si="61">Z120+(AA130-Z130)</f>
        <v>55381.5</v>
      </c>
      <c r="AB120" s="26">
        <f t="shared" si="61"/>
        <v>76029.899999999994</v>
      </c>
      <c r="AC120" s="26">
        <f t="shared" si="61"/>
        <v>100807.97999999998</v>
      </c>
      <c r="AD120" s="26">
        <f t="shared" si="61"/>
        <v>130541.67599999998</v>
      </c>
      <c r="AE120" s="26">
        <f t="shared" si="59"/>
        <v>166222.11119999996</v>
      </c>
    </row>
    <row r="121" spans="2:31" s="27" customFormat="1" x14ac:dyDescent="0.2">
      <c r="B121" s="27" t="s">
        <v>187</v>
      </c>
      <c r="C121" s="26">
        <v>14207</v>
      </c>
      <c r="D121" s="26">
        <v>11455</v>
      </c>
      <c r="E121" s="26">
        <v>12479</v>
      </c>
      <c r="F121" s="26">
        <v>14588</v>
      </c>
      <c r="G121" s="26">
        <v>14925</v>
      </c>
      <c r="H121" s="26">
        <v>17620</v>
      </c>
      <c r="I121" s="26">
        <v>22620</v>
      </c>
      <c r="J121" s="26">
        <v>27834</v>
      </c>
      <c r="K121" s="26">
        <v>25019</v>
      </c>
      <c r="L121" s="26">
        <v>32183</v>
      </c>
      <c r="M121" s="26">
        <f>+L121</f>
        <v>32183</v>
      </c>
      <c r="N121" s="26">
        <f>+M121</f>
        <v>32183</v>
      </c>
      <c r="P121" s="34"/>
      <c r="Q121" s="34"/>
      <c r="X121" s="26">
        <v>0</v>
      </c>
      <c r="Y121" s="26">
        <f>Y131-(X131-X121)</f>
        <v>30270</v>
      </c>
      <c r="Z121" s="26">
        <f t="shared" si="60"/>
        <v>40577.599999999999</v>
      </c>
      <c r="AA121" s="26">
        <f t="shared" si="61"/>
        <v>64891.200000000004</v>
      </c>
      <c r="AB121" s="26">
        <f t="shared" si="61"/>
        <v>94067.520000000019</v>
      </c>
      <c r="AC121" s="26">
        <f t="shared" si="61"/>
        <v>129079.10400000002</v>
      </c>
      <c r="AD121" s="26">
        <f t="shared" si="61"/>
        <v>171093.00480000002</v>
      </c>
      <c r="AE121" s="26">
        <f t="shared" si="59"/>
        <v>221509.68575999999</v>
      </c>
    </row>
    <row r="122" spans="2:31" s="27" customFormat="1" x14ac:dyDescent="0.2">
      <c r="B122" s="27" t="s">
        <v>166</v>
      </c>
      <c r="C122" s="35">
        <v>1428.5714285714287</v>
      </c>
      <c r="D122" s="35">
        <v>1428.5714285714287</v>
      </c>
      <c r="E122" s="35">
        <v>1428.5714285714287</v>
      </c>
      <c r="F122" s="35">
        <v>1428.5714285714287</v>
      </c>
      <c r="G122" s="35">
        <f>+F122+300</f>
        <v>1728.5714285714287</v>
      </c>
      <c r="H122" s="35">
        <f>+G122+300</f>
        <v>2028.5714285714287</v>
      </c>
      <c r="I122" s="26">
        <v>2650</v>
      </c>
      <c r="J122" s="26">
        <v>2650</v>
      </c>
      <c r="K122" s="26">
        <v>7000</v>
      </c>
      <c r="L122" s="26">
        <v>10000</v>
      </c>
      <c r="M122" s="26">
        <f>+L122+2000</f>
        <v>12000</v>
      </c>
      <c r="N122" s="26">
        <f>+M122+2000</f>
        <v>14000</v>
      </c>
      <c r="P122" s="34"/>
      <c r="Q122" s="34"/>
      <c r="X122" s="26">
        <f>X132-V132</f>
        <v>5714.2857142857147</v>
      </c>
      <c r="Y122" s="26">
        <f>Y132-(X132-X122)</f>
        <v>9057.1428571428569</v>
      </c>
      <c r="Z122" s="26">
        <f t="shared" si="60"/>
        <v>30099.999999999996</v>
      </c>
      <c r="AA122" s="26">
        <f t="shared" si="61"/>
        <v>38700</v>
      </c>
      <c r="AB122" s="26">
        <f t="shared" si="61"/>
        <v>49020</v>
      </c>
      <c r="AC122" s="26">
        <f t="shared" si="61"/>
        <v>61404</v>
      </c>
      <c r="AD122" s="26">
        <f t="shared" si="61"/>
        <v>76264.800000000003</v>
      </c>
      <c r="AE122" s="26">
        <f t="shared" si="59"/>
        <v>94097.76</v>
      </c>
    </row>
    <row r="123" spans="2:31" s="27" customFormat="1" x14ac:dyDescent="0.2">
      <c r="B123" s="27" t="s">
        <v>188</v>
      </c>
      <c r="C123" s="35">
        <f>200+221</f>
        <v>421</v>
      </c>
      <c r="D123" s="26">
        <v>766.66666666666663</v>
      </c>
      <c r="E123" s="26">
        <v>766.66666666666663</v>
      </c>
      <c r="F123" s="26">
        <v>766.66666666666663</v>
      </c>
      <c r="G123" s="26">
        <v>1742</v>
      </c>
      <c r="H123" s="26">
        <v>2247</v>
      </c>
      <c r="I123" s="26">
        <f>+H123</f>
        <v>2247</v>
      </c>
      <c r="J123" s="26">
        <f>+I123</f>
        <v>2247</v>
      </c>
      <c r="K123" s="26">
        <v>1407</v>
      </c>
      <c r="L123" s="26">
        <v>2453</v>
      </c>
      <c r="M123" s="26">
        <f>+L123+200</f>
        <v>2653</v>
      </c>
      <c r="N123" s="26">
        <f>+M123+200</f>
        <v>2853</v>
      </c>
      <c r="P123" s="34"/>
      <c r="Q123" s="34"/>
      <c r="X123" s="26">
        <f>X133-V133</f>
        <v>2720.9999999999995</v>
      </c>
      <c r="Y123" s="26">
        <f>Y133-(X133-X123)</f>
        <v>8483</v>
      </c>
      <c r="Z123" s="26">
        <f t="shared" si="60"/>
        <v>6556.2</v>
      </c>
      <c r="AA123" s="26">
        <f t="shared" si="61"/>
        <v>8429.3999999999978</v>
      </c>
      <c r="AB123" s="26">
        <f t="shared" si="61"/>
        <v>10677.239999999998</v>
      </c>
      <c r="AC123" s="26">
        <f t="shared" si="61"/>
        <v>13374.647999999997</v>
      </c>
      <c r="AD123" s="26">
        <f t="shared" si="61"/>
        <v>16611.537599999996</v>
      </c>
      <c r="AE123" s="26">
        <f t="shared" si="59"/>
        <v>20495.805119999994</v>
      </c>
    </row>
    <row r="124" spans="2:31" s="27" customFormat="1" x14ac:dyDescent="0.2">
      <c r="B124" s="27" t="s">
        <v>134</v>
      </c>
      <c r="C124" s="35">
        <v>6823</v>
      </c>
      <c r="D124" s="35">
        <v>6134</v>
      </c>
      <c r="E124" s="35">
        <v>6496</v>
      </c>
      <c r="F124" s="26">
        <v>7592</v>
      </c>
      <c r="G124" s="26">
        <v>6400</v>
      </c>
      <c r="H124" s="26">
        <v>8173</v>
      </c>
      <c r="I124" s="26">
        <v>8258</v>
      </c>
      <c r="J124" s="26">
        <v>14425</v>
      </c>
      <c r="K124" s="26">
        <v>16538</v>
      </c>
      <c r="L124" s="26">
        <f>+K124+2000</f>
        <v>18538</v>
      </c>
      <c r="M124" s="26">
        <f>+L124+2000</f>
        <v>20538</v>
      </c>
      <c r="N124" s="26">
        <f>+M124+2000</f>
        <v>22538</v>
      </c>
      <c r="P124" s="34"/>
      <c r="Q124" s="34"/>
      <c r="X124" s="26">
        <v>0</v>
      </c>
      <c r="Y124" s="26">
        <f>Y134-(X134-X124)</f>
        <v>10211</v>
      </c>
      <c r="Z124" s="26">
        <f t="shared" si="60"/>
        <v>32866.400000000001</v>
      </c>
      <c r="AA124" s="26">
        <f t="shared" si="61"/>
        <v>48496.799999999996</v>
      </c>
      <c r="AB124" s="26">
        <f t="shared" si="61"/>
        <v>67253.279999999999</v>
      </c>
      <c r="AC124" s="26">
        <f t="shared" si="61"/>
        <v>89761.055999999997</v>
      </c>
      <c r="AD124" s="26">
        <f t="shared" si="61"/>
        <v>116770.38719999998</v>
      </c>
      <c r="AE124" s="26">
        <f t="shared" si="59"/>
        <v>149181.58463999996</v>
      </c>
    </row>
    <row r="125" spans="2:31" s="27" customFormat="1" x14ac:dyDescent="0.2">
      <c r="B125" s="27" t="s">
        <v>135</v>
      </c>
      <c r="C125" s="34"/>
      <c r="D125" s="26">
        <v>1314</v>
      </c>
      <c r="E125" s="26">
        <v>1080</v>
      </c>
      <c r="F125" s="26">
        <v>1674</v>
      </c>
      <c r="G125" s="26">
        <v>2798</v>
      </c>
      <c r="H125" s="26">
        <v>2303</v>
      </c>
      <c r="I125" s="26">
        <v>3970</v>
      </c>
      <c r="J125" s="26">
        <v>5862</v>
      </c>
      <c r="K125" s="26">
        <v>9080</v>
      </c>
      <c r="L125" s="26">
        <f>+K125+500</f>
        <v>9580</v>
      </c>
      <c r="M125" s="26">
        <f>+L125+500</f>
        <v>10080</v>
      </c>
      <c r="N125" s="26">
        <f>+M125+500</f>
        <v>10580</v>
      </c>
      <c r="P125" s="34"/>
      <c r="Q125" s="34"/>
      <c r="X125" s="26">
        <v>0</v>
      </c>
      <c r="Y125" s="26">
        <f>Y135-(X135-X125)</f>
        <v>10865</v>
      </c>
      <c r="Z125" s="26">
        <f t="shared" si="60"/>
        <v>21784</v>
      </c>
      <c r="AA125" s="26">
        <f t="shared" si="61"/>
        <v>29648</v>
      </c>
      <c r="AB125" s="26">
        <f t="shared" si="61"/>
        <v>39084.799999999996</v>
      </c>
      <c r="AC125" s="26">
        <f t="shared" si="61"/>
        <v>50408.959999999992</v>
      </c>
      <c r="AD125" s="26">
        <f t="shared" si="61"/>
        <v>63997.95199999999</v>
      </c>
      <c r="AE125" s="26">
        <f t="shared" si="59"/>
        <v>80304.742399999988</v>
      </c>
    </row>
    <row r="126" spans="2:31" s="27" customFormat="1" x14ac:dyDescent="0.2">
      <c r="C126" s="34"/>
      <c r="D126" s="34"/>
      <c r="E126" s="34"/>
      <c r="F126" s="34"/>
      <c r="G126" s="34"/>
      <c r="H126" s="34"/>
      <c r="I126" s="34"/>
      <c r="J126" s="34"/>
      <c r="K126" s="34"/>
      <c r="L126" s="34"/>
      <c r="M126" s="34"/>
      <c r="N126" s="34"/>
      <c r="O126" s="34"/>
      <c r="P126" s="34"/>
      <c r="Q126" s="34"/>
      <c r="R126" s="34"/>
      <c r="S126" s="34"/>
      <c r="T126" s="26"/>
      <c r="U126" s="26"/>
      <c r="X126" s="26">
        <f>SUM(X118:X125)</f>
        <v>23488.285714285714</v>
      </c>
      <c r="Y126" s="26">
        <f t="shared" ref="Y126:AE126" si="62">SUM(Y118:Y125)</f>
        <v>124373.14285714286</v>
      </c>
      <c r="Z126" s="26">
        <f t="shared" si="62"/>
        <v>215109.69200000001</v>
      </c>
      <c r="AA126" s="26">
        <f t="shared" si="62"/>
        <v>312689.60399999999</v>
      </c>
      <c r="AB126" s="26">
        <f t="shared" si="62"/>
        <v>425465.49839999998</v>
      </c>
      <c r="AC126" s="26">
        <f t="shared" si="62"/>
        <v>560796.57167999994</v>
      </c>
      <c r="AD126" s="26">
        <f t="shared" si="62"/>
        <v>723193.85961599997</v>
      </c>
      <c r="AE126" s="26">
        <f t="shared" si="62"/>
        <v>918070.60513919999</v>
      </c>
    </row>
    <row r="127" spans="2:31" s="27" customFormat="1" x14ac:dyDescent="0.2">
      <c r="C127" s="34"/>
      <c r="D127" s="34"/>
      <c r="E127" s="34"/>
      <c r="F127" s="34"/>
      <c r="G127" s="34"/>
      <c r="H127" s="34"/>
      <c r="I127" s="34"/>
      <c r="J127" s="34"/>
      <c r="K127" s="34"/>
      <c r="L127" s="34"/>
      <c r="M127" s="34"/>
      <c r="N127" s="34"/>
      <c r="O127" s="34"/>
      <c r="P127" s="34"/>
      <c r="Q127" s="34"/>
      <c r="R127" s="34"/>
      <c r="S127" s="34"/>
      <c r="T127" s="26"/>
      <c r="U127" s="26"/>
      <c r="Z127" s="26"/>
    </row>
    <row r="128" spans="2:31" s="27" customFormat="1" x14ac:dyDescent="0.2">
      <c r="B128" s="27" t="s">
        <v>178</v>
      </c>
      <c r="C128" s="34"/>
      <c r="D128" s="34"/>
      <c r="E128" s="34"/>
      <c r="F128" s="34"/>
      <c r="G128" s="34"/>
      <c r="H128" s="34"/>
      <c r="I128" s="34"/>
      <c r="J128" s="34"/>
      <c r="K128" s="34"/>
      <c r="L128" s="34"/>
      <c r="M128" s="34"/>
      <c r="N128" s="34"/>
      <c r="O128" s="34"/>
      <c r="P128" s="34"/>
      <c r="Q128" s="34"/>
      <c r="R128" s="34"/>
      <c r="S128" s="34"/>
      <c r="T128" s="26"/>
      <c r="U128" s="26"/>
      <c r="W128" s="35">
        <f>SUM(C118:Q118)</f>
        <v>26200</v>
      </c>
      <c r="X128" s="35">
        <f>SUM(C118:F118)</f>
        <v>7200</v>
      </c>
      <c r="Y128" s="35">
        <f>SUM(G118:J118)</f>
        <v>7000</v>
      </c>
      <c r="Z128" s="35">
        <f>SUM(K118:N118)</f>
        <v>12000</v>
      </c>
      <c r="AA128" s="35">
        <f>Z128*1.2</f>
        <v>14400</v>
      </c>
      <c r="AB128" s="35">
        <f t="shared" ref="AB128:AE135" si="63">AA128*1.2</f>
        <v>17280</v>
      </c>
      <c r="AC128" s="35">
        <f t="shared" si="63"/>
        <v>20736</v>
      </c>
      <c r="AD128" s="35">
        <f t="shared" si="63"/>
        <v>24883.200000000001</v>
      </c>
      <c r="AE128" s="35">
        <f t="shared" si="63"/>
        <v>29859.84</v>
      </c>
    </row>
    <row r="129" spans="2:31" s="27" customFormat="1" x14ac:dyDescent="0.2">
      <c r="B129" s="27" t="s">
        <v>189</v>
      </c>
      <c r="C129" s="34"/>
      <c r="D129" s="34"/>
      <c r="E129" s="34"/>
      <c r="F129" s="34"/>
      <c r="G129" s="34"/>
      <c r="H129" s="34"/>
      <c r="I129" s="34"/>
      <c r="J129" s="34"/>
      <c r="K129" s="34"/>
      <c r="L129" s="34"/>
      <c r="M129" s="34"/>
      <c r="N129" s="34"/>
      <c r="O129" s="34"/>
      <c r="P129" s="34"/>
      <c r="Q129" s="34"/>
      <c r="R129" s="34"/>
      <c r="S129" s="34"/>
      <c r="T129" s="26"/>
      <c r="U129" s="26"/>
      <c r="V129" s="26">
        <v>28100</v>
      </c>
      <c r="W129" s="35">
        <v>41200</v>
      </c>
      <c r="X129" s="35">
        <f>SUM(C119:F119)</f>
        <v>35202</v>
      </c>
      <c r="Y129" s="35">
        <f>SUM(G119:J119)</f>
        <v>55552</v>
      </c>
      <c r="Z129" s="35">
        <f>SUM(K119:N119)</f>
        <v>80458.559999999998</v>
      </c>
      <c r="AA129" s="35">
        <f>Z129*1.2</f>
        <v>96550.271999999997</v>
      </c>
      <c r="AB129" s="35">
        <f t="shared" si="63"/>
        <v>115860.32639999999</v>
      </c>
      <c r="AC129" s="35">
        <f t="shared" si="63"/>
        <v>139032.39167999997</v>
      </c>
      <c r="AD129" s="35">
        <f t="shared" si="63"/>
        <v>166838.87001599997</v>
      </c>
      <c r="AE129" s="35">
        <f t="shared" si="63"/>
        <v>200206.64401919997</v>
      </c>
    </row>
    <row r="130" spans="2:31" s="27" customFormat="1" x14ac:dyDescent="0.2">
      <c r="B130" s="27" t="s">
        <v>196</v>
      </c>
      <c r="C130" s="34"/>
      <c r="D130" s="34"/>
      <c r="E130" s="34"/>
      <c r="F130" s="34"/>
      <c r="G130" s="34"/>
      <c r="H130" s="34"/>
      <c r="I130" s="34"/>
      <c r="J130" s="34"/>
      <c r="K130" s="34"/>
      <c r="L130" s="34"/>
      <c r="M130" s="34"/>
      <c r="N130" s="34"/>
      <c r="O130" s="34"/>
      <c r="P130" s="34"/>
      <c r="Q130" s="34"/>
      <c r="R130" s="34"/>
      <c r="S130" s="34"/>
      <c r="T130" s="26"/>
      <c r="U130" s="26"/>
      <c r="V130" s="26">
        <v>31500</v>
      </c>
      <c r="W130" s="35">
        <v>32300</v>
      </c>
      <c r="X130" s="35">
        <f>SUM(C120:F120)</f>
        <v>32251</v>
      </c>
      <c r="Y130" s="35">
        <f>SUM(G120:J120)</f>
        <v>52535</v>
      </c>
      <c r="Z130" s="35">
        <f>SUM(K120:N120)</f>
        <v>86035</v>
      </c>
      <c r="AA130" s="35">
        <f t="shared" ref="AA130:AD135" si="64">Z130*1.2</f>
        <v>103242</v>
      </c>
      <c r="AB130" s="35">
        <f t="shared" si="64"/>
        <v>123890.4</v>
      </c>
      <c r="AC130" s="35">
        <f t="shared" si="64"/>
        <v>148668.47999999998</v>
      </c>
      <c r="AD130" s="35">
        <f t="shared" si="64"/>
        <v>178402.17599999998</v>
      </c>
      <c r="AE130" s="35">
        <f t="shared" si="63"/>
        <v>214082.61119999996</v>
      </c>
    </row>
    <row r="131" spans="2:31" s="27" customFormat="1" x14ac:dyDescent="0.2">
      <c r="B131" s="27" t="s">
        <v>190</v>
      </c>
      <c r="C131" s="34"/>
      <c r="D131" s="34"/>
      <c r="E131" s="34"/>
      <c r="F131" s="34"/>
      <c r="G131" s="34"/>
      <c r="H131" s="34"/>
      <c r="I131" s="34"/>
      <c r="J131" s="34"/>
      <c r="K131" s="34"/>
      <c r="L131" s="34"/>
      <c r="M131" s="34"/>
      <c r="N131" s="34"/>
      <c r="O131" s="34"/>
      <c r="P131" s="34"/>
      <c r="Q131" s="34"/>
      <c r="R131" s="34"/>
      <c r="S131" s="34"/>
      <c r="T131" s="26"/>
      <c r="U131" s="26"/>
      <c r="V131" s="26">
        <v>63600</v>
      </c>
      <c r="W131" s="35">
        <v>52700</v>
      </c>
      <c r="X131" s="35">
        <f>SUM(C121:F121)</f>
        <v>52729</v>
      </c>
      <c r="Y131" s="35">
        <f>SUM(G121:J121)</f>
        <v>82999</v>
      </c>
      <c r="Z131" s="35">
        <f>SUM(K121:N121)</f>
        <v>121568</v>
      </c>
      <c r="AA131" s="35">
        <f t="shared" si="64"/>
        <v>145881.60000000001</v>
      </c>
      <c r="AB131" s="35">
        <f t="shared" si="64"/>
        <v>175057.92000000001</v>
      </c>
      <c r="AC131" s="35">
        <f t="shared" si="64"/>
        <v>210069.50400000002</v>
      </c>
      <c r="AD131" s="35">
        <f t="shared" si="64"/>
        <v>252083.40480000002</v>
      </c>
      <c r="AE131" s="35">
        <f t="shared" si="63"/>
        <v>302500.08575999999</v>
      </c>
    </row>
    <row r="132" spans="2:31" s="27" customFormat="1" x14ac:dyDescent="0.2">
      <c r="B132" s="27" t="s">
        <v>166</v>
      </c>
      <c r="C132" s="34"/>
      <c r="D132" s="34"/>
      <c r="E132" s="34"/>
      <c r="F132" s="34"/>
      <c r="G132" s="34"/>
      <c r="H132" s="34"/>
      <c r="I132" s="34"/>
      <c r="J132" s="34"/>
      <c r="K132" s="34"/>
      <c r="L132" s="34"/>
      <c r="M132" s="34"/>
      <c r="N132" s="34"/>
      <c r="O132" s="34"/>
      <c r="P132" s="34"/>
      <c r="Q132" s="34"/>
      <c r="R132" s="34"/>
      <c r="S132" s="34"/>
      <c r="T132" s="26"/>
      <c r="U132" s="26"/>
      <c r="V132" s="26"/>
      <c r="W132" s="35">
        <f>SUM(C122:Q122)</f>
        <v>57771.428571428572</v>
      </c>
      <c r="X132" s="35">
        <f>SUM(C122:F122)</f>
        <v>5714.2857142857147</v>
      </c>
      <c r="Y132" s="35">
        <f>SUM(G122:J122)</f>
        <v>9057.1428571428569</v>
      </c>
      <c r="Z132" s="35">
        <f>SUM(K122:N122)</f>
        <v>43000</v>
      </c>
      <c r="AA132" s="35">
        <f t="shared" si="64"/>
        <v>51600</v>
      </c>
      <c r="AB132" s="35">
        <f t="shared" si="64"/>
        <v>61920</v>
      </c>
      <c r="AC132" s="35">
        <f t="shared" si="64"/>
        <v>74304</v>
      </c>
      <c r="AD132" s="35">
        <f t="shared" si="64"/>
        <v>89164.800000000003</v>
      </c>
      <c r="AE132" s="35">
        <f t="shared" si="63"/>
        <v>106997.75999999999</v>
      </c>
    </row>
    <row r="133" spans="2:31" s="27" customFormat="1" x14ac:dyDescent="0.2">
      <c r="B133" s="27" t="s">
        <v>188</v>
      </c>
      <c r="C133" s="34"/>
      <c r="D133" s="34"/>
      <c r="E133" s="34"/>
      <c r="F133" s="34"/>
      <c r="G133" s="34"/>
      <c r="H133" s="34"/>
      <c r="I133" s="34"/>
      <c r="J133" s="34"/>
      <c r="K133" s="34"/>
      <c r="L133" s="34"/>
      <c r="M133" s="34"/>
      <c r="N133" s="34"/>
      <c r="O133" s="34"/>
      <c r="P133" s="34"/>
      <c r="Q133" s="34"/>
      <c r="R133" s="34"/>
      <c r="S133" s="34"/>
      <c r="T133" s="26"/>
      <c r="U133" s="26"/>
      <c r="V133" s="26"/>
      <c r="W133" s="35">
        <v>1000</v>
      </c>
      <c r="X133" s="35">
        <f>SUM(C123:F123)</f>
        <v>2720.9999999999995</v>
      </c>
      <c r="Y133" s="35">
        <f>SUM(G123:J123)</f>
        <v>8483</v>
      </c>
      <c r="Z133" s="35">
        <f>SUM(K123:N123)</f>
        <v>9366</v>
      </c>
      <c r="AA133" s="35">
        <f t="shared" si="64"/>
        <v>11239.199999999999</v>
      </c>
      <c r="AB133" s="35">
        <f t="shared" si="64"/>
        <v>13487.039999999999</v>
      </c>
      <c r="AC133" s="35">
        <f t="shared" si="64"/>
        <v>16184.447999999999</v>
      </c>
      <c r="AD133" s="35">
        <f t="shared" si="64"/>
        <v>19421.337599999999</v>
      </c>
      <c r="AE133" s="35">
        <f t="shared" si="63"/>
        <v>23305.605119999997</v>
      </c>
    </row>
    <row r="134" spans="2:31" s="27" customFormat="1" x14ac:dyDescent="0.2">
      <c r="B134" s="27" t="s">
        <v>163</v>
      </c>
      <c r="C134" s="34"/>
      <c r="D134" s="34"/>
      <c r="E134" s="34"/>
      <c r="F134" s="34"/>
      <c r="G134" s="34"/>
      <c r="H134" s="37"/>
      <c r="I134" s="34"/>
      <c r="J134" s="34"/>
      <c r="K134" s="34"/>
      <c r="L134" s="34"/>
      <c r="M134" s="34"/>
      <c r="N134" s="34"/>
      <c r="O134" s="34"/>
      <c r="P134" s="34"/>
      <c r="Q134" s="34"/>
      <c r="R134" s="34"/>
      <c r="S134" s="34"/>
      <c r="T134" s="26"/>
      <c r="U134" s="26"/>
      <c r="V134" s="26">
        <v>31200</v>
      </c>
      <c r="W134" s="35">
        <v>31600</v>
      </c>
      <c r="X134" s="35">
        <f>SUM(C124:F124)</f>
        <v>27045</v>
      </c>
      <c r="Y134" s="35">
        <f>SUM(G124:J124)</f>
        <v>37256</v>
      </c>
      <c r="Z134" s="35">
        <f>SUM(K124:N124)</f>
        <v>78152</v>
      </c>
      <c r="AA134" s="35">
        <f t="shared" si="64"/>
        <v>93782.399999999994</v>
      </c>
      <c r="AB134" s="35">
        <f t="shared" si="64"/>
        <v>112538.87999999999</v>
      </c>
      <c r="AC134" s="35">
        <f t="shared" si="64"/>
        <v>135046.65599999999</v>
      </c>
      <c r="AD134" s="35">
        <f t="shared" si="64"/>
        <v>162055.98719999997</v>
      </c>
      <c r="AE134" s="35">
        <f t="shared" si="63"/>
        <v>194467.18463999996</v>
      </c>
    </row>
    <row r="135" spans="2:31" s="27" customFormat="1" x14ac:dyDescent="0.2">
      <c r="B135" s="27" t="s">
        <v>176</v>
      </c>
      <c r="C135" s="34"/>
      <c r="D135" s="37"/>
      <c r="E135" s="34"/>
      <c r="F135" s="34"/>
      <c r="G135" s="34"/>
      <c r="H135" s="34"/>
      <c r="I135" s="34"/>
      <c r="J135" s="34"/>
      <c r="K135" s="34"/>
      <c r="L135" s="34"/>
      <c r="M135" s="34"/>
      <c r="N135" s="34"/>
      <c r="O135" s="34"/>
      <c r="P135" s="34"/>
      <c r="Q135" s="34"/>
      <c r="R135" s="34"/>
      <c r="S135" s="34"/>
      <c r="T135" s="26"/>
      <c r="U135" s="26"/>
      <c r="V135" s="26">
        <v>8200</v>
      </c>
      <c r="W135" s="35">
        <v>6000</v>
      </c>
      <c r="X135" s="35">
        <f>SUM(C125:F125)</f>
        <v>4068</v>
      </c>
      <c r="Y135" s="35">
        <f>SUM(G125:J125)</f>
        <v>14933</v>
      </c>
      <c r="Z135" s="35">
        <f>SUM(K125:N125)</f>
        <v>39320</v>
      </c>
      <c r="AA135" s="35">
        <f t="shared" si="64"/>
        <v>47184</v>
      </c>
      <c r="AB135" s="35">
        <f t="shared" si="64"/>
        <v>56620.799999999996</v>
      </c>
      <c r="AC135" s="35">
        <f t="shared" si="64"/>
        <v>67944.959999999992</v>
      </c>
      <c r="AD135" s="35">
        <f t="shared" si="64"/>
        <v>81533.95199999999</v>
      </c>
      <c r="AE135" s="35">
        <f t="shared" si="63"/>
        <v>97840.742399999988</v>
      </c>
    </row>
    <row r="136" spans="2:31" s="27" customFormat="1" x14ac:dyDescent="0.2">
      <c r="B136" s="27" t="s">
        <v>180</v>
      </c>
      <c r="C136" s="34"/>
      <c r="D136" s="36"/>
      <c r="E136" s="36"/>
      <c r="F136" s="34"/>
      <c r="G136" s="34"/>
      <c r="H136" s="34"/>
      <c r="I136" s="34"/>
      <c r="J136" s="34"/>
      <c r="K136" s="34"/>
      <c r="L136" s="34"/>
      <c r="M136" s="34"/>
      <c r="N136" s="34"/>
      <c r="O136" s="34"/>
      <c r="P136" s="34"/>
      <c r="Q136" s="34"/>
      <c r="R136" s="34"/>
      <c r="S136" s="34"/>
      <c r="T136" s="26"/>
      <c r="U136" s="26"/>
      <c r="V136" s="35">
        <f>SUM(V128:V135)</f>
        <v>162600</v>
      </c>
      <c r="W136" s="35">
        <f>SUM(W128:W135)</f>
        <v>248771.42857142858</v>
      </c>
      <c r="X136" s="35">
        <f t="shared" ref="X136:AE136" si="65">SUM(X128:X135)</f>
        <v>166930.28571428571</v>
      </c>
      <c r="Y136" s="35">
        <f t="shared" si="65"/>
        <v>267815.14285714284</v>
      </c>
      <c r="Z136" s="35">
        <f t="shared" si="65"/>
        <v>469899.56</v>
      </c>
      <c r="AA136" s="35">
        <f t="shared" si="65"/>
        <v>563879.47199999995</v>
      </c>
      <c r="AB136" s="35">
        <f t="shared" si="65"/>
        <v>676655.36639999994</v>
      </c>
      <c r="AC136" s="35">
        <f t="shared" si="65"/>
        <v>811986.43967999995</v>
      </c>
      <c r="AD136" s="35">
        <f t="shared" si="65"/>
        <v>974383.72761599999</v>
      </c>
      <c r="AE136" s="35">
        <f t="shared" si="65"/>
        <v>1169260.4731391999</v>
      </c>
    </row>
    <row r="137" spans="2:31" s="27" customFormat="1" x14ac:dyDescent="0.2">
      <c r="B137" s="27" t="s">
        <v>191</v>
      </c>
      <c r="C137" s="34"/>
      <c r="D137" s="36"/>
      <c r="E137" s="36"/>
      <c r="F137" s="36"/>
      <c r="G137" s="36"/>
      <c r="H137" s="36"/>
      <c r="I137" s="34"/>
      <c r="J137" s="34"/>
      <c r="K137" s="34"/>
      <c r="L137" s="34"/>
      <c r="M137" s="34"/>
      <c r="N137" s="34"/>
      <c r="O137" s="34"/>
      <c r="P137" s="34"/>
      <c r="Q137" s="34"/>
      <c r="R137" s="34"/>
      <c r="S137" s="35"/>
      <c r="T137" s="35"/>
      <c r="U137" s="35"/>
      <c r="V137" s="26"/>
      <c r="W137" s="26"/>
      <c r="X137" s="35">
        <f>X126</f>
        <v>23488.285714285714</v>
      </c>
      <c r="Y137" s="35">
        <f>Y126</f>
        <v>124373.14285714286</v>
      </c>
      <c r="Z137" s="35">
        <f>Z126</f>
        <v>215109.69200000001</v>
      </c>
      <c r="AA137" s="35">
        <f>AA126</f>
        <v>312689.60399999999</v>
      </c>
      <c r="AB137" s="35">
        <f t="shared" ref="AB137:AE137" si="66">AB126</f>
        <v>425465.49839999998</v>
      </c>
      <c r="AC137" s="35">
        <f t="shared" si="66"/>
        <v>560796.57167999994</v>
      </c>
      <c r="AD137" s="35">
        <f t="shared" si="66"/>
        <v>723193.85961599997</v>
      </c>
      <c r="AE137" s="35">
        <f t="shared" si="66"/>
        <v>918070.60513919999</v>
      </c>
    </row>
    <row r="138" spans="2:31" s="27" customFormat="1" x14ac:dyDescent="0.2">
      <c r="C138" s="34"/>
      <c r="D138" s="36"/>
      <c r="E138" s="36"/>
      <c r="F138" s="36"/>
      <c r="G138" s="36"/>
      <c r="H138" s="36"/>
      <c r="I138" s="36"/>
      <c r="J138" s="36"/>
      <c r="K138" s="36"/>
      <c r="L138" s="34"/>
      <c r="M138" s="34"/>
      <c r="N138" s="34"/>
      <c r="O138" s="34"/>
      <c r="P138" s="34"/>
      <c r="Q138" s="34"/>
      <c r="R138" s="34"/>
      <c r="S138" s="34"/>
      <c r="T138" s="26"/>
      <c r="U138" s="26"/>
    </row>
    <row r="139" spans="2:31" s="27" customFormat="1" x14ac:dyDescent="0.2">
      <c r="B139" s="27" t="s">
        <v>195</v>
      </c>
      <c r="C139" s="36">
        <f>C114/C116</f>
        <v>0</v>
      </c>
      <c r="D139" s="36">
        <f t="shared" ref="D139:N139" si="67">D114/D116</f>
        <v>0.33000858624757717</v>
      </c>
      <c r="E139" s="36">
        <f t="shared" si="67"/>
        <v>0.42915773339934837</v>
      </c>
      <c r="F139" s="36">
        <f t="shared" si="67"/>
        <v>0.46358676165526252</v>
      </c>
      <c r="G139" s="36">
        <f t="shared" si="67"/>
        <v>0.50392229488802531</v>
      </c>
      <c r="H139" s="36">
        <f t="shared" si="67"/>
        <v>0.48505930604317277</v>
      </c>
      <c r="I139" s="36">
        <f t="shared" si="67"/>
        <v>0.47582362435405334</v>
      </c>
      <c r="J139" s="36">
        <f t="shared" si="67"/>
        <v>0.45417908034827592</v>
      </c>
      <c r="K139" s="36">
        <f t="shared" si="67"/>
        <v>0.44513365526438081</v>
      </c>
      <c r="L139" s="36">
        <f t="shared" si="67"/>
        <v>0.39569284132717064</v>
      </c>
      <c r="M139" s="36">
        <f t="shared" si="67"/>
        <v>0.41134457878315134</v>
      </c>
      <c r="N139" s="36">
        <f t="shared" si="67"/>
        <v>0.43722198864459422</v>
      </c>
      <c r="O139" s="34"/>
      <c r="P139" s="34"/>
      <c r="Q139" s="34"/>
      <c r="R139" s="34"/>
      <c r="S139" s="34"/>
      <c r="T139" s="26"/>
      <c r="U139" s="26"/>
      <c r="X139" s="30">
        <f>X137/X136</f>
        <v>0.14070715576733486</v>
      </c>
      <c r="Y139" s="30">
        <f t="shared" ref="Y139:AE139" si="68">Y137/Y136</f>
        <v>0.46439921779735066</v>
      </c>
      <c r="Z139" s="30">
        <f t="shared" si="68"/>
        <v>0.45777802388238031</v>
      </c>
      <c r="AA139" s="30">
        <f t="shared" si="68"/>
        <v>0.55453269630641921</v>
      </c>
      <c r="AB139" s="30">
        <f t="shared" si="68"/>
        <v>0.62877724692201598</v>
      </c>
      <c r="AC139" s="30">
        <f t="shared" si="68"/>
        <v>0.69064770576834666</v>
      </c>
      <c r="AD139" s="30">
        <f t="shared" si="68"/>
        <v>0.74220642147362215</v>
      </c>
      <c r="AE139" s="30">
        <f t="shared" si="68"/>
        <v>0.78517201789468527</v>
      </c>
    </row>
    <row r="140" spans="2:31" s="27" customFormat="1" x14ac:dyDescent="0.2">
      <c r="C140" s="26"/>
      <c r="D140" s="26"/>
      <c r="E140" s="26"/>
      <c r="F140" s="34"/>
      <c r="G140" s="34"/>
      <c r="H140" s="34"/>
      <c r="I140" s="34"/>
      <c r="J140" s="34"/>
      <c r="K140" s="34"/>
      <c r="L140" s="34"/>
      <c r="M140" s="34"/>
      <c r="N140" s="34"/>
      <c r="O140" s="34"/>
      <c r="P140" s="34"/>
      <c r="Q140" s="34"/>
      <c r="R140" s="34"/>
    </row>
    <row r="141" spans="2:31" s="27" customFormat="1" x14ac:dyDescent="0.2">
      <c r="B141" s="27" t="s">
        <v>182</v>
      </c>
      <c r="C141" s="35">
        <f>C113</f>
        <v>16301.507142857143</v>
      </c>
      <c r="D141" s="35">
        <f>D113</f>
        <v>18418.157142857141</v>
      </c>
      <c r="E141" s="35">
        <f>E113</f>
        <v>19000.007142857143</v>
      </c>
      <c r="F141" s="35">
        <f>F113</f>
        <v>21455.207142857143</v>
      </c>
      <c r="G141" s="35">
        <f>G113</f>
        <v>23257.157142857144</v>
      </c>
      <c r="H141" s="35">
        <f>H113</f>
        <v>27868.757142857143</v>
      </c>
      <c r="I141" s="35">
        <f>I113</f>
        <v>33178.050000000003</v>
      </c>
      <c r="J141" s="35">
        <f>J113</f>
        <v>38969.1</v>
      </c>
      <c r="K141" s="35">
        <f>K113</f>
        <v>44543.700000000004</v>
      </c>
      <c r="L141" s="35">
        <f>L113</f>
        <v>47511.600000000006</v>
      </c>
      <c r="M141" s="35"/>
      <c r="N141" s="35"/>
      <c r="O141" s="34"/>
      <c r="P141" s="34"/>
      <c r="Q141" s="34"/>
      <c r="R141" s="34"/>
      <c r="X141" s="26">
        <f>X126</f>
        <v>23488.285714285714</v>
      </c>
      <c r="Y141" s="26">
        <f>Y126</f>
        <v>124373.14285714286</v>
      </c>
      <c r="Z141" s="26">
        <f>Z126</f>
        <v>215109.69200000001</v>
      </c>
      <c r="AA141" s="26">
        <f>AA126</f>
        <v>312689.60399999999</v>
      </c>
      <c r="AB141" s="26">
        <f>AB126</f>
        <v>425465.49839999998</v>
      </c>
      <c r="AC141" s="26">
        <f>AC126</f>
        <v>560796.57167999994</v>
      </c>
      <c r="AD141" s="26">
        <f>AD126</f>
        <v>723193.85961599997</v>
      </c>
      <c r="AE141" s="26">
        <f>AE126</f>
        <v>918070.60513919999</v>
      </c>
    </row>
    <row r="142" spans="2:31" s="27" customFormat="1" x14ac:dyDescent="0.2">
      <c r="B142" s="27" t="s">
        <v>192</v>
      </c>
      <c r="C142" s="35">
        <f>C114</f>
        <v>0</v>
      </c>
      <c r="D142" s="35">
        <f t="shared" ref="D142:L142" si="69">D114</f>
        <v>13507</v>
      </c>
      <c r="E142" s="35">
        <f t="shared" si="69"/>
        <v>18120</v>
      </c>
      <c r="F142" s="35">
        <f t="shared" si="69"/>
        <v>22103</v>
      </c>
      <c r="G142" s="35">
        <f t="shared" si="69"/>
        <v>26044</v>
      </c>
      <c r="H142" s="35">
        <f t="shared" si="69"/>
        <v>30040</v>
      </c>
      <c r="I142" s="35">
        <f t="shared" si="69"/>
        <v>35082</v>
      </c>
      <c r="J142" s="35">
        <f t="shared" si="69"/>
        <v>39331</v>
      </c>
      <c r="K142" s="35">
        <f t="shared" si="69"/>
        <v>44062</v>
      </c>
      <c r="L142" s="35">
        <f t="shared" si="69"/>
        <v>47000</v>
      </c>
      <c r="M142" s="35"/>
      <c r="N142" s="35"/>
      <c r="O142" s="34"/>
      <c r="P142" s="34"/>
      <c r="Q142" s="34"/>
      <c r="R142" s="34"/>
      <c r="X142" s="26">
        <f>X12</f>
        <v>60922</v>
      </c>
      <c r="Y142" s="26">
        <f>Y12</f>
        <v>130497</v>
      </c>
      <c r="Z142" s="26">
        <f>Z12</f>
        <v>204462</v>
      </c>
      <c r="AA142" s="26"/>
      <c r="AB142" s="26"/>
      <c r="AC142" s="26"/>
      <c r="AD142" s="26"/>
      <c r="AE142" s="26"/>
    </row>
    <row r="143" spans="2:31" s="27" customFormat="1" x14ac:dyDescent="0.2">
      <c r="B143" s="27" t="s">
        <v>193</v>
      </c>
      <c r="C143" s="36" t="e">
        <f t="shared" ref="C143" si="70">1-ABS((C141-C142)/C142)</f>
        <v>#DIV/0!</v>
      </c>
      <c r="D143" s="36">
        <f t="shared" ref="D143" si="71">1-ABS((D141-D142)/D142)</f>
        <v>0.63639911580238828</v>
      </c>
      <c r="E143" s="36">
        <f t="shared" ref="E143" si="72">1-ABS((E141-E142)/E142)</f>
        <v>0.9514344843897824</v>
      </c>
      <c r="F143" s="36">
        <f t="shared" ref="F143" si="73">1-ABS((F141-F142)/F142)</f>
        <v>0.97069208446170852</v>
      </c>
      <c r="G143" s="36">
        <f t="shared" ref="G143" si="74">1-ABS((G141-G142)/G142)</f>
        <v>0.89299482194966762</v>
      </c>
      <c r="H143" s="36">
        <f t="shared" ref="H143" si="75">1-ABS((H141-H142)/H142)</f>
        <v>0.92772160928286096</v>
      </c>
      <c r="I143" s="36">
        <f t="shared" ref="I143" si="76">1-ABS((I141-I142)/I142)</f>
        <v>0.94572857875833771</v>
      </c>
      <c r="J143" s="36">
        <f t="shared" ref="J143" si="77">1-ABS((J141-J142)/J142)</f>
        <v>0.99079860669700737</v>
      </c>
      <c r="K143" s="36">
        <f t="shared" ref="K143" si="78">1-ABS((K141-K142)/K142)</f>
        <v>0.9890676773637147</v>
      </c>
      <c r="L143" s="36">
        <f t="shared" ref="L143" si="79">1-ABS((L141-L142)/L142)</f>
        <v>0.98911489361702121</v>
      </c>
      <c r="M143" s="36"/>
      <c r="N143" s="36"/>
      <c r="O143" s="34"/>
      <c r="P143" s="34"/>
      <c r="Q143" s="34"/>
      <c r="R143" s="34"/>
      <c r="X143" s="36">
        <f t="shared" ref="X143:Z143" si="80">1-ABS((X141-X142)/X142)</f>
        <v>0.38554685851228965</v>
      </c>
      <c r="Y143" s="36">
        <f t="shared" si="80"/>
        <v>0.95307281283970402</v>
      </c>
      <c r="Z143" s="36">
        <f t="shared" si="80"/>
        <v>0.94792336962369528</v>
      </c>
      <c r="AA143" s="36"/>
    </row>
  </sheetData>
  <hyperlinks>
    <hyperlink ref="A1" location="Sheet1!A1" display="Main" xr:uid="{B4B00122-8A85-4496-941B-16C16C07E4D3}"/>
  </hyperlinks>
  <pageMargins left="0.7" right="0.7" top="0.75" bottom="0.75" header="0.3" footer="0.3"/>
  <pageSetup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E010-09A7-49CF-8E22-77AB92224E7C}">
  <dimension ref="A1:E4"/>
  <sheetViews>
    <sheetView zoomScaleNormal="100" workbookViewId="0">
      <pane ySplit="2" topLeftCell="A3" activePane="bottomLeft" state="frozen"/>
      <selection pane="bottomLeft" activeCell="E13" sqref="E13"/>
    </sheetView>
  </sheetViews>
  <sheetFormatPr defaultRowHeight="12.75" x14ac:dyDescent="0.2"/>
  <cols>
    <col min="1" max="1" width="5" style="10" bestFit="1" customWidth="1"/>
    <col min="2" max="3" width="9.140625" style="10"/>
    <col min="4" max="4" width="14.7109375" style="10" bestFit="1" customWidth="1"/>
    <col min="5" max="16384" width="9.140625" style="10"/>
  </cols>
  <sheetData>
    <row r="1" spans="1:5" x14ac:dyDescent="0.2">
      <c r="A1" s="11" t="s">
        <v>34</v>
      </c>
    </row>
    <row r="2" spans="1:5" x14ac:dyDescent="0.2">
      <c r="B2" s="10" t="s">
        <v>72</v>
      </c>
      <c r="C2" s="10" t="s">
        <v>73</v>
      </c>
      <c r="D2" s="10" t="s">
        <v>74</v>
      </c>
      <c r="E2" s="10" t="s">
        <v>75</v>
      </c>
    </row>
    <row r="4" spans="1:5" ht="15" x14ac:dyDescent="0.25">
      <c r="C4" s="10">
        <v>5</v>
      </c>
      <c r="D4" s="20" t="s">
        <v>147</v>
      </c>
      <c r="E4" s="21" t="s">
        <v>146</v>
      </c>
    </row>
  </sheetData>
  <hyperlinks>
    <hyperlink ref="A1" location="Main!A1" display="Main" xr:uid="{4A696BB3-0AB0-4B53-8219-D606EFC1494A}"/>
    <hyperlink ref="E4" r:id="rId1" xr:uid="{92129CF1-2945-45C4-8B8A-A1422027972F}"/>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Render Flores</dc:creator>
  <cp:lastModifiedBy>Liam R</cp:lastModifiedBy>
  <dcterms:created xsi:type="dcterms:W3CDTF">2025-04-07T17:41:16Z</dcterms:created>
  <dcterms:modified xsi:type="dcterms:W3CDTF">2025-09-04T04:33:01Z</dcterms:modified>
</cp:coreProperties>
</file>