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models\"/>
    </mc:Choice>
  </mc:AlternateContent>
  <xr:revisionPtr revIDLastSave="0" documentId="13_ncr:1_{C6A421AE-7F3C-48D2-8BA2-FBEDECC8F885}" xr6:coauthVersionLast="47" xr6:coauthVersionMax="47" xr10:uidLastSave="{00000000-0000-0000-0000-000000000000}"/>
  <bookViews>
    <workbookView xWindow="1170" yWindow="1170" windowWidth="22200" windowHeight="14205" activeTab="1" xr2:uid="{08012682-0F50-4229-84EC-14421E66CA3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2" l="1"/>
  <c r="F3" i="2"/>
  <c r="G3" i="2" s="1"/>
  <c r="H3" i="2" s="1"/>
  <c r="I3" i="2" s="1"/>
  <c r="J3" i="2" s="1"/>
  <c r="K3" i="2" s="1"/>
  <c r="L3" i="2" s="1"/>
  <c r="M3" i="2" s="1"/>
  <c r="N3" i="2" s="1"/>
  <c r="O3" i="2" s="1"/>
  <c r="O3" i="1"/>
  <c r="D33" i="2"/>
  <c r="E33" i="2"/>
  <c r="C33" i="2"/>
  <c r="F18" i="2"/>
  <c r="G18" i="2" s="1"/>
  <c r="H18" i="2" s="1"/>
  <c r="I18" i="2" s="1"/>
  <c r="J18" i="2" s="1"/>
  <c r="K18" i="2" s="1"/>
  <c r="L18" i="2" s="1"/>
  <c r="M18" i="2" s="1"/>
  <c r="N18" i="2" s="1"/>
  <c r="O18" i="2" s="1"/>
  <c r="E25" i="2"/>
  <c r="D25" i="2"/>
  <c r="D15" i="2"/>
  <c r="E15" i="2"/>
  <c r="C15" i="2"/>
  <c r="E35" i="2"/>
  <c r="F17" i="2" s="1"/>
  <c r="D8" i="2"/>
  <c r="D9" i="2" s="1"/>
  <c r="E8" i="2"/>
  <c r="E9" i="2" s="1"/>
  <c r="C8" i="2"/>
  <c r="C9" i="2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O4" i="1"/>
  <c r="O7" i="1" s="1"/>
  <c r="F25" i="2" l="1"/>
  <c r="F15" i="2"/>
  <c r="C27" i="2"/>
  <c r="C16" i="2"/>
  <c r="C19" i="2" s="1"/>
  <c r="E27" i="2"/>
  <c r="E16" i="2"/>
  <c r="E19" i="2" s="1"/>
  <c r="D27" i="2"/>
  <c r="D16" i="2"/>
  <c r="D19" i="2" s="1"/>
  <c r="F8" i="2"/>
  <c r="F9" i="2" s="1"/>
  <c r="F16" i="2" l="1"/>
  <c r="F19" i="2" s="1"/>
  <c r="F20" i="2" s="1"/>
  <c r="D21" i="2"/>
  <c r="E21" i="2"/>
  <c r="C21" i="2"/>
  <c r="G25" i="2"/>
  <c r="G15" i="2" s="1"/>
  <c r="G8" i="2"/>
  <c r="G9" i="2" s="1"/>
  <c r="G16" i="2" l="1"/>
  <c r="H8" i="2"/>
  <c r="H9" i="2" s="1"/>
  <c r="H25" i="2"/>
  <c r="H15" i="2" s="1"/>
  <c r="H16" i="2" l="1"/>
  <c r="I8" i="2"/>
  <c r="I9" i="2" s="1"/>
  <c r="I25" i="2"/>
  <c r="I15" i="2" s="1"/>
  <c r="K8" i="2" l="1"/>
  <c r="K9" i="2" s="1"/>
  <c r="K25" i="2"/>
  <c r="I16" i="2"/>
  <c r="J8" i="2"/>
  <c r="J9" i="2" s="1"/>
  <c r="J25" i="2"/>
  <c r="J15" i="2" s="1"/>
  <c r="K15" i="2" l="1"/>
  <c r="K16" i="2" s="1"/>
  <c r="L25" i="2"/>
  <c r="L8" i="2"/>
  <c r="L9" i="2" s="1"/>
  <c r="J16" i="2"/>
  <c r="L15" i="2" l="1"/>
  <c r="L16" i="2" s="1"/>
  <c r="M25" i="2"/>
  <c r="M15" i="2" s="1"/>
  <c r="M8" i="2"/>
  <c r="M9" i="2" s="1"/>
  <c r="M16" i="2" s="1"/>
  <c r="N25" i="2" l="1"/>
  <c r="N15" i="2" s="1"/>
  <c r="N8" i="2"/>
  <c r="N9" i="2" s="1"/>
  <c r="N16" i="2" l="1"/>
  <c r="O25" i="2"/>
  <c r="O15" i="2" s="1"/>
  <c r="O8" i="2"/>
  <c r="O9" i="2" s="1"/>
  <c r="O16" i="2" s="1"/>
  <c r="F21" i="2"/>
  <c r="F35" i="2" l="1"/>
  <c r="F22" i="2"/>
  <c r="F33" i="2"/>
  <c r="G17" i="2"/>
  <c r="G19" i="2" s="1"/>
  <c r="G20" i="2" l="1"/>
  <c r="G21" i="2" s="1"/>
  <c r="G33" i="2" s="1"/>
  <c r="G35" i="2" l="1"/>
  <c r="H17" i="2" l="1"/>
  <c r="H19" i="2" s="1"/>
  <c r="H20" i="2" l="1"/>
  <c r="H21" i="2" s="1"/>
  <c r="H33" i="2" s="1"/>
  <c r="H35" i="2" l="1"/>
  <c r="I17" i="2" l="1"/>
  <c r="I19" i="2" s="1"/>
  <c r="I20" i="2" l="1"/>
  <c r="I21" i="2" s="1"/>
  <c r="I33" i="2" s="1"/>
  <c r="I35" i="2" l="1"/>
  <c r="J17" i="2" l="1"/>
  <c r="J19" i="2" s="1"/>
  <c r="J20" i="2" l="1"/>
  <c r="J21" i="2"/>
  <c r="J33" i="2" s="1"/>
  <c r="J35" i="2" l="1"/>
  <c r="K17" i="2" l="1"/>
  <c r="K19" i="2" s="1"/>
  <c r="K20" i="2" l="1"/>
  <c r="K21" i="2"/>
  <c r="K33" i="2" s="1"/>
  <c r="K35" i="2" l="1"/>
  <c r="L17" i="2" l="1"/>
  <c r="L19" i="2" s="1"/>
  <c r="L20" i="2" l="1"/>
  <c r="L21" i="2" s="1"/>
  <c r="L33" i="2" s="1"/>
  <c r="L35" i="2" l="1"/>
  <c r="M17" i="2" l="1"/>
  <c r="M19" i="2" s="1"/>
  <c r="M20" i="2" l="1"/>
  <c r="M21" i="2"/>
  <c r="M33" i="2" s="1"/>
  <c r="M35" i="2" l="1"/>
  <c r="N17" i="2" l="1"/>
  <c r="N19" i="2" s="1"/>
  <c r="N20" i="2" l="1"/>
  <c r="N21" i="2"/>
  <c r="N33" i="2" s="1"/>
  <c r="N35" i="2" l="1"/>
  <c r="O17" i="2" l="1"/>
  <c r="O19" i="2" s="1"/>
  <c r="O20" i="2" l="1"/>
  <c r="O21" i="2"/>
  <c r="O33" i="2" s="1"/>
  <c r="P33" i="2" l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R29" i="2" s="1"/>
  <c r="R30" i="2" s="1"/>
  <c r="P21" i="2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O35" i="2"/>
</calcChain>
</file>

<file path=xl/sharedStrings.xml><?xml version="1.0" encoding="utf-8"?>
<sst xmlns="http://schemas.openxmlformats.org/spreadsheetml/2006/main" count="47" uniqueCount="42">
  <si>
    <t>Price</t>
  </si>
  <si>
    <t>Shares</t>
  </si>
  <si>
    <t>MC</t>
  </si>
  <si>
    <t>Debt</t>
  </si>
  <si>
    <t>Cash</t>
  </si>
  <si>
    <t>EV</t>
  </si>
  <si>
    <t>Revenue</t>
  </si>
  <si>
    <t>COGS</t>
  </si>
  <si>
    <t>Oil &amp; Gas</t>
  </si>
  <si>
    <t>Transporation &amp; Gathering</t>
  </si>
  <si>
    <t>Chemical &amp; Midstream</t>
  </si>
  <si>
    <t>Commodities Purchases</t>
  </si>
  <si>
    <t>Gross Profit</t>
  </si>
  <si>
    <t>SG&amp;A</t>
  </si>
  <si>
    <t>Other Operating Expense</t>
  </si>
  <si>
    <t>Other Taxes</t>
  </si>
  <si>
    <t>D&amp;A</t>
  </si>
  <si>
    <t>Exploration</t>
  </si>
  <si>
    <t>OPEX</t>
  </si>
  <si>
    <t>Interest</t>
  </si>
  <si>
    <t>Operating Income</t>
  </si>
  <si>
    <t>Equity Investments</t>
  </si>
  <si>
    <t>Pretax Income</t>
  </si>
  <si>
    <t>Tax</t>
  </si>
  <si>
    <t>Net Income</t>
  </si>
  <si>
    <t>EPS</t>
  </si>
  <si>
    <t>Revenue Growth</t>
  </si>
  <si>
    <t>Gross Margin</t>
  </si>
  <si>
    <t>Operating Margin</t>
  </si>
  <si>
    <t>FCF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</si>
  <si>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</si>
  <si>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</si>
  <si>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</si>
  <si>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</si>
  <si>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</si>
  <si>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</si>
  <si>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</si>
  <si>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</si>
  <si>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Main</t>
  </si>
  <si>
    <t>Share</t>
  </si>
  <si>
    <t>Q125</t>
  </si>
  <si>
    <t>PP&amp;E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</si>
</sst>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/>
    <xf numFmtId="0" fontId="4" fillId="0" borderId="0" xfId="0" applyFont="1"/>
    <xf numFmtId="3" fontId="4" fillId="0" borderId="0" xfId="0" applyNumberFormat="1" applyFont="1"/>
    <xf numFmtId="1" fontId="4" fillId="0" borderId="0" xfId="0" applyNumberFormat="1" applyFont="1"/>
    <xf numFmtId="3" fontId="5" fillId="0" borderId="0" xfId="0" applyNumberFormat="1" applyFont="1"/>
    <xf numFmtId="9" fontId="4" fillId="0" borderId="0" xfId="0" applyNumberFormat="1" applyFont="1"/>
    <xf numFmtId="9" fontId="5" fillId="0" borderId="0" xfId="0" applyNumberFormat="1" applyFont="1"/>
    <xf numFmtId="10" fontId="4" fillId="0" borderId="0" xfId="0" applyNumberFormat="1" applyFont="1"/>
    <xf numFmtId="3" fontId="6" fillId="0" borderId="0" xfId="1" applyNumberFormat="1"/>
    <xf numFmtId="4" fontId="4" fillId="0" borderId="0" xfId="0" applyNumberFormat="1" applyFont="1"/>
    <xf numFmtId="3" fontId="3" fillId="0" borderId="0" xfId="0" applyNumberFormat="1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9525</xdr:rowOff>
    </xdr:from>
    <xdr:to>
      <xdr:col>5</xdr:col>
      <xdr:colOff>19050</xdr:colOff>
      <xdr:row>37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EE8E5B2-2C18-BF81-64BF-E604B08CD4CD}"/>
            </a:ext>
          </a:extLst>
        </xdr:cNvPr>
        <xdr:cNvCxnSpPr/>
      </xdr:nvCxnSpPr>
      <xdr:spPr>
        <a:xfrm>
          <a:off x="2428875" y="9525"/>
          <a:ext cx="28575" cy="6972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9A49-802E-4E87-81BC-A60DBADF9707}">
  <dimension ref="A1:P10"/>
  <sheetViews>
    <sheetView zoomScale="115" zoomScaleNormal="115" workbookViewId="0"/>
  </sheetViews>
  <sheetFormatPr defaultRowHeight="12.75" x14ac:dyDescent="0.2"/>
  <cols>
    <col min="1" max="16384" width="9.140625" style="2"/>
  </cols>
  <sheetData>
    <row r="1" spans="1:16" x14ac:dyDescent="0.2">
      <c r="A1" s="1"/>
    </row>
    <row r="2" spans="1:16" x14ac:dyDescent="0.2">
      <c r="N2" s="2" t="s">
        <v>0</v>
      </c>
      <c r="O2" s="10">
        <v>44</v>
      </c>
    </row>
    <row r="3" spans="1:16" x14ac:dyDescent="0.2">
      <c r="N3" s="2" t="s">
        <v>1</v>
      </c>
      <c r="O3" s="3">
        <f>984.132</f>
        <v>984.13199999999995</v>
      </c>
      <c r="P3" s="12" t="s">
        <v>40</v>
      </c>
    </row>
    <row r="4" spans="1:16" x14ac:dyDescent="0.2">
      <c r="N4" s="2" t="s">
        <v>2</v>
      </c>
      <c r="O4" s="3">
        <f>O2*O3</f>
        <v>43301.807999999997</v>
      </c>
    </row>
    <row r="5" spans="1:16" x14ac:dyDescent="0.2">
      <c r="N5" s="2" t="s">
        <v>4</v>
      </c>
      <c r="O5" s="3">
        <v>2612</v>
      </c>
      <c r="P5" s="12" t="s">
        <v>40</v>
      </c>
    </row>
    <row r="6" spans="1:16" x14ac:dyDescent="0.2">
      <c r="N6" s="2" t="s">
        <v>3</v>
      </c>
      <c r="O6" s="3">
        <v>24037</v>
      </c>
      <c r="P6" s="12" t="s">
        <v>40</v>
      </c>
    </row>
    <row r="7" spans="1:16" x14ac:dyDescent="0.2">
      <c r="N7" s="2" t="s">
        <v>5</v>
      </c>
      <c r="O7" s="3">
        <f>O4+O6-O5</f>
        <v>64726.80799999999</v>
      </c>
    </row>
    <row r="8" spans="1:16" x14ac:dyDescent="0.2">
      <c r="P8" s="3"/>
    </row>
    <row r="10" spans="1:16" x14ac:dyDescent="0.2">
      <c r="P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0DD9-D054-412C-8D4F-F7B90108ECDA}">
  <dimension ref="A1:CV40"/>
  <sheetViews>
    <sheetView tabSelected="1" zoomScale="130" zoomScaleNormal="130" workbookViewId="0">
      <pane xSplit="2" ySplit="2" topLeftCell="C13" activePane="bottomRight" state="frozen"/>
      <selection pane="topRight" activeCell="B1" sqref="B1"/>
      <selection pane="bottomLeft" activeCell="A2" sqref="A2"/>
      <selection pane="bottomRight" activeCell="J28" sqref="J28"/>
    </sheetView>
  </sheetViews>
  <sheetFormatPr defaultRowHeight="12.75" x14ac:dyDescent="0.2"/>
  <cols>
    <col min="1" max="1" width="5" style="3" customWidth="1"/>
    <col min="2" max="2" width="24" style="3" customWidth="1"/>
    <col min="3" max="16384" width="9.140625" style="3"/>
  </cols>
  <sheetData>
    <row r="1" spans="1:15" ht="15" x14ac:dyDescent="0.25">
      <c r="A1" s="9" t="s">
        <v>38</v>
      </c>
    </row>
    <row r="2" spans="1:15" x14ac:dyDescent="0.2">
      <c r="C2" s="4">
        <v>2022</v>
      </c>
      <c r="D2" s="4">
        <f>C2+1</f>
        <v>2023</v>
      </c>
      <c r="E2" s="4">
        <f t="shared" ref="E2:J2" si="0">D2+1</f>
        <v>2024</v>
      </c>
      <c r="F2" s="4">
        <f t="shared" si="0"/>
        <v>2025</v>
      </c>
      <c r="G2" s="4">
        <f t="shared" si="0"/>
        <v>2026</v>
      </c>
      <c r="H2" s="4">
        <f t="shared" si="0"/>
        <v>2027</v>
      </c>
      <c r="I2" s="4">
        <f t="shared" si="0"/>
        <v>2028</v>
      </c>
      <c r="J2" s="4">
        <f t="shared" si="0"/>
        <v>2029</v>
      </c>
      <c r="K2" s="4">
        <f t="shared" ref="K2" si="1">J2+1</f>
        <v>2030</v>
      </c>
      <c r="L2" s="4">
        <f t="shared" ref="L2" si="2">K2+1</f>
        <v>2031</v>
      </c>
      <c r="M2" s="4">
        <f t="shared" ref="M2" si="3">L2+1</f>
        <v>2032</v>
      </c>
      <c r="N2" s="4">
        <f t="shared" ref="N2" si="4">M2+1</f>
        <v>2033</v>
      </c>
      <c r="O2" s="4">
        <f t="shared" ref="O2" si="5">N2+1</f>
        <v>2034</v>
      </c>
    </row>
    <row r="3" spans="1:15" s="5" customFormat="1" x14ac:dyDescent="0.2">
      <c r="B3" s="5" t="s">
        <v>6</v>
      </c>
      <c r="C3" s="5">
        <v>36634</v>
      </c>
      <c r="D3" s="5">
        <v>28257</v>
      </c>
      <c r="E3" s="5">
        <v>26725</v>
      </c>
      <c r="F3" s="5">
        <f>E3*1.01</f>
        <v>26992.25</v>
      </c>
      <c r="G3" s="5">
        <f t="shared" ref="G3:O3" si="6">F3*1.01</f>
        <v>27262.172500000001</v>
      </c>
      <c r="H3" s="5">
        <f t="shared" si="6"/>
        <v>27534.794225000001</v>
      </c>
      <c r="I3" s="5">
        <f t="shared" si="6"/>
        <v>27810.14216725</v>
      </c>
      <c r="J3" s="5">
        <f t="shared" si="6"/>
        <v>28088.243588922502</v>
      </c>
      <c r="K3" s="5">
        <f t="shared" si="6"/>
        <v>28369.126024811729</v>
      </c>
      <c r="L3" s="5">
        <f t="shared" si="6"/>
        <v>28652.817285059846</v>
      </c>
      <c r="M3" s="5">
        <f t="shared" si="6"/>
        <v>28939.345457910444</v>
      </c>
      <c r="N3" s="5">
        <f t="shared" si="6"/>
        <v>29228.738912489549</v>
      </c>
      <c r="O3" s="5">
        <f t="shared" si="6"/>
        <v>29521.026301614445</v>
      </c>
    </row>
    <row r="4" spans="1:15" x14ac:dyDescent="0.2">
      <c r="B4" s="3" t="s">
        <v>8</v>
      </c>
      <c r="C4" s="3">
        <v>4028</v>
      </c>
      <c r="D4" s="3">
        <v>4677</v>
      </c>
      <c r="E4" s="3">
        <v>4738</v>
      </c>
    </row>
    <row r="5" spans="1:15" x14ac:dyDescent="0.2">
      <c r="B5" s="3" t="s">
        <v>9</v>
      </c>
      <c r="C5" s="3">
        <v>1475</v>
      </c>
      <c r="D5" s="3">
        <v>1481</v>
      </c>
      <c r="E5" s="3">
        <v>1608</v>
      </c>
    </row>
    <row r="6" spans="1:15" x14ac:dyDescent="0.2">
      <c r="B6" s="3" t="s">
        <v>10</v>
      </c>
      <c r="C6" s="3">
        <v>3273</v>
      </c>
      <c r="D6" s="3">
        <v>3116</v>
      </c>
      <c r="E6" s="3">
        <v>3121</v>
      </c>
    </row>
    <row r="7" spans="1:15" x14ac:dyDescent="0.2">
      <c r="B7" s="3" t="s">
        <v>11</v>
      </c>
      <c r="C7" s="3">
        <v>3287</v>
      </c>
      <c r="D7" s="3">
        <v>2009</v>
      </c>
      <c r="E7" s="3">
        <v>337</v>
      </c>
    </row>
    <row r="8" spans="1:15" x14ac:dyDescent="0.2">
      <c r="B8" s="3" t="s">
        <v>7</v>
      </c>
      <c r="C8" s="3">
        <f>SUM(C4:C7)</f>
        <v>12063</v>
      </c>
      <c r="D8" s="3">
        <f t="shared" ref="D8:E8" si="7">SUM(D4:D7)</f>
        <v>11283</v>
      </c>
      <c r="E8" s="3">
        <f t="shared" si="7"/>
        <v>9804</v>
      </c>
      <c r="F8" s="3">
        <f t="shared" ref="F8:O8" si="8">F3*(1-F27)</f>
        <v>10257.055</v>
      </c>
      <c r="G8" s="3">
        <f t="shared" si="8"/>
        <v>10359.625550000001</v>
      </c>
      <c r="H8" s="3">
        <f t="shared" si="8"/>
        <v>10463.221805500001</v>
      </c>
      <c r="I8" s="3">
        <f t="shared" si="8"/>
        <v>10567.854023555001</v>
      </c>
      <c r="J8" s="3">
        <f t="shared" si="8"/>
        <v>10673.532563790552</v>
      </c>
      <c r="K8" s="3">
        <f t="shared" si="8"/>
        <v>10780.267889428456</v>
      </c>
      <c r="L8" s="3">
        <f t="shared" si="8"/>
        <v>10888.070568322741</v>
      </c>
      <c r="M8" s="3">
        <f t="shared" si="8"/>
        <v>10996.951274005969</v>
      </c>
      <c r="N8" s="3">
        <f t="shared" si="8"/>
        <v>11106.920786746028</v>
      </c>
      <c r="O8" s="3">
        <f t="shared" si="8"/>
        <v>11217.98999461349</v>
      </c>
    </row>
    <row r="9" spans="1:15" x14ac:dyDescent="0.2">
      <c r="B9" s="3" t="s">
        <v>12</v>
      </c>
      <c r="C9" s="3">
        <f>C3-C8</f>
        <v>24571</v>
      </c>
      <c r="D9" s="3">
        <f t="shared" ref="D9:E9" si="9">D3-D8</f>
        <v>16974</v>
      </c>
      <c r="E9" s="3">
        <f t="shared" si="9"/>
        <v>16921</v>
      </c>
      <c r="F9" s="3">
        <f t="shared" ref="F9" si="10">F3-F8</f>
        <v>16735.195</v>
      </c>
      <c r="G9" s="3">
        <f t="shared" ref="G9" si="11">G3-G8</f>
        <v>16902.54695</v>
      </c>
      <c r="H9" s="3">
        <f t="shared" ref="H9" si="12">H3-H8</f>
        <v>17071.5724195</v>
      </c>
      <c r="I9" s="3">
        <f t="shared" ref="I9" si="13">I3-I8</f>
        <v>17242.288143694997</v>
      </c>
      <c r="J9" s="3">
        <f t="shared" ref="J9:O9" si="14">J3-J8</f>
        <v>17414.71102513195</v>
      </c>
      <c r="K9" s="3">
        <f t="shared" si="14"/>
        <v>17588.858135383271</v>
      </c>
      <c r="L9" s="3">
        <f t="shared" si="14"/>
        <v>17764.746716737107</v>
      </c>
      <c r="M9" s="3">
        <f t="shared" si="14"/>
        <v>17942.394183904475</v>
      </c>
      <c r="N9" s="3">
        <f t="shared" si="14"/>
        <v>18121.818125743521</v>
      </c>
      <c r="O9" s="3">
        <f t="shared" si="14"/>
        <v>18303.036307000955</v>
      </c>
    </row>
    <row r="10" spans="1:15" x14ac:dyDescent="0.2">
      <c r="B10" s="3" t="s">
        <v>13</v>
      </c>
      <c r="C10" s="3">
        <v>945</v>
      </c>
      <c r="D10" s="3">
        <v>1083</v>
      </c>
      <c r="E10" s="3">
        <v>1062</v>
      </c>
    </row>
    <row r="11" spans="1:15" x14ac:dyDescent="0.2">
      <c r="B11" s="3" t="s">
        <v>14</v>
      </c>
      <c r="C11" s="3">
        <v>1271</v>
      </c>
      <c r="D11" s="3">
        <v>1084</v>
      </c>
      <c r="E11" s="3">
        <v>1581</v>
      </c>
    </row>
    <row r="12" spans="1:15" x14ac:dyDescent="0.2">
      <c r="B12" s="3" t="s">
        <v>15</v>
      </c>
      <c r="C12" s="3">
        <v>1271</v>
      </c>
      <c r="D12" s="3">
        <v>1084</v>
      </c>
      <c r="E12" s="3">
        <v>1062</v>
      </c>
    </row>
    <row r="13" spans="1:15" x14ac:dyDescent="0.2">
      <c r="B13" s="3" t="s">
        <v>16</v>
      </c>
      <c r="C13" s="3">
        <v>6926</v>
      </c>
      <c r="D13" s="3">
        <v>6865</v>
      </c>
      <c r="E13" s="3">
        <v>7371</v>
      </c>
    </row>
    <row r="14" spans="1:15" x14ac:dyDescent="0.2">
      <c r="B14" s="3" t="s">
        <v>17</v>
      </c>
      <c r="C14" s="3">
        <v>216</v>
      </c>
      <c r="D14" s="3">
        <v>441</v>
      </c>
      <c r="E14" s="3">
        <v>275</v>
      </c>
    </row>
    <row r="15" spans="1:15" x14ac:dyDescent="0.2">
      <c r="B15" s="3" t="s">
        <v>18</v>
      </c>
      <c r="C15" s="3">
        <f>SUM(C10:C14)</f>
        <v>10629</v>
      </c>
      <c r="D15" s="3">
        <f t="shared" ref="D15:E15" si="15">SUM(D10:D14)</f>
        <v>10557</v>
      </c>
      <c r="E15" s="3">
        <f t="shared" si="15"/>
        <v>11351</v>
      </c>
      <c r="F15" s="3">
        <f>E15*(1+F25)</f>
        <v>11464.51</v>
      </c>
      <c r="G15" s="3">
        <f t="shared" ref="G15:J15" si="16">F15*(1+G25)</f>
        <v>11579.1551</v>
      </c>
      <c r="H15" s="3">
        <f t="shared" si="16"/>
        <v>11694.946651</v>
      </c>
      <c r="I15" s="3">
        <f t="shared" si="16"/>
        <v>11811.896117510001</v>
      </c>
      <c r="J15" s="3">
        <f t="shared" si="16"/>
        <v>11930.015078685101</v>
      </c>
      <c r="K15" s="3">
        <f t="shared" ref="K15" si="17">J15*(1+K25)</f>
        <v>12049.315229471951</v>
      </c>
      <c r="L15" s="3">
        <f t="shared" ref="L15" si="18">K15*(1+L25)</f>
        <v>12169.80838176667</v>
      </c>
      <c r="M15" s="3">
        <f t="shared" ref="M15" si="19">L15*(1+M25)</f>
        <v>12291.506465584336</v>
      </c>
      <c r="N15" s="3">
        <f t="shared" ref="N15" si="20">M15*(1+N25)</f>
        <v>12414.421530240179</v>
      </c>
      <c r="O15" s="3">
        <f t="shared" ref="O15" si="21">N15*(1+O25)</f>
        <v>12538.565745542581</v>
      </c>
    </row>
    <row r="16" spans="1:15" x14ac:dyDescent="0.2">
      <c r="B16" s="3" t="s">
        <v>20</v>
      </c>
      <c r="C16" s="3">
        <f>C9-C15</f>
        <v>13942</v>
      </c>
      <c r="D16" s="3">
        <f t="shared" ref="D16:J16" si="22">D9-D15</f>
        <v>6417</v>
      </c>
      <c r="E16" s="3">
        <f t="shared" si="22"/>
        <v>5570</v>
      </c>
      <c r="F16" s="3">
        <f t="shared" si="22"/>
        <v>5270.6849999999995</v>
      </c>
      <c r="G16" s="3">
        <f t="shared" si="22"/>
        <v>5323.39185</v>
      </c>
      <c r="H16" s="3">
        <f t="shared" si="22"/>
        <v>5376.6257685</v>
      </c>
      <c r="I16" s="3">
        <f t="shared" si="22"/>
        <v>5430.3920261849962</v>
      </c>
      <c r="J16" s="3">
        <f t="shared" si="22"/>
        <v>5484.6959464468491</v>
      </c>
      <c r="K16" s="3">
        <f t="shared" ref="K16:O16" si="23">K9-K15</f>
        <v>5539.5429059113194</v>
      </c>
      <c r="L16" s="3">
        <f t="shared" si="23"/>
        <v>5594.9383349704367</v>
      </c>
      <c r="M16" s="3">
        <f t="shared" si="23"/>
        <v>5650.8877183201384</v>
      </c>
      <c r="N16" s="3">
        <f t="shared" si="23"/>
        <v>5707.3965955033418</v>
      </c>
      <c r="O16" s="3">
        <f t="shared" si="23"/>
        <v>5764.4705614583745</v>
      </c>
    </row>
    <row r="17" spans="2:99" x14ac:dyDescent="0.2">
      <c r="B17" s="3" t="s">
        <v>19</v>
      </c>
      <c r="C17" s="3">
        <v>-1030</v>
      </c>
      <c r="D17" s="3">
        <v>-945</v>
      </c>
      <c r="E17" s="3">
        <v>-1175</v>
      </c>
      <c r="F17" s="3">
        <f>E35*$R$25</f>
        <v>-456.92</v>
      </c>
      <c r="G17" s="3">
        <f t="shared" ref="G17:O17" si="24">F35*$R$25</f>
        <v>-365.55608000000001</v>
      </c>
      <c r="H17" s="3">
        <f t="shared" si="24"/>
        <v>-271.31328048</v>
      </c>
      <c r="I17" s="3">
        <f t="shared" si="24"/>
        <v>-174.11415638368001</v>
      </c>
      <c r="J17" s="3">
        <f t="shared" si="24"/>
        <v>-73.879021207338951</v>
      </c>
      <c r="K17" s="3">
        <f t="shared" si="24"/>
        <v>29.474126426394015</v>
      </c>
      <c r="L17" s="3">
        <f t="shared" si="24"/>
        <v>136.02967884689426</v>
      </c>
      <c r="M17" s="3">
        <f t="shared" si="24"/>
        <v>245.87449816719229</v>
      </c>
      <c r="N17" s="3">
        <f t="shared" si="24"/>
        <v>359.09799797417918</v>
      </c>
      <c r="O17" s="3">
        <f t="shared" si="24"/>
        <v>475.79222798673663</v>
      </c>
    </row>
    <row r="18" spans="2:99" x14ac:dyDescent="0.2">
      <c r="B18" s="3" t="s">
        <v>21</v>
      </c>
      <c r="C18" s="3">
        <v>793</v>
      </c>
      <c r="D18" s="3">
        <v>534</v>
      </c>
      <c r="E18" s="3">
        <v>862</v>
      </c>
      <c r="F18" s="3">
        <f>E18*1.04</f>
        <v>896.48</v>
      </c>
      <c r="G18" s="3">
        <f t="shared" ref="G18:J18" si="25">F18*1.04</f>
        <v>932.33920000000001</v>
      </c>
      <c r="H18" s="3">
        <f t="shared" si="25"/>
        <v>969.63276800000006</v>
      </c>
      <c r="I18" s="3">
        <f t="shared" si="25"/>
        <v>1008.41807872</v>
      </c>
      <c r="J18" s="3">
        <f t="shared" si="25"/>
        <v>1048.7548018688001</v>
      </c>
      <c r="K18" s="3">
        <f t="shared" ref="K18:O18" si="26">J18*1.04</f>
        <v>1090.7049939435522</v>
      </c>
      <c r="L18" s="3">
        <f t="shared" si="26"/>
        <v>1134.3331937012942</v>
      </c>
      <c r="M18" s="3">
        <f t="shared" si="26"/>
        <v>1179.7065214493462</v>
      </c>
      <c r="N18" s="3">
        <f t="shared" si="26"/>
        <v>1226.8947823073202</v>
      </c>
      <c r="O18" s="3">
        <f t="shared" si="26"/>
        <v>1275.9705735996131</v>
      </c>
    </row>
    <row r="19" spans="2:99" x14ac:dyDescent="0.2">
      <c r="B19" s="3" t="s">
        <v>22</v>
      </c>
      <c r="C19" s="3">
        <f>C16+SUM(C17:C18)</f>
        <v>13705</v>
      </c>
      <c r="D19" s="3">
        <f t="shared" ref="D19:J19" si="27">D16+SUM(D17:D18)</f>
        <v>6006</v>
      </c>
      <c r="E19" s="3">
        <f t="shared" si="27"/>
        <v>5257</v>
      </c>
      <c r="F19" s="3">
        <f t="shared" si="27"/>
        <v>5710.2449999999999</v>
      </c>
      <c r="G19" s="3">
        <f t="shared" si="27"/>
        <v>5890.17497</v>
      </c>
      <c r="H19" s="3">
        <f t="shared" si="27"/>
        <v>6074.9452560199998</v>
      </c>
      <c r="I19" s="3">
        <f t="shared" si="27"/>
        <v>6264.6959485213165</v>
      </c>
      <c r="J19" s="3">
        <f t="shared" si="27"/>
        <v>6459.5717271083104</v>
      </c>
      <c r="K19" s="3">
        <f t="shared" ref="K19:O19" si="28">K16+SUM(K17:K18)</f>
        <v>6659.7220262812652</v>
      </c>
      <c r="L19" s="3">
        <f t="shared" si="28"/>
        <v>6865.3012075186252</v>
      </c>
      <c r="M19" s="3">
        <f t="shared" si="28"/>
        <v>7076.4687379366769</v>
      </c>
      <c r="N19" s="3">
        <f t="shared" si="28"/>
        <v>7293.3893757848409</v>
      </c>
      <c r="O19" s="3">
        <f t="shared" si="28"/>
        <v>7516.2333630447247</v>
      </c>
    </row>
    <row r="20" spans="2:99" x14ac:dyDescent="0.2">
      <c r="B20" s="3" t="s">
        <v>23</v>
      </c>
      <c r="C20" s="3">
        <v>813</v>
      </c>
      <c r="D20" s="3">
        <v>1733</v>
      </c>
      <c r="E20" s="3">
        <v>1174</v>
      </c>
      <c r="F20" s="3">
        <f>F19*0.2</f>
        <v>1142.049</v>
      </c>
      <c r="G20" s="3">
        <f t="shared" ref="G20:O20" si="29">G19*0.2</f>
        <v>1178.0349940000001</v>
      </c>
      <c r="H20" s="3">
        <f t="shared" si="29"/>
        <v>1214.9890512039999</v>
      </c>
      <c r="I20" s="3">
        <f t="shared" si="29"/>
        <v>1252.9391897042633</v>
      </c>
      <c r="J20" s="3">
        <f t="shared" si="29"/>
        <v>1291.9143454216621</v>
      </c>
      <c r="K20" s="3">
        <f t="shared" si="29"/>
        <v>1331.944405256253</v>
      </c>
      <c r="L20" s="3">
        <f t="shared" si="29"/>
        <v>1373.0602415037251</v>
      </c>
      <c r="M20" s="3">
        <f t="shared" si="29"/>
        <v>1415.2937475873355</v>
      </c>
      <c r="N20" s="3">
        <f t="shared" si="29"/>
        <v>1458.6778751569682</v>
      </c>
      <c r="O20" s="3">
        <f t="shared" si="29"/>
        <v>1503.2466726089451</v>
      </c>
    </row>
    <row r="21" spans="2:99" s="5" customFormat="1" x14ac:dyDescent="0.2">
      <c r="B21" s="5" t="s">
        <v>24</v>
      </c>
      <c r="C21" s="5">
        <f>C19-C20</f>
        <v>12892</v>
      </c>
      <c r="D21" s="5">
        <f t="shared" ref="D21:J21" si="30">D19-D20</f>
        <v>4273</v>
      </c>
      <c r="E21" s="5">
        <f t="shared" si="30"/>
        <v>4083</v>
      </c>
      <c r="F21" s="5">
        <f t="shared" si="30"/>
        <v>4568.1959999999999</v>
      </c>
      <c r="G21" s="5">
        <f t="shared" si="30"/>
        <v>4712.1399760000004</v>
      </c>
      <c r="H21" s="5">
        <f t="shared" si="30"/>
        <v>4859.9562048159996</v>
      </c>
      <c r="I21" s="5">
        <f t="shared" si="30"/>
        <v>5011.7567588170532</v>
      </c>
      <c r="J21" s="5">
        <f t="shared" si="30"/>
        <v>5167.6573816866485</v>
      </c>
      <c r="K21" s="5">
        <f t="shared" ref="K21:O21" si="31">K19-K20</f>
        <v>5327.7776210250122</v>
      </c>
      <c r="L21" s="5">
        <f t="shared" si="31"/>
        <v>5492.2409660149006</v>
      </c>
      <c r="M21" s="5">
        <f t="shared" si="31"/>
        <v>5661.1749903493419</v>
      </c>
      <c r="N21" s="5">
        <f t="shared" si="31"/>
        <v>5834.7115006278727</v>
      </c>
      <c r="O21" s="5">
        <f t="shared" si="31"/>
        <v>6012.9866904357796</v>
      </c>
      <c r="P21" s="5">
        <f t="shared" ref="P21:AU21" si="32">O21*(1+$R$26)</f>
        <v>6012.9866904357796</v>
      </c>
      <c r="Q21" s="5">
        <f t="shared" si="32"/>
        <v>6012.9866904357796</v>
      </c>
      <c r="R21" s="5">
        <f t="shared" si="32"/>
        <v>6012.9866904357796</v>
      </c>
      <c r="S21" s="5">
        <f t="shared" si="32"/>
        <v>6012.9866904357796</v>
      </c>
      <c r="T21" s="5">
        <f t="shared" si="32"/>
        <v>6012.9866904357796</v>
      </c>
      <c r="U21" s="5">
        <f t="shared" si="32"/>
        <v>6012.9866904357796</v>
      </c>
      <c r="V21" s="5">
        <f t="shared" si="32"/>
        <v>6012.9866904357796</v>
      </c>
      <c r="W21" s="5">
        <f t="shared" si="32"/>
        <v>6012.9866904357796</v>
      </c>
      <c r="X21" s="5">
        <f t="shared" si="32"/>
        <v>6012.9866904357796</v>
      </c>
      <c r="Y21" s="5">
        <f t="shared" si="32"/>
        <v>6012.9866904357796</v>
      </c>
      <c r="Z21" s="5">
        <f t="shared" si="32"/>
        <v>6012.9866904357796</v>
      </c>
      <c r="AA21" s="5">
        <f t="shared" si="32"/>
        <v>6012.9866904357796</v>
      </c>
      <c r="AB21" s="5">
        <f t="shared" si="32"/>
        <v>6012.9866904357796</v>
      </c>
      <c r="AC21" s="5">
        <f t="shared" si="32"/>
        <v>6012.9866904357796</v>
      </c>
      <c r="AD21" s="5">
        <f t="shared" si="32"/>
        <v>6012.9866904357796</v>
      </c>
      <c r="AE21" s="5">
        <f t="shared" si="32"/>
        <v>6012.9866904357796</v>
      </c>
      <c r="AF21" s="5">
        <f t="shared" si="32"/>
        <v>6012.9866904357796</v>
      </c>
      <c r="AG21" s="5">
        <f t="shared" si="32"/>
        <v>6012.9866904357796</v>
      </c>
      <c r="AH21" s="5">
        <f t="shared" si="32"/>
        <v>6012.9866904357796</v>
      </c>
      <c r="AI21" s="5">
        <f t="shared" si="32"/>
        <v>6012.9866904357796</v>
      </c>
      <c r="AJ21" s="5">
        <f t="shared" si="32"/>
        <v>6012.9866904357796</v>
      </c>
      <c r="AK21" s="5">
        <f t="shared" si="32"/>
        <v>6012.9866904357796</v>
      </c>
      <c r="AL21" s="5">
        <f t="shared" si="32"/>
        <v>6012.9866904357796</v>
      </c>
      <c r="AM21" s="5">
        <f t="shared" si="32"/>
        <v>6012.9866904357796</v>
      </c>
      <c r="AN21" s="5">
        <f t="shared" si="32"/>
        <v>6012.9866904357796</v>
      </c>
      <c r="AO21" s="5">
        <f t="shared" si="32"/>
        <v>6012.9866904357796</v>
      </c>
      <c r="AP21" s="5">
        <f t="shared" si="32"/>
        <v>6012.9866904357796</v>
      </c>
      <c r="AQ21" s="5">
        <f t="shared" si="32"/>
        <v>6012.9866904357796</v>
      </c>
      <c r="AR21" s="5">
        <f t="shared" si="32"/>
        <v>6012.9866904357796</v>
      </c>
      <c r="AS21" s="5">
        <f t="shared" si="32"/>
        <v>6012.9866904357796</v>
      </c>
      <c r="AT21" s="5">
        <f t="shared" si="32"/>
        <v>6012.9866904357796</v>
      </c>
      <c r="AU21" s="5">
        <f t="shared" si="32"/>
        <v>6012.9866904357796</v>
      </c>
      <c r="AV21" s="5">
        <f t="shared" ref="AV21:CA21" si="33">AU21*(1+$R$26)</f>
        <v>6012.9866904357796</v>
      </c>
      <c r="AW21" s="5">
        <f t="shared" si="33"/>
        <v>6012.9866904357796</v>
      </c>
      <c r="AX21" s="5">
        <f t="shared" si="33"/>
        <v>6012.9866904357796</v>
      </c>
      <c r="AY21" s="5">
        <f t="shared" si="33"/>
        <v>6012.9866904357796</v>
      </c>
      <c r="AZ21" s="5">
        <f t="shared" si="33"/>
        <v>6012.9866904357796</v>
      </c>
      <c r="BA21" s="5">
        <f t="shared" si="33"/>
        <v>6012.9866904357796</v>
      </c>
      <c r="BB21" s="5">
        <f t="shared" si="33"/>
        <v>6012.9866904357796</v>
      </c>
      <c r="BC21" s="5">
        <f t="shared" si="33"/>
        <v>6012.9866904357796</v>
      </c>
      <c r="BD21" s="5">
        <f t="shared" si="33"/>
        <v>6012.9866904357796</v>
      </c>
      <c r="BE21" s="5">
        <f t="shared" si="33"/>
        <v>6012.9866904357796</v>
      </c>
      <c r="BF21" s="5">
        <f t="shared" si="33"/>
        <v>6012.9866904357796</v>
      </c>
      <c r="BG21" s="5">
        <f t="shared" si="33"/>
        <v>6012.9866904357796</v>
      </c>
      <c r="BH21" s="5">
        <f t="shared" si="33"/>
        <v>6012.9866904357796</v>
      </c>
      <c r="BI21" s="5">
        <f t="shared" si="33"/>
        <v>6012.9866904357796</v>
      </c>
      <c r="BJ21" s="5">
        <f t="shared" si="33"/>
        <v>6012.9866904357796</v>
      </c>
      <c r="BK21" s="5">
        <f t="shared" si="33"/>
        <v>6012.9866904357796</v>
      </c>
      <c r="BL21" s="5">
        <f t="shared" si="33"/>
        <v>6012.9866904357796</v>
      </c>
      <c r="BM21" s="5">
        <f t="shared" si="33"/>
        <v>6012.9866904357796</v>
      </c>
      <c r="BN21" s="5">
        <f t="shared" si="33"/>
        <v>6012.9866904357796</v>
      </c>
      <c r="BO21" s="5">
        <f t="shared" si="33"/>
        <v>6012.9866904357796</v>
      </c>
      <c r="BP21" s="5">
        <f t="shared" si="33"/>
        <v>6012.9866904357796</v>
      </c>
      <c r="BQ21" s="5">
        <f t="shared" si="33"/>
        <v>6012.9866904357796</v>
      </c>
      <c r="BR21" s="5">
        <f t="shared" si="33"/>
        <v>6012.9866904357796</v>
      </c>
      <c r="BS21" s="5">
        <f t="shared" si="33"/>
        <v>6012.9866904357796</v>
      </c>
      <c r="BT21" s="5">
        <f t="shared" si="33"/>
        <v>6012.9866904357796</v>
      </c>
      <c r="BU21" s="5">
        <f t="shared" si="33"/>
        <v>6012.9866904357796</v>
      </c>
      <c r="BV21" s="5">
        <f t="shared" si="33"/>
        <v>6012.9866904357796</v>
      </c>
      <c r="BW21" s="5">
        <f t="shared" si="33"/>
        <v>6012.9866904357796</v>
      </c>
      <c r="BX21" s="5">
        <f t="shared" si="33"/>
        <v>6012.9866904357796</v>
      </c>
      <c r="BY21" s="5">
        <f t="shared" si="33"/>
        <v>6012.9866904357796</v>
      </c>
      <c r="BZ21" s="5">
        <f t="shared" si="33"/>
        <v>6012.9866904357796</v>
      </c>
      <c r="CA21" s="5">
        <f t="shared" si="33"/>
        <v>6012.9866904357796</v>
      </c>
      <c r="CB21" s="5">
        <f t="shared" ref="CB21:CU21" si="34">CA21*(1+$R$26)</f>
        <v>6012.9866904357796</v>
      </c>
      <c r="CC21" s="5">
        <f t="shared" si="34"/>
        <v>6012.9866904357796</v>
      </c>
      <c r="CD21" s="5">
        <f t="shared" si="34"/>
        <v>6012.9866904357796</v>
      </c>
      <c r="CE21" s="5">
        <f t="shared" si="34"/>
        <v>6012.9866904357796</v>
      </c>
      <c r="CF21" s="5">
        <f t="shared" si="34"/>
        <v>6012.9866904357796</v>
      </c>
      <c r="CG21" s="5">
        <f t="shared" si="34"/>
        <v>6012.9866904357796</v>
      </c>
      <c r="CH21" s="5">
        <f t="shared" si="34"/>
        <v>6012.9866904357796</v>
      </c>
      <c r="CI21" s="5">
        <f t="shared" si="34"/>
        <v>6012.9866904357796</v>
      </c>
      <c r="CJ21" s="5">
        <f t="shared" si="34"/>
        <v>6012.9866904357796</v>
      </c>
      <c r="CK21" s="5">
        <f t="shared" si="34"/>
        <v>6012.9866904357796</v>
      </c>
      <c r="CL21" s="5">
        <f t="shared" si="34"/>
        <v>6012.9866904357796</v>
      </c>
      <c r="CM21" s="5">
        <f t="shared" si="34"/>
        <v>6012.9866904357796</v>
      </c>
      <c r="CN21" s="5">
        <f t="shared" si="34"/>
        <v>6012.9866904357796</v>
      </c>
      <c r="CO21" s="5">
        <f t="shared" si="34"/>
        <v>6012.9866904357796</v>
      </c>
      <c r="CP21" s="5">
        <f t="shared" si="34"/>
        <v>6012.9866904357796</v>
      </c>
      <c r="CQ21" s="5">
        <f t="shared" si="34"/>
        <v>6012.9866904357796</v>
      </c>
      <c r="CR21" s="5">
        <f t="shared" si="34"/>
        <v>6012.9866904357796</v>
      </c>
      <c r="CS21" s="5">
        <f t="shared" si="34"/>
        <v>6012.9866904357796</v>
      </c>
      <c r="CT21" s="5">
        <f t="shared" si="34"/>
        <v>6012.9866904357796</v>
      </c>
      <c r="CU21" s="5">
        <f t="shared" si="34"/>
        <v>6012.9866904357796</v>
      </c>
    </row>
    <row r="22" spans="2:99" x14ac:dyDescent="0.2">
      <c r="B22" s="3" t="s">
        <v>25</v>
      </c>
      <c r="F22" s="6">
        <f>F21/E21-1</f>
        <v>0.11883321087435705</v>
      </c>
    </row>
    <row r="23" spans="2:99" x14ac:dyDescent="0.2">
      <c r="B23" s="3" t="s">
        <v>1</v>
      </c>
      <c r="L23" s="6"/>
    </row>
    <row r="25" spans="2:99" s="5" customFormat="1" x14ac:dyDescent="0.2">
      <c r="B25" s="5" t="s">
        <v>26</v>
      </c>
      <c r="D25" s="7">
        <f>D3/C3-1</f>
        <v>-0.22866735819184369</v>
      </c>
      <c r="E25" s="7">
        <f>E3/D3-1</f>
        <v>-5.421665428035527E-2</v>
      </c>
      <c r="F25" s="7">
        <f t="shared" ref="F25:J25" si="35">F3/E3-1</f>
        <v>1.0000000000000009E-2</v>
      </c>
      <c r="G25" s="7">
        <f t="shared" si="35"/>
        <v>1.0000000000000009E-2</v>
      </c>
      <c r="H25" s="7">
        <f t="shared" si="35"/>
        <v>1.0000000000000009E-2</v>
      </c>
      <c r="I25" s="7">
        <f t="shared" si="35"/>
        <v>1.0000000000000009E-2</v>
      </c>
      <c r="J25" s="7">
        <f t="shared" si="35"/>
        <v>1.0000000000000009E-2</v>
      </c>
      <c r="K25" s="7">
        <f t="shared" ref="K25" si="36">K3/J3-1</f>
        <v>1.0000000000000009E-2</v>
      </c>
      <c r="L25" s="7">
        <f t="shared" ref="L25" si="37">L3/K3-1</f>
        <v>1.0000000000000009E-2</v>
      </c>
      <c r="M25" s="7">
        <f t="shared" ref="M25" si="38">M3/L3-1</f>
        <v>1.0000000000000009E-2</v>
      </c>
      <c r="N25" s="7">
        <f t="shared" ref="N25" si="39">N3/M3-1</f>
        <v>1.0000000000000009E-2</v>
      </c>
      <c r="O25" s="7">
        <f t="shared" ref="O25" si="40">O3/N3-1</f>
        <v>1.0000000000000009E-2</v>
      </c>
      <c r="Q25" s="3" t="s">
        <v>34</v>
      </c>
      <c r="R25" s="6">
        <v>0.02</v>
      </c>
    </row>
    <row r="26" spans="2:99" x14ac:dyDescent="0.2">
      <c r="Q26" s="3" t="s">
        <v>35</v>
      </c>
      <c r="R26" s="6">
        <v>0</v>
      </c>
    </row>
    <row r="27" spans="2:99" s="5" customFormat="1" x14ac:dyDescent="0.2">
      <c r="B27" s="5" t="s">
        <v>27</v>
      </c>
      <c r="C27" s="7">
        <f>C9/C3</f>
        <v>0.67071572855816997</v>
      </c>
      <c r="D27" s="7">
        <f>D9/D3</f>
        <v>0.60070071132816649</v>
      </c>
      <c r="E27" s="7">
        <f>E9/E3</f>
        <v>0.63315247895229188</v>
      </c>
      <c r="F27" s="7">
        <v>0.62</v>
      </c>
      <c r="G27" s="7">
        <v>0.62</v>
      </c>
      <c r="H27" s="7">
        <v>0.62</v>
      </c>
      <c r="I27" s="7">
        <v>0.62</v>
      </c>
      <c r="J27" s="7">
        <v>0.62</v>
      </c>
      <c r="K27" s="7">
        <v>0.62</v>
      </c>
      <c r="L27" s="7">
        <v>0.62</v>
      </c>
      <c r="M27" s="7">
        <v>0.62</v>
      </c>
      <c r="N27" s="7">
        <v>0.62</v>
      </c>
      <c r="O27" s="7">
        <v>0.62</v>
      </c>
      <c r="Q27" s="3" t="s">
        <v>36</v>
      </c>
      <c r="R27" s="8">
        <v>7.4999999999999997E-2</v>
      </c>
    </row>
    <row r="28" spans="2:99" x14ac:dyDescent="0.2">
      <c r="B28" s="3" t="s">
        <v>28</v>
      </c>
      <c r="E28" s="6"/>
      <c r="Q28" s="3" t="s">
        <v>37</v>
      </c>
      <c r="R28" s="5">
        <f>NPV(R27,F33:XFD33)+Main!O5-Main!O6</f>
        <v>58824.91282560461</v>
      </c>
    </row>
    <row r="29" spans="2:99" x14ac:dyDescent="0.2">
      <c r="B29" s="3" t="s">
        <v>29</v>
      </c>
      <c r="Q29" s="11" t="s">
        <v>39</v>
      </c>
      <c r="R29" s="10">
        <f>R28/Main!O3</f>
        <v>59.773397090638873</v>
      </c>
    </row>
    <row r="30" spans="2:99" x14ac:dyDescent="0.2">
      <c r="R30" s="6">
        <f>R29/Main!O2-1</f>
        <v>0.35848629751451977</v>
      </c>
    </row>
    <row r="31" spans="2:99" x14ac:dyDescent="0.2">
      <c r="B31" s="3" t="s">
        <v>30</v>
      </c>
      <c r="C31" s="3">
        <v>16810</v>
      </c>
      <c r="D31" s="3">
        <v>12308</v>
      </c>
      <c r="E31" s="3">
        <v>11439</v>
      </c>
    </row>
    <row r="32" spans="2:99" x14ac:dyDescent="0.2">
      <c r="B32" s="3" t="s">
        <v>31</v>
      </c>
      <c r="C32" s="3">
        <v>4497</v>
      </c>
      <c r="D32" s="3">
        <v>6270</v>
      </c>
      <c r="E32" s="3">
        <v>7018</v>
      </c>
    </row>
    <row r="33" spans="2:100" s="5" customFormat="1" x14ac:dyDescent="0.2">
      <c r="B33" s="5" t="s">
        <v>32</v>
      </c>
      <c r="C33" s="5">
        <f>C31-C32</f>
        <v>12313</v>
      </c>
      <c r="D33" s="5">
        <f t="shared" ref="D33:E33" si="41">D31-D32</f>
        <v>6038</v>
      </c>
      <c r="E33" s="5">
        <f t="shared" si="41"/>
        <v>4421</v>
      </c>
      <c r="F33" s="5">
        <f>F21*1.08</f>
        <v>4933.6516799999999</v>
      </c>
      <c r="G33" s="5">
        <f t="shared" ref="G33:O33" si="42">G21*1.08</f>
        <v>5089.1111740800006</v>
      </c>
      <c r="H33" s="5">
        <f t="shared" si="42"/>
        <v>5248.7527012012797</v>
      </c>
      <c r="I33" s="5">
        <f t="shared" si="42"/>
        <v>5412.6972995224178</v>
      </c>
      <c r="J33" s="5">
        <f t="shared" si="42"/>
        <v>5581.0699722215804</v>
      </c>
      <c r="K33" s="5">
        <f t="shared" si="42"/>
        <v>5753.9998307070136</v>
      </c>
      <c r="L33" s="5">
        <f t="shared" si="42"/>
        <v>5931.6202432960927</v>
      </c>
      <c r="M33" s="5">
        <f t="shared" si="42"/>
        <v>6114.0689895772894</v>
      </c>
      <c r="N33" s="5">
        <f t="shared" si="42"/>
        <v>6301.4884206781026</v>
      </c>
      <c r="O33" s="5">
        <f t="shared" si="42"/>
        <v>6494.0256256706425</v>
      </c>
      <c r="P33" s="5">
        <f t="shared" ref="P33:AU33" si="43">O33*(1+$R$26)</f>
        <v>6494.0256256706425</v>
      </c>
      <c r="Q33" s="5">
        <f t="shared" si="43"/>
        <v>6494.0256256706425</v>
      </c>
      <c r="R33" s="5">
        <f t="shared" si="43"/>
        <v>6494.0256256706425</v>
      </c>
      <c r="S33" s="5">
        <f t="shared" si="43"/>
        <v>6494.0256256706425</v>
      </c>
      <c r="T33" s="5">
        <f t="shared" si="43"/>
        <v>6494.0256256706425</v>
      </c>
      <c r="U33" s="5">
        <f t="shared" si="43"/>
        <v>6494.0256256706425</v>
      </c>
      <c r="V33" s="5">
        <f t="shared" si="43"/>
        <v>6494.0256256706425</v>
      </c>
      <c r="W33" s="5">
        <f t="shared" si="43"/>
        <v>6494.0256256706425</v>
      </c>
      <c r="X33" s="5">
        <f t="shared" si="43"/>
        <v>6494.0256256706425</v>
      </c>
      <c r="Y33" s="5">
        <f t="shared" si="43"/>
        <v>6494.0256256706425</v>
      </c>
      <c r="Z33" s="5">
        <f t="shared" si="43"/>
        <v>6494.0256256706425</v>
      </c>
      <c r="AA33" s="5">
        <f t="shared" si="43"/>
        <v>6494.0256256706425</v>
      </c>
      <c r="AB33" s="5">
        <f t="shared" si="43"/>
        <v>6494.0256256706425</v>
      </c>
      <c r="AC33" s="5">
        <f t="shared" si="43"/>
        <v>6494.0256256706425</v>
      </c>
      <c r="AD33" s="5">
        <f t="shared" si="43"/>
        <v>6494.0256256706425</v>
      </c>
      <c r="AE33" s="5">
        <f t="shared" si="43"/>
        <v>6494.0256256706425</v>
      </c>
      <c r="AF33" s="5">
        <f t="shared" si="43"/>
        <v>6494.0256256706425</v>
      </c>
      <c r="AG33" s="5">
        <f t="shared" si="43"/>
        <v>6494.0256256706425</v>
      </c>
      <c r="AH33" s="5">
        <f t="shared" si="43"/>
        <v>6494.0256256706425</v>
      </c>
      <c r="AI33" s="5">
        <f t="shared" si="43"/>
        <v>6494.0256256706425</v>
      </c>
      <c r="AJ33" s="5">
        <f t="shared" si="43"/>
        <v>6494.0256256706425</v>
      </c>
      <c r="AK33" s="5">
        <f t="shared" si="43"/>
        <v>6494.0256256706425</v>
      </c>
      <c r="AL33" s="5">
        <f t="shared" si="43"/>
        <v>6494.0256256706425</v>
      </c>
      <c r="AM33" s="5">
        <f t="shared" si="43"/>
        <v>6494.0256256706425</v>
      </c>
      <c r="AN33" s="5">
        <f t="shared" si="43"/>
        <v>6494.0256256706425</v>
      </c>
      <c r="AO33" s="5">
        <f t="shared" si="43"/>
        <v>6494.0256256706425</v>
      </c>
      <c r="AP33" s="5">
        <f t="shared" si="43"/>
        <v>6494.0256256706425</v>
      </c>
      <c r="AQ33" s="5">
        <f t="shared" si="43"/>
        <v>6494.0256256706425</v>
      </c>
      <c r="AR33" s="5">
        <f t="shared" si="43"/>
        <v>6494.0256256706425</v>
      </c>
      <c r="AS33" s="5">
        <f t="shared" si="43"/>
        <v>6494.0256256706425</v>
      </c>
      <c r="AT33" s="5">
        <f t="shared" si="43"/>
        <v>6494.0256256706425</v>
      </c>
      <c r="AU33" s="5">
        <f t="shared" si="43"/>
        <v>6494.0256256706425</v>
      </c>
      <c r="AV33" s="5">
        <f t="shared" ref="AV33:CA33" si="44">AU33*(1+$R$26)</f>
        <v>6494.0256256706425</v>
      </c>
      <c r="AW33" s="5">
        <f t="shared" si="44"/>
        <v>6494.0256256706425</v>
      </c>
      <c r="AX33" s="5">
        <f t="shared" si="44"/>
        <v>6494.0256256706425</v>
      </c>
      <c r="AY33" s="5">
        <f t="shared" si="44"/>
        <v>6494.0256256706425</v>
      </c>
      <c r="AZ33" s="5">
        <f t="shared" si="44"/>
        <v>6494.0256256706425</v>
      </c>
      <c r="BA33" s="5">
        <f t="shared" si="44"/>
        <v>6494.0256256706425</v>
      </c>
      <c r="BB33" s="5">
        <f t="shared" si="44"/>
        <v>6494.0256256706425</v>
      </c>
      <c r="BC33" s="5">
        <f t="shared" si="44"/>
        <v>6494.0256256706425</v>
      </c>
      <c r="BD33" s="5">
        <f t="shared" si="44"/>
        <v>6494.0256256706425</v>
      </c>
      <c r="BE33" s="5">
        <f t="shared" si="44"/>
        <v>6494.0256256706425</v>
      </c>
      <c r="BF33" s="5">
        <f t="shared" si="44"/>
        <v>6494.0256256706425</v>
      </c>
      <c r="BG33" s="5">
        <f t="shared" si="44"/>
        <v>6494.0256256706425</v>
      </c>
      <c r="BH33" s="5">
        <f t="shared" si="44"/>
        <v>6494.0256256706425</v>
      </c>
      <c r="BI33" s="5">
        <f t="shared" si="44"/>
        <v>6494.0256256706425</v>
      </c>
      <c r="BJ33" s="5">
        <f t="shared" si="44"/>
        <v>6494.0256256706425</v>
      </c>
      <c r="BK33" s="5">
        <f t="shared" si="44"/>
        <v>6494.0256256706425</v>
      </c>
      <c r="BL33" s="5">
        <f t="shared" si="44"/>
        <v>6494.0256256706425</v>
      </c>
      <c r="BM33" s="5">
        <f t="shared" si="44"/>
        <v>6494.0256256706425</v>
      </c>
      <c r="BN33" s="5">
        <f t="shared" si="44"/>
        <v>6494.0256256706425</v>
      </c>
      <c r="BO33" s="5">
        <f t="shared" si="44"/>
        <v>6494.0256256706425</v>
      </c>
      <c r="BP33" s="5">
        <f t="shared" si="44"/>
        <v>6494.0256256706425</v>
      </c>
      <c r="BQ33" s="5">
        <f t="shared" si="44"/>
        <v>6494.0256256706425</v>
      </c>
      <c r="BR33" s="5">
        <f t="shared" si="44"/>
        <v>6494.0256256706425</v>
      </c>
      <c r="BS33" s="5">
        <f t="shared" si="44"/>
        <v>6494.0256256706425</v>
      </c>
      <c r="BT33" s="5">
        <f t="shared" si="44"/>
        <v>6494.0256256706425</v>
      </c>
      <c r="BU33" s="5">
        <f t="shared" si="44"/>
        <v>6494.0256256706425</v>
      </c>
      <c r="BV33" s="5">
        <f t="shared" si="44"/>
        <v>6494.0256256706425</v>
      </c>
      <c r="BW33" s="5">
        <f t="shared" si="44"/>
        <v>6494.0256256706425</v>
      </c>
      <c r="BX33" s="5">
        <f t="shared" si="44"/>
        <v>6494.0256256706425</v>
      </c>
      <c r="BY33" s="5">
        <f t="shared" si="44"/>
        <v>6494.0256256706425</v>
      </c>
      <c r="BZ33" s="5">
        <f t="shared" si="44"/>
        <v>6494.0256256706425</v>
      </c>
      <c r="CA33" s="5">
        <f t="shared" si="44"/>
        <v>6494.0256256706425</v>
      </c>
      <c r="CB33" s="5">
        <f t="shared" ref="CB33:CV33" si="45">CA33*(1+$R$26)</f>
        <v>6494.0256256706425</v>
      </c>
      <c r="CC33" s="5">
        <f t="shared" si="45"/>
        <v>6494.0256256706425</v>
      </c>
      <c r="CD33" s="5">
        <f t="shared" si="45"/>
        <v>6494.0256256706425</v>
      </c>
      <c r="CE33" s="5">
        <f t="shared" si="45"/>
        <v>6494.0256256706425</v>
      </c>
      <c r="CF33" s="5">
        <f t="shared" si="45"/>
        <v>6494.0256256706425</v>
      </c>
      <c r="CG33" s="5">
        <f t="shared" si="45"/>
        <v>6494.0256256706425</v>
      </c>
      <c r="CH33" s="5">
        <f t="shared" si="45"/>
        <v>6494.0256256706425</v>
      </c>
      <c r="CI33" s="5">
        <f t="shared" si="45"/>
        <v>6494.0256256706425</v>
      </c>
      <c r="CJ33" s="5">
        <f t="shared" si="45"/>
        <v>6494.0256256706425</v>
      </c>
      <c r="CK33" s="5">
        <f t="shared" si="45"/>
        <v>6494.0256256706425</v>
      </c>
      <c r="CL33" s="5">
        <f t="shared" si="45"/>
        <v>6494.0256256706425</v>
      </c>
      <c r="CM33" s="5">
        <f t="shared" si="45"/>
        <v>6494.0256256706425</v>
      </c>
      <c r="CN33" s="5">
        <f t="shared" si="45"/>
        <v>6494.0256256706425</v>
      </c>
      <c r="CO33" s="5">
        <f t="shared" si="45"/>
        <v>6494.0256256706425</v>
      </c>
      <c r="CP33" s="5">
        <f t="shared" si="45"/>
        <v>6494.0256256706425</v>
      </c>
      <c r="CQ33" s="5">
        <f t="shared" si="45"/>
        <v>6494.0256256706425</v>
      </c>
      <c r="CR33" s="5">
        <f t="shared" si="45"/>
        <v>6494.0256256706425</v>
      </c>
      <c r="CS33" s="5">
        <f t="shared" si="45"/>
        <v>6494.0256256706425</v>
      </c>
      <c r="CT33" s="5">
        <f t="shared" si="45"/>
        <v>6494.0256256706425</v>
      </c>
      <c r="CU33" s="5">
        <f t="shared" si="45"/>
        <v>6494.0256256706425</v>
      </c>
      <c r="CV33" s="5">
        <f t="shared" si="45"/>
        <v>6494.0256256706425</v>
      </c>
    </row>
    <row r="34" spans="2:100" x14ac:dyDescent="0.2"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2:100" x14ac:dyDescent="0.2">
      <c r="B35" s="3" t="s">
        <v>33</v>
      </c>
      <c r="E35" s="3">
        <f>E36-E40</f>
        <v>-22846</v>
      </c>
      <c r="F35" s="3">
        <f t="shared" ref="F35:O35" si="46">E35+F21</f>
        <v>-18277.804</v>
      </c>
      <c r="G35" s="3">
        <f t="shared" si="46"/>
        <v>-13565.664024</v>
      </c>
      <c r="H35" s="3">
        <f t="shared" si="46"/>
        <v>-8705.707819184001</v>
      </c>
      <c r="I35" s="3">
        <f t="shared" si="46"/>
        <v>-3693.9510603669478</v>
      </c>
      <c r="J35" s="3">
        <f t="shared" si="46"/>
        <v>1473.7063213197007</v>
      </c>
      <c r="K35" s="3">
        <f t="shared" si="46"/>
        <v>6801.4839423447129</v>
      </c>
      <c r="L35" s="3">
        <f t="shared" si="46"/>
        <v>12293.724908359614</v>
      </c>
      <c r="M35" s="3">
        <f t="shared" si="46"/>
        <v>17954.899898708958</v>
      </c>
      <c r="N35" s="3">
        <f t="shared" si="46"/>
        <v>23789.611399336831</v>
      </c>
      <c r="O35" s="3">
        <f t="shared" si="46"/>
        <v>29802.598089772611</v>
      </c>
    </row>
    <row r="36" spans="2:100" x14ac:dyDescent="0.2">
      <c r="B36" s="3" t="s">
        <v>4</v>
      </c>
      <c r="C36" s="6"/>
      <c r="E36" s="3">
        <v>2132</v>
      </c>
    </row>
    <row r="37" spans="2:100" x14ac:dyDescent="0.2">
      <c r="B37" s="13" t="s">
        <v>41</v>
      </c>
      <c r="E37" s="3">
        <v>68227</v>
      </c>
      <c r="P37" s="14"/>
    </row>
    <row r="39" spans="2:100" x14ac:dyDescent="0.2">
      <c r="E39" s="14"/>
    </row>
    <row r="40" spans="2:100" x14ac:dyDescent="0.2">
      <c r="B40" s="3" t="s">
        <v>3</v>
      </c>
      <c r="E40" s="3">
        <v>24978</v>
      </c>
    </row>
  </sheetData>
  <hyperlinks>
    <hyperlink ref="A1" location="Main!A1" display="Main" xr:uid="{8242657D-F091-4CE8-B966-529994C2275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2025-04-21T19:34:33Z</dcterms:created>
  <dcterms:modified xsi:type="dcterms:W3CDTF">2025-09-03T09:48:22Z</dcterms:modified>
</cp:coreProperties>
</file>