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7sher\Documents\models\"/>
    </mc:Choice>
  </mc:AlternateContent>
  <xr:revisionPtr revIDLastSave="0" documentId="13_ncr:1_{04A57CBF-D022-42D3-9C48-63AA8CACE98B}" xr6:coauthVersionLast="47" xr6:coauthVersionMax="47" xr10:uidLastSave="{00000000-0000-0000-0000-000000000000}"/>
  <bookViews>
    <workbookView xWindow="2985" yWindow="1995" windowWidth="22200" windowHeight="14205" xr2:uid="{975520F9-B6E9-48FA-9812-89BEC17E316B}"/>
  </bookViews>
  <sheets>
    <sheet name="Main"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9" i="1" l="1"/>
  <c r="D22" i="1"/>
  <c r="D21" i="1"/>
  <c r="J22" i="1"/>
  <c r="J21" i="1"/>
  <c r="F19" i="1"/>
  <c r="F22" i="1"/>
  <c r="F21" i="1"/>
  <c r="L22" i="1"/>
  <c r="L21" i="1"/>
  <c r="J17" i="1"/>
  <c r="H24" i="1"/>
  <c r="D23" i="1" l="1"/>
  <c r="E21" i="1" s="1"/>
  <c r="M29" i="1"/>
  <c r="M28" i="1"/>
  <c r="L29" i="1"/>
  <c r="L28" i="1"/>
  <c r="L27" i="1"/>
  <c r="J29" i="1"/>
  <c r="J28" i="1"/>
  <c r="J27" i="1"/>
  <c r="E22" i="1" l="1"/>
  <c r="H3" i="1"/>
  <c r="K3" i="1" s="1"/>
  <c r="V10" i="1"/>
  <c r="L19" i="1"/>
  <c r="M3" i="1" l="1"/>
  <c r="M27" i="1" s="1"/>
  <c r="K24" i="1"/>
  <c r="M19" i="1" l="1"/>
  <c r="K25" i="1"/>
  <c r="H11" i="1"/>
  <c r="H9" i="1"/>
  <c r="H8" i="1"/>
  <c r="H6" i="1"/>
  <c r="H7" i="1"/>
  <c r="H5" i="1"/>
  <c r="H21" i="1" l="1"/>
  <c r="H22" i="1"/>
  <c r="V6" i="1"/>
  <c r="V8" i="1"/>
  <c r="V9" i="1"/>
  <c r="V5" i="1"/>
  <c r="H19" i="1"/>
  <c r="V3" i="1"/>
  <c r="V11" i="1" l="1"/>
  <c r="K29" i="1"/>
  <c r="V7" i="1"/>
  <c r="K28" i="1"/>
  <c r="K27" i="1"/>
  <c r="V1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tc={B4EED76B-49BB-40DB-92C4-49E5B3985B9F}</author>
  </authors>
  <commentList>
    <comment ref="R2" authorId="0" shapeId="0" xr:uid="{B4EED76B-49BB-40DB-92C4-49E5B3985B9F}">
      <text>
        <t>[Threaded comment]
Your version of Excel allows you to read this threaded comment; however, any edits to it will get removed if the file is opened in a newer version of Excel. Learn more: https://go.microsoft.com/fwlink/?linkid=870924
Comment:
    10YR yield</t>
      </text>
    </comment>
  </commentList>
</comments>
</file>

<file path=xl/sharedStrings.xml><?xml version="1.0" encoding="utf-8"?>
<sst xmlns="http://schemas.openxmlformats.org/spreadsheetml/2006/main" count="102" uniqueCount="59">
  <si>
    <t>Date</t>
  </si>
  <si>
    <t>SRPT</t>
  </si>
  <si>
    <t>AVXL</t>
  </si>
  <si>
    <t>PYPL</t>
  </si>
  <si>
    <t>SPY (Benchmark)</t>
  </si>
  <si>
    <t>ATYR</t>
  </si>
  <si>
    <t>ABVX</t>
  </si>
  <si>
    <t>OXY</t>
  </si>
  <si>
    <t>SMMT</t>
  </si>
  <si>
    <t>Stock</t>
  </si>
  <si>
    <t>Direction</t>
  </si>
  <si>
    <t>Price</t>
  </si>
  <si>
    <t>Conviction/Size</t>
  </si>
  <si>
    <t>Current Price</t>
  </si>
  <si>
    <t>%</t>
  </si>
  <si>
    <t>Notes</t>
  </si>
  <si>
    <t>W/L</t>
  </si>
  <si>
    <t>LONG</t>
  </si>
  <si>
    <t>SHORT</t>
  </si>
  <si>
    <t>alpha</t>
  </si>
  <si>
    <t>10YR US Yield</t>
  </si>
  <si>
    <t>beta</t>
  </si>
  <si>
    <t>WinRate</t>
  </si>
  <si>
    <t>(test)</t>
  </si>
  <si>
    <t>conviction adj. alpha</t>
  </si>
  <si>
    <t>CRDF</t>
  </si>
  <si>
    <t>AVG</t>
  </si>
  <si>
    <t>Sector</t>
  </si>
  <si>
    <t>Biopharma</t>
  </si>
  <si>
    <t>Tech</t>
  </si>
  <si>
    <t>Energy</t>
  </si>
  <si>
    <t>CLOSE</t>
  </si>
  <si>
    <t>IRR</t>
  </si>
  <si>
    <t>RFR</t>
  </si>
  <si>
    <t>SPY Price</t>
  </si>
  <si>
    <t>Model</t>
  </si>
  <si>
    <t>Thesis</t>
  </si>
  <si>
    <t>X</t>
  </si>
  <si>
    <t>AVOID</t>
  </si>
  <si>
    <t>OKLO</t>
  </si>
  <si>
    <t>QBTS</t>
  </si>
  <si>
    <t>IONQ</t>
  </si>
  <si>
    <t>JOBY</t>
  </si>
  <si>
    <t>MSTR</t>
  </si>
  <si>
    <t>Quantum</t>
  </si>
  <si>
    <t>Crypto/Fake</t>
  </si>
  <si>
    <t>Aerospace</t>
  </si>
  <si>
    <t>Closed after final clinical trial results released. The data from new patients added was about as bad as it could be but the company proceeded with a phase 3 so the stock didn't completely collapsed. The phase 3 is likely to fail but I recommended closing the position due to limited upside and long time it will take for the phase 3 results to be released and collapse the stock price.</t>
  </si>
  <si>
    <t>|</t>
  </si>
  <si>
    <t>Very stable cheap stock with a significant amount of PP&amp;E even subtracting debt the PP&amp;E is worth more than the market cap. This buisness virtually has no threat and easy to run so assuming any positive return on PP&amp;E the stock is cheap.</t>
  </si>
  <si>
    <t>Stock collapsed in the past year due to regulatory scrutiny requesting voluntary halt of shipments of a treatment for DMD. The FDA regulator responsible for this scrutiny was fired and now there isn't much risk to their drug 'Elevidys'. Many of the deaths which collapsed the stock have also been assumed as non-treatment related and were reported to the FDA before they were publically announced. The companies other drugs the "PMOs" are even worth more than the market cap and adding 'Elevidys' the stock can easily double. It seems that distrust in management or the many FDA scares collapsed the stock but the fundamental buisness is unchanged from a year ago except maybe non-ambulatory patients for Elevidys which only makes up less than 20% of the treatment population.</t>
  </si>
  <si>
    <t>Very weak data and only submission for EMA approval and not FDA. Many people including Jesse Brodkin have wrote a lot about the problems with the recent phase 3 trial for their main drug they are trying to get approval for and these questions remain unanswered by the company. I don't see this ever getting approved by the FDA or EMA with the current data from the clinical trials and the company is likely doing this tactic for time to raise capital for a new drug before it gets denied.</t>
  </si>
  <si>
    <t>Cheap stock w/ strong cash-flow and a good competitive moat not as strong as a company as OXY but for a tech company it is decently strong.</t>
  </si>
  <si>
    <t>Leveraged bitcoin holding company w/ stock over 2x NAV. The way they leverage is mainly converts either their BTC holdings need to more than double or they need to issue way more converts AND BTC needs to rise otherwise the stock collapes and if a downturn happens it has very significant downside. With the excess 40B of value not being accounted for in NAV it seems unlikely they will be able to get many more investment banks buying converts the market is just not that big. However I would rather avoid than short this stock due to the random nature of the underlying crypto that this is based on and irrational market around this sort of thing.</t>
  </si>
  <si>
    <t>Very weak/basically completely failed clinical trials and this upcoming data release is likely to prove the drug doesn’t work and the stock will collapse.</t>
  </si>
  <si>
    <t xml:space="preserve">Despite management's claims of superior to classical computing performance any research on quantum shows that this technology is very early and will take a long time to develop. The stock is at a very high price following recent AI rallys as investors hope that this "quantum" will be a necessary speedup for data centers. </t>
  </si>
  <si>
    <t>Lots of problems w/ the type of reactor this company is developing and misleading statements made by management. The stock is trading at ~11B way overvalued for a company that has a lot of regulatory scrutiny over their reactor design which was denied and isn't likely to be approved for years. The margins and use cases of this reactor seem a lot smaller than what the market is implying. It seems that this stock went so high due to management claims that this will "solve the energy problem" in AI datacenters. This claim however has many flaws and its likely the stock collapses. Also, their current buisness model they say they want to execute (owning of reactors and selling energy) requires a lot of capital and would have to take a lot of debt or dilute shareholders.</t>
  </si>
  <si>
    <t>eVTOL company which wants to be like Uber however they still don't have regulatory approval and even when they do there is likely a lot of restrictions for cities (the majority of the TAM) and they have to follow regulations for planes and need licensed pilots currently which would be very expensive and the price of the stock is implying a lot more market than what is likely.</t>
  </si>
  <si>
    <t>The China data for their main drug in the pipeline was very strong but the problem is the FDA has historically almost never approved a drug based on China data and it may not be reliable so further studies in the USA are needed and are being conducted the market is fairly priced in for a decent chance of success but the recent USA interim data isn't very bullish and at this price I wouldn't recommend a position in either direction it is just hard to tell what the data could show. Also, with Keytruda's patent expiry in 2028 this drugs pricing if not significantly better in PFS and OS will be severely limited. I wouldn't short this stock but I see long being pretty risky and would rather avoid this stock.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</si>
</sst>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theme="1"/>
      <name val="Arial"/>
      <family val="2"/>
    </font>
    <font>
      <b/>
      <sz val="10"/>
      <color theme="1"/>
      <name val="Arial"/>
      <family val="2"/>
    </font>
    <font>
      <u/>
      <sz val="10"/>
      <color theme="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14" fontId="0" fillId="0" borderId="0" xfId="0" applyNumberFormat="1"/>
    <xf numFmtId="4" fontId="0" fillId="0" borderId="0" xfId="0" applyNumberFormat="1"/>
    <xf numFmtId="9" fontId="0" fillId="0" borderId="0" xfId="0" applyNumberFormat="1"/>
    <xf numFmtId="0" fontId="1" fillId="0" borderId="0" xfId="0" applyFont="1"/>
    <xf numFmtId="0" fontId="0" fillId="0" borderId="0" xfId="0" applyAlignment="1">
      <alignment horizontal="right"/>
    </xf>
    <xf numFmtId="10" fontId="0" fillId="0" borderId="0" xfId="0" applyNumberFormat="1"/>
    <xf numFmtId="0" fontId="0" fillId="0" borderId="0" xfId="0" applyAlignment="1">
      <alignment horizontal="center"/>
    </xf>
    <xf numFmtId="9" fontId="0" fillId="0" borderId="0" xfId="0" applyNumberFormat="1" applyAlignment="1">
      <alignment horizontal="right"/>
    </xf>
    <xf numFmtId="10" fontId="2" fillId="0" borderId="0" xfId="1" applyNumberFormat="1" applyAlignment="1">
      <alignment horizontal="center"/>
    </xf>
    <xf numFmtId="10" fontId="0" fillId="0" borderId="0" xfId="0" applyNumberFormat="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Liam R" id="{C2F22929-51C4-4A49-8A52-D430D2AD0712}" userId="be0b8782fa6c70c8"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R2" dT="2025-08-26T05:28:16.22" personId="{C2F22929-51C4-4A49-8A52-D430D2AD0712}" id="{B4EED76B-49BB-40DB-92C4-49E5B3985B9F}">
    <text>10YR yield</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LiamRender/models/blob/main/OXY.xlsx" TargetMode="External"/><Relationship Id="rId13" Type="http://schemas.openxmlformats.org/officeDocument/2006/relationships/vmlDrawing" Target="../drawings/vmlDrawing1.vml"/><Relationship Id="rId3" Type="http://schemas.openxmlformats.org/officeDocument/2006/relationships/hyperlink" Target="https://github.com/LiamRender/models/blob/main/SRPT.xlsx" TargetMode="External"/><Relationship Id="rId7" Type="http://schemas.openxmlformats.org/officeDocument/2006/relationships/hyperlink" Target="https://github.com/LiamRender/models/blob/main/ABVX.xlsx" TargetMode="External"/><Relationship Id="rId12" Type="http://schemas.openxmlformats.org/officeDocument/2006/relationships/printerSettings" Target="../printerSettings/printerSettings1.bin"/><Relationship Id="rId2" Type="http://schemas.openxmlformats.org/officeDocument/2006/relationships/hyperlink" Target="https://github.com/LiamRender/theses/blob/main/CRDFthesis.pdf" TargetMode="External"/><Relationship Id="rId1" Type="http://schemas.openxmlformats.org/officeDocument/2006/relationships/hyperlink" Target="https://github.com/LiamRender/models/blob/main/CRDF.xlsx" TargetMode="External"/><Relationship Id="rId6" Type="http://schemas.openxmlformats.org/officeDocument/2006/relationships/hyperlink" Target="https://github.com/LiamRender/models/blob/main/ATYR.xlsx" TargetMode="External"/><Relationship Id="rId11" Type="http://schemas.openxmlformats.org/officeDocument/2006/relationships/hyperlink" Target="https://github.com/LiamRender/models/blob/main/JOBY.xlsx" TargetMode="External"/><Relationship Id="rId5" Type="http://schemas.openxmlformats.org/officeDocument/2006/relationships/hyperlink" Target="https://github.com/LiamRender/models/blob/main/PYPL.xlsx" TargetMode="External"/><Relationship Id="rId15" Type="http://schemas.microsoft.com/office/2017/10/relationships/threadedComment" Target="../threadedComments/threadedComment1.xml"/><Relationship Id="rId10" Type="http://schemas.openxmlformats.org/officeDocument/2006/relationships/hyperlink" Target="https://github.com/LiamRender/models/blob/main/OKLO.xlsx" TargetMode="External"/><Relationship Id="rId4" Type="http://schemas.openxmlformats.org/officeDocument/2006/relationships/hyperlink" Target="https://github.com/LiamRender/models/blob/main/AVXL.xlsx" TargetMode="External"/><Relationship Id="rId9" Type="http://schemas.openxmlformats.org/officeDocument/2006/relationships/hyperlink" Target="https://github.com/LiamRender/models/blob/main/SMMT.xlsx" TargetMode="External"/><Relationship Id="rId1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A6B13-8CAC-436C-8123-F4D415EF8DC4}">
  <dimension ref="A1:V31"/>
  <sheetViews>
    <sheetView tabSelected="1" zoomScale="160" zoomScaleNormal="160" workbookViewId="0">
      <pane xSplit="2" ySplit="2" topLeftCell="C3" activePane="bottomRight" state="frozen"/>
      <selection pane="topRight" activeCell="C1" sqref="C1"/>
      <selection pane="bottomLeft" activeCell="A2" sqref="A2"/>
      <selection pane="bottomRight" activeCell="H10" sqref="H10"/>
    </sheetView>
  </sheetViews>
  <sheetFormatPr defaultRowHeight="12.75" x14ac:dyDescent="0.2"/>
  <cols>
    <col min="1" max="1" width="7.42578125" bestFit="1" customWidth="1"/>
    <col min="2" max="2" width="16.140625" bestFit="1" customWidth="1"/>
    <col min="3" max="4" width="9.42578125" bestFit="1" customWidth="1"/>
    <col min="5" max="5" width="7" bestFit="1" customWidth="1"/>
    <col min="6" max="6" width="13.85546875" bestFit="1" customWidth="1"/>
    <col min="7" max="7" width="11.85546875" bestFit="1" customWidth="1"/>
    <col min="8" max="8" width="10.140625" customWidth="1"/>
    <col min="9" max="9" width="8.5703125" bestFit="1" customWidth="1"/>
    <col min="14" max="14" width="11.140625" bestFit="1" customWidth="1"/>
    <col min="15" max="15" width="9.85546875" customWidth="1"/>
    <col min="22" max="22" width="18" bestFit="1" customWidth="1"/>
  </cols>
  <sheetData>
    <row r="1" spans="1:22" x14ac:dyDescent="0.2">
      <c r="A1" s="4"/>
      <c r="B1" s="1"/>
      <c r="V1" t="s">
        <v>23</v>
      </c>
    </row>
    <row r="2" spans="1:22" x14ac:dyDescent="0.2">
      <c r="B2" t="s">
        <v>9</v>
      </c>
      <c r="C2" t="s">
        <v>0</v>
      </c>
      <c r="D2" t="s">
        <v>10</v>
      </c>
      <c r="E2" t="s">
        <v>11</v>
      </c>
      <c r="F2" t="s">
        <v>12</v>
      </c>
      <c r="G2" t="s">
        <v>13</v>
      </c>
      <c r="H2" s="5" t="s">
        <v>14</v>
      </c>
      <c r="I2" t="s">
        <v>15</v>
      </c>
      <c r="J2" t="s">
        <v>16</v>
      </c>
      <c r="K2" t="s">
        <v>19</v>
      </c>
      <c r="L2" t="s">
        <v>21</v>
      </c>
      <c r="M2" t="s">
        <v>32</v>
      </c>
      <c r="N2" t="s">
        <v>27</v>
      </c>
      <c r="O2" t="s">
        <v>35</v>
      </c>
      <c r="P2" t="s">
        <v>36</v>
      </c>
      <c r="Q2" t="s">
        <v>34</v>
      </c>
      <c r="R2" t="s">
        <v>33</v>
      </c>
      <c r="V2" t="s">
        <v>24</v>
      </c>
    </row>
    <row r="3" spans="1:22" x14ac:dyDescent="0.2">
      <c r="B3" t="s">
        <v>25</v>
      </c>
      <c r="C3" s="1">
        <v>45862</v>
      </c>
      <c r="D3" t="s">
        <v>18</v>
      </c>
      <c r="E3">
        <v>4.1399999999999997</v>
      </c>
      <c r="F3">
        <v>3</v>
      </c>
      <c r="G3">
        <v>2.4900000000000002</v>
      </c>
      <c r="H3" s="3">
        <f>(E4/E3-1)*-1</f>
        <v>0.39855072463768104</v>
      </c>
      <c r="J3">
        <v>1</v>
      </c>
      <c r="K3" s="6">
        <f>H3-(R3+L3*((Q4/Q3)-1)-R3)</f>
        <v>0.39845362807704293</v>
      </c>
      <c r="L3">
        <v>1.54</v>
      </c>
      <c r="M3" s="3">
        <f>H3/(DATEDIF(C3,C4,"d")/365)</f>
        <v>24.245169082125599</v>
      </c>
      <c r="N3" t="s">
        <v>28</v>
      </c>
      <c r="O3" s="9" t="s">
        <v>37</v>
      </c>
      <c r="P3" s="9" t="s">
        <v>37</v>
      </c>
      <c r="Q3" s="2">
        <v>634.41999999999996</v>
      </c>
      <c r="R3" s="6">
        <v>4.2700000000000002E-2</v>
      </c>
      <c r="V3" s="6">
        <f>(F3*K3)/MIN(F3:F11)</f>
        <v>0.39845362807704293</v>
      </c>
    </row>
    <row r="4" spans="1:22" x14ac:dyDescent="0.2">
      <c r="C4" s="1">
        <v>45868</v>
      </c>
      <c r="D4" t="s">
        <v>31</v>
      </c>
      <c r="E4">
        <v>2.4900000000000002</v>
      </c>
      <c r="H4" s="3"/>
      <c r="I4" t="s">
        <v>47</v>
      </c>
      <c r="J4" t="s">
        <v>48</v>
      </c>
      <c r="K4" s="6"/>
      <c r="O4" s="7"/>
      <c r="P4" s="7"/>
      <c r="Q4" s="2">
        <v>634.46</v>
      </c>
      <c r="V4" s="6"/>
    </row>
    <row r="5" spans="1:22" x14ac:dyDescent="0.2">
      <c r="B5" t="s">
        <v>1</v>
      </c>
      <c r="C5" s="1">
        <v>45887</v>
      </c>
      <c r="D5" t="s">
        <v>17</v>
      </c>
      <c r="E5">
        <v>21.81</v>
      </c>
      <c r="F5">
        <v>5</v>
      </c>
      <c r="G5">
        <v>18.2</v>
      </c>
      <c r="H5" s="3">
        <f>G5/E5-1</f>
        <v>-0.16552040348464003</v>
      </c>
      <c r="I5" t="s">
        <v>50</v>
      </c>
      <c r="J5" t="s">
        <v>48</v>
      </c>
      <c r="K5" s="6"/>
      <c r="L5">
        <v>0.46</v>
      </c>
      <c r="M5" s="3"/>
      <c r="N5" t="s">
        <v>28</v>
      </c>
      <c r="O5" s="9" t="s">
        <v>37</v>
      </c>
      <c r="P5" s="10"/>
      <c r="Q5" s="2">
        <v>643.29999999999995</v>
      </c>
      <c r="R5" s="6">
        <v>4.2700000000000002E-2</v>
      </c>
      <c r="V5" s="6">
        <f>(F5*K5)/MIN(F5:F11)</f>
        <v>0</v>
      </c>
    </row>
    <row r="6" spans="1:22" x14ac:dyDescent="0.2">
      <c r="B6" t="s">
        <v>2</v>
      </c>
      <c r="C6" s="1">
        <v>45887</v>
      </c>
      <c r="D6" t="s">
        <v>18</v>
      </c>
      <c r="E6">
        <v>9.94</v>
      </c>
      <c r="F6">
        <v>5</v>
      </c>
      <c r="G6">
        <v>9.64</v>
      </c>
      <c r="H6" s="3">
        <f>(G6/E6-1)*-1</f>
        <v>3.0181086519114553E-2</v>
      </c>
      <c r="I6" t="s">
        <v>51</v>
      </c>
      <c r="J6" t="s">
        <v>48</v>
      </c>
      <c r="K6" s="6"/>
      <c r="L6" s="2">
        <v>0.8</v>
      </c>
      <c r="M6" s="3"/>
      <c r="N6" t="s">
        <v>28</v>
      </c>
      <c r="O6" s="9" t="s">
        <v>37</v>
      </c>
      <c r="P6" s="10"/>
      <c r="Q6" s="2">
        <v>643.29999999999995</v>
      </c>
      <c r="R6" s="6">
        <v>4.2700000000000002E-2</v>
      </c>
      <c r="V6" s="6">
        <f>(F6*K6)/MIN(F6:F16)</f>
        <v>0</v>
      </c>
    </row>
    <row r="7" spans="1:22" x14ac:dyDescent="0.2">
      <c r="B7" t="s">
        <v>3</v>
      </c>
      <c r="C7" s="1">
        <v>45887</v>
      </c>
      <c r="D7" t="s">
        <v>17</v>
      </c>
      <c r="E7">
        <v>69.23</v>
      </c>
      <c r="F7">
        <v>3</v>
      </c>
      <c r="G7">
        <v>70.19</v>
      </c>
      <c r="H7" s="3">
        <f>G7/E7-1</f>
        <v>1.3866820742452601E-2</v>
      </c>
      <c r="I7" t="s">
        <v>52</v>
      </c>
      <c r="J7" t="s">
        <v>48</v>
      </c>
      <c r="K7" s="6"/>
      <c r="L7">
        <v>1.44</v>
      </c>
      <c r="M7" s="3"/>
      <c r="N7" t="s">
        <v>29</v>
      </c>
      <c r="O7" s="9" t="s">
        <v>37</v>
      </c>
      <c r="P7" s="10"/>
      <c r="Q7" s="2">
        <v>643.29999999999995</v>
      </c>
      <c r="R7" s="6">
        <v>4.2700000000000002E-2</v>
      </c>
      <c r="V7" s="6">
        <f>(F7*K7)/MIN(F7:F25)</f>
        <v>0</v>
      </c>
    </row>
    <row r="8" spans="1:22" x14ac:dyDescent="0.2">
      <c r="B8" t="s">
        <v>5</v>
      </c>
      <c r="C8" s="1">
        <v>45894</v>
      </c>
      <c r="D8" t="s">
        <v>18</v>
      </c>
      <c r="E8" s="2">
        <v>5.3</v>
      </c>
      <c r="F8">
        <v>5</v>
      </c>
      <c r="G8" s="2">
        <v>5.38</v>
      </c>
      <c r="H8" s="3">
        <f>G8/E8-1</f>
        <v>1.5094339622641506E-2</v>
      </c>
      <c r="I8" t="s">
        <v>54</v>
      </c>
      <c r="J8" t="s">
        <v>48</v>
      </c>
      <c r="K8" s="6"/>
      <c r="L8">
        <v>0.95</v>
      </c>
      <c r="M8" s="3"/>
      <c r="N8" t="s">
        <v>28</v>
      </c>
      <c r="O8" s="9" t="s">
        <v>37</v>
      </c>
      <c r="P8" s="10"/>
      <c r="Q8" s="2">
        <v>642.47</v>
      </c>
      <c r="R8" s="6">
        <v>4.2700000000000002E-2</v>
      </c>
      <c r="V8" s="6">
        <f>(F8*K8)/MIN(F8:F19)</f>
        <v>0</v>
      </c>
    </row>
    <row r="9" spans="1:22" x14ac:dyDescent="0.2">
      <c r="B9" t="s">
        <v>6</v>
      </c>
      <c r="C9" s="1">
        <v>45894</v>
      </c>
      <c r="D9" t="s">
        <v>17</v>
      </c>
      <c r="E9" s="2">
        <v>77</v>
      </c>
      <c r="F9">
        <v>3</v>
      </c>
      <c r="G9" s="2">
        <v>80.53</v>
      </c>
      <c r="H9" s="3">
        <f>G9/E9-1</f>
        <v>4.5844155844155798E-2</v>
      </c>
      <c r="K9" s="6"/>
      <c r="L9">
        <v>1.58</v>
      </c>
      <c r="M9" s="3"/>
      <c r="N9" t="s">
        <v>28</v>
      </c>
      <c r="O9" s="9" t="s">
        <v>37</v>
      </c>
      <c r="P9" s="10"/>
      <c r="Q9" s="2">
        <v>642.47</v>
      </c>
      <c r="R9" s="6">
        <v>4.2700000000000002E-2</v>
      </c>
      <c r="V9" s="6">
        <f>(F9*K9)/MIN(F9:F20)</f>
        <v>0</v>
      </c>
    </row>
    <row r="10" spans="1:22" x14ac:dyDescent="0.2">
      <c r="B10" t="s">
        <v>8</v>
      </c>
      <c r="C10" s="1">
        <v>45894</v>
      </c>
      <c r="D10" t="s">
        <v>38</v>
      </c>
      <c r="E10" s="2">
        <v>26</v>
      </c>
      <c r="G10" s="2">
        <v>23.7</v>
      </c>
      <c r="H10" s="3"/>
      <c r="I10" t="s">
        <v>58</v>
      </c>
      <c r="J10" t="s">
        <v>48</v>
      </c>
      <c r="K10" s="6"/>
      <c r="L10">
        <v>0.86</v>
      </c>
      <c r="M10" s="3"/>
      <c r="N10" t="s">
        <v>28</v>
      </c>
      <c r="O10" s="9" t="s">
        <v>37</v>
      </c>
      <c r="P10" s="10"/>
      <c r="Q10" s="2">
        <v>642.47</v>
      </c>
      <c r="R10" s="6">
        <v>4.2700000000000002E-2</v>
      </c>
      <c r="V10" s="6">
        <f>(F10*K10)/MIN(F10:F24)</f>
        <v>0</v>
      </c>
    </row>
    <row r="11" spans="1:22" x14ac:dyDescent="0.2">
      <c r="B11" t="s">
        <v>7</v>
      </c>
      <c r="C11" s="1">
        <v>45894</v>
      </c>
      <c r="D11" t="s">
        <v>17</v>
      </c>
      <c r="E11" s="2">
        <v>46</v>
      </c>
      <c r="F11">
        <v>5</v>
      </c>
      <c r="G11" s="2">
        <v>47.61</v>
      </c>
      <c r="H11" s="3">
        <f>G11/E11-1</f>
        <v>3.499999999999992E-2</v>
      </c>
      <c r="I11" t="s">
        <v>49</v>
      </c>
      <c r="J11" t="s">
        <v>48</v>
      </c>
      <c r="K11" s="6"/>
      <c r="L11">
        <v>0.91</v>
      </c>
      <c r="M11" s="3"/>
      <c r="N11" t="s">
        <v>30</v>
      </c>
      <c r="O11" s="9" t="s">
        <v>37</v>
      </c>
      <c r="P11" s="10"/>
      <c r="Q11" s="2">
        <v>642.47</v>
      </c>
      <c r="R11" s="6">
        <v>4.2700000000000002E-2</v>
      </c>
      <c r="V11" s="6">
        <f>(F11*K11)/MIN(F11:F27)</f>
        <v>0</v>
      </c>
    </row>
    <row r="12" spans="1:22" x14ac:dyDescent="0.2">
      <c r="B12" t="s">
        <v>39</v>
      </c>
      <c r="C12" s="1">
        <v>45897</v>
      </c>
      <c r="D12" t="s">
        <v>18</v>
      </c>
      <c r="E12" s="2">
        <v>73</v>
      </c>
      <c r="F12">
        <v>3</v>
      </c>
      <c r="G12" s="2"/>
      <c r="H12" s="3"/>
      <c r="I12" t="s">
        <v>56</v>
      </c>
      <c r="J12" t="s">
        <v>48</v>
      </c>
      <c r="K12" s="6"/>
      <c r="L12">
        <v>0.62</v>
      </c>
      <c r="M12" s="3"/>
      <c r="N12" t="s">
        <v>30</v>
      </c>
      <c r="O12" s="9" t="s">
        <v>37</v>
      </c>
      <c r="P12" s="10"/>
      <c r="Q12" s="2">
        <v>647</v>
      </c>
      <c r="R12" s="6">
        <v>4.2299999999999997E-2</v>
      </c>
      <c r="V12" s="6"/>
    </row>
    <row r="13" spans="1:22" x14ac:dyDescent="0.2">
      <c r="B13" t="s">
        <v>40</v>
      </c>
      <c r="C13" s="1">
        <v>45897</v>
      </c>
      <c r="D13" t="s">
        <v>18</v>
      </c>
      <c r="E13" s="2">
        <v>15.92</v>
      </c>
      <c r="F13">
        <v>4</v>
      </c>
      <c r="G13" s="2"/>
      <c r="H13" s="3"/>
      <c r="I13" t="s">
        <v>55</v>
      </c>
      <c r="J13" t="s">
        <v>48</v>
      </c>
      <c r="K13" s="6"/>
      <c r="L13" s="2">
        <v>1.4</v>
      </c>
      <c r="M13" s="3"/>
      <c r="N13" t="s">
        <v>44</v>
      </c>
      <c r="O13" s="9"/>
      <c r="P13" s="10"/>
      <c r="Q13" s="2">
        <v>647</v>
      </c>
      <c r="R13" s="6">
        <v>4.2299999999999997E-2</v>
      </c>
      <c r="V13" s="6"/>
    </row>
    <row r="14" spans="1:22" x14ac:dyDescent="0.2">
      <c r="B14" t="s">
        <v>41</v>
      </c>
      <c r="C14" s="1">
        <v>45897</v>
      </c>
      <c r="D14" t="s">
        <v>18</v>
      </c>
      <c r="E14" s="2">
        <v>43.3</v>
      </c>
      <c r="F14">
        <v>4</v>
      </c>
      <c r="G14" s="2"/>
      <c r="H14" s="3"/>
      <c r="K14" s="6"/>
      <c r="L14">
        <v>2.54</v>
      </c>
      <c r="M14" s="3"/>
      <c r="N14" t="s">
        <v>44</v>
      </c>
      <c r="O14" s="9"/>
      <c r="P14" s="10"/>
      <c r="Q14" s="2">
        <v>647</v>
      </c>
      <c r="R14" s="6">
        <v>4.2299999999999997E-2</v>
      </c>
      <c r="V14" s="6"/>
    </row>
    <row r="15" spans="1:22" x14ac:dyDescent="0.2">
      <c r="B15" t="s">
        <v>42</v>
      </c>
      <c r="C15" s="1">
        <v>45897</v>
      </c>
      <c r="D15" t="s">
        <v>18</v>
      </c>
      <c r="E15" s="2">
        <v>14.27</v>
      </c>
      <c r="F15">
        <v>3</v>
      </c>
      <c r="G15" s="2"/>
      <c r="H15" s="3"/>
      <c r="I15" t="s">
        <v>57</v>
      </c>
      <c r="J15" t="s">
        <v>48</v>
      </c>
      <c r="K15" s="6"/>
      <c r="L15">
        <v>2.52</v>
      </c>
      <c r="M15" s="3"/>
      <c r="N15" t="s">
        <v>46</v>
      </c>
      <c r="O15" s="9" t="s">
        <v>37</v>
      </c>
      <c r="P15" s="10"/>
      <c r="Q15" s="2">
        <v>647</v>
      </c>
      <c r="R15" s="6">
        <v>4.2299999999999997E-2</v>
      </c>
      <c r="V15" s="6"/>
    </row>
    <row r="16" spans="1:22" x14ac:dyDescent="0.2">
      <c r="B16" t="s">
        <v>43</v>
      </c>
      <c r="C16" s="1">
        <v>45897</v>
      </c>
      <c r="D16" t="s">
        <v>38</v>
      </c>
      <c r="E16" s="2">
        <v>338.84</v>
      </c>
      <c r="F16">
        <v>4</v>
      </c>
      <c r="I16" t="s">
        <v>53</v>
      </c>
      <c r="J16" t="s">
        <v>48</v>
      </c>
      <c r="L16">
        <v>3.78</v>
      </c>
      <c r="N16" t="s">
        <v>45</v>
      </c>
      <c r="Q16" s="2">
        <v>647</v>
      </c>
      <c r="R16" s="6">
        <v>4.2299999999999997E-2</v>
      </c>
    </row>
    <row r="17" spans="2:22" x14ac:dyDescent="0.2">
      <c r="I17" s="8" t="s">
        <v>22</v>
      </c>
      <c r="J17" s="3">
        <f>SUM(J3:J16)/COUNT(J3:J16)</f>
        <v>1</v>
      </c>
    </row>
    <row r="18" spans="2:22" x14ac:dyDescent="0.2">
      <c r="I18" s="8"/>
      <c r="J18" s="3"/>
    </row>
    <row r="19" spans="2:22" x14ac:dyDescent="0.2">
      <c r="B19" t="s">
        <v>26</v>
      </c>
      <c r="F19" s="2">
        <f>AVERAGE(F3:F16)</f>
        <v>3.9166666666666665</v>
      </c>
      <c r="H19" s="3">
        <f>AVERAGE(H3:H11)</f>
        <v>5.3288103411629338E-2</v>
      </c>
      <c r="K19" s="6">
        <f>AVERAGE(K3:K11)</f>
        <v>0.39845362807704293</v>
      </c>
      <c r="L19" s="2">
        <f>AVERAGE(L3:L11)</f>
        <v>1.0675000000000001</v>
      </c>
      <c r="M19" s="3">
        <f>AVERAGE(M3:M11)</f>
        <v>24.245169082125599</v>
      </c>
      <c r="V19" s="6">
        <f>AVERAGE(V3:V11)</f>
        <v>4.9806703509630366E-2</v>
      </c>
    </row>
    <row r="20" spans="2:22" x14ac:dyDescent="0.2">
      <c r="H20" s="6"/>
      <c r="K20" s="6"/>
      <c r="V20" s="6"/>
    </row>
    <row r="21" spans="2:22" x14ac:dyDescent="0.2">
      <c r="B21" t="s">
        <v>18</v>
      </c>
      <c r="D21">
        <f>COUNTIF(D3:D16,"SHORT")</f>
        <v>7</v>
      </c>
      <c r="E21" s="3">
        <f>D21/$D$23</f>
        <v>0.63636363636363635</v>
      </c>
      <c r="F21" s="2">
        <f>AVERAGE(F12:F16,F8,F6,F3)</f>
        <v>3.875</v>
      </c>
      <c r="H21" s="3">
        <f>AVERAGE(H12:H16,H8,H6,H3)</f>
        <v>0.14794205025981236</v>
      </c>
      <c r="J21" s="3">
        <f>SUM(J12:J16,J8,J6,J3)/COUNT(J12:J16,J8,J6,J3)</f>
        <v>1</v>
      </c>
      <c r="K21" s="3"/>
      <c r="L21" s="2">
        <f>AVERAGE(L12:L16,L8,L6,L3)</f>
        <v>1.7687499999999998</v>
      </c>
      <c r="V21" s="6"/>
    </row>
    <row r="22" spans="2:22" x14ac:dyDescent="0.2">
      <c r="B22" t="s">
        <v>17</v>
      </c>
      <c r="D22">
        <f>COUNTIF(D3:D16,"LONG")</f>
        <v>4</v>
      </c>
      <c r="E22" s="3">
        <f>D22/$D$23</f>
        <v>0.36363636363636365</v>
      </c>
      <c r="F22" s="2">
        <f>AVERAGE(F11,F9,F7,F5)</f>
        <v>4</v>
      </c>
      <c r="H22" s="3">
        <f>AVERAGE(H11,H9,H7,H5)</f>
        <v>-1.7702356724507928E-2</v>
      </c>
      <c r="J22" t="e">
        <f>SUM(J11,J9,J7,J5)/COUNT(J11,J9,J7,J5)</f>
        <v>#DIV/0!</v>
      </c>
      <c r="K22" s="2"/>
      <c r="L22" s="2">
        <f>AVERAGE(L11,L9,L7,L5)</f>
        <v>1.0975000000000001</v>
      </c>
      <c r="V22" s="6"/>
    </row>
    <row r="23" spans="2:22" x14ac:dyDescent="0.2">
      <c r="D23">
        <f>SUM(D21:D22)</f>
        <v>11</v>
      </c>
      <c r="H23" s="6"/>
      <c r="K23" s="6"/>
      <c r="V23" s="6"/>
    </row>
    <row r="24" spans="2:22" x14ac:dyDescent="0.2">
      <c r="B24" t="s">
        <v>4</v>
      </c>
      <c r="C24" s="1">
        <v>45862</v>
      </c>
      <c r="E24" s="2">
        <v>634.41999999999996</v>
      </c>
      <c r="G24" s="2">
        <v>645.04999999999995</v>
      </c>
      <c r="H24" s="3">
        <f>G24/E24-1</f>
        <v>1.6755461681535966E-2</v>
      </c>
      <c r="I24" s="3"/>
      <c r="K24" s="6">
        <f>H24-($H$25+L24*($H$24-$H$25))</f>
        <v>0</v>
      </c>
      <c r="L24">
        <v>1</v>
      </c>
    </row>
    <row r="25" spans="2:22" x14ac:dyDescent="0.2">
      <c r="B25" t="s">
        <v>20</v>
      </c>
      <c r="C25" s="1"/>
      <c r="H25" s="6">
        <v>4.2700000000000002E-2</v>
      </c>
      <c r="I25" s="3"/>
      <c r="K25" s="6">
        <f>H25-($H$25+L25*($H$24-$H$25))</f>
        <v>0</v>
      </c>
      <c r="L25">
        <v>0</v>
      </c>
    </row>
    <row r="26" spans="2:22" x14ac:dyDescent="0.2">
      <c r="J26" t="s">
        <v>22</v>
      </c>
    </row>
    <row r="27" spans="2:22" x14ac:dyDescent="0.2">
      <c r="B27" t="s">
        <v>28</v>
      </c>
      <c r="J27" s="3">
        <f>SUM(J3,J5,J6,J8,J9,J10)/COUNT(J3,J5,J6,J8,J9,J10)</f>
        <v>1</v>
      </c>
      <c r="K27" s="6">
        <f>AVERAGE(K3,K5,K6,K8,K9,K10)</f>
        <v>0.39845362807704293</v>
      </c>
      <c r="L27" s="2">
        <f>AVERAGE(L3,L5,L6,L8,L9,L10)</f>
        <v>1.0316666666666667</v>
      </c>
      <c r="M27" s="3">
        <f>AVERAGE(M3,M5,M6,M8,M9,M10)</f>
        <v>24.245169082125599</v>
      </c>
    </row>
    <row r="28" spans="2:22" x14ac:dyDescent="0.2">
      <c r="B28" t="s">
        <v>29</v>
      </c>
      <c r="J28" t="e">
        <f>SUM(J7)/COUNT(J7)</f>
        <v>#DIV/0!</v>
      </c>
      <c r="K28" s="6" t="e">
        <f>AVERAGE(K7)</f>
        <v>#DIV/0!</v>
      </c>
      <c r="L28" s="2">
        <f>AVERAGE(L7)</f>
        <v>1.44</v>
      </c>
      <c r="M28" s="3" t="e">
        <f>AVERAGE(M7)</f>
        <v>#DIV/0!</v>
      </c>
    </row>
    <row r="29" spans="2:22" x14ac:dyDescent="0.2">
      <c r="B29" t="s">
        <v>30</v>
      </c>
      <c r="I29" s="3"/>
      <c r="J29" t="e">
        <f>SUM(J11)/COUNT(J11)</f>
        <v>#DIV/0!</v>
      </c>
      <c r="K29" s="6" t="e">
        <f>AVERAGE(K11)</f>
        <v>#DIV/0!</v>
      </c>
      <c r="L29" s="2">
        <f>AVERAGE(L11)</f>
        <v>0.91</v>
      </c>
      <c r="M29" s="3" t="e">
        <f>AVERAGE(M11)</f>
        <v>#DIV/0!</v>
      </c>
    </row>
    <row r="31" spans="2:22" x14ac:dyDescent="0.2">
      <c r="K31" s="6"/>
    </row>
  </sheetData>
  <hyperlinks>
    <hyperlink ref="O3" r:id="rId1" xr:uid="{D28EB580-B8E1-48AE-8C56-94A069342149}"/>
    <hyperlink ref="P3" r:id="rId2" xr:uid="{E30F7852-6389-425A-B287-571FF99532F6}"/>
    <hyperlink ref="O5" r:id="rId3" xr:uid="{D62136F3-CB2F-44C3-B3F1-4721FA1E5EE9}"/>
    <hyperlink ref="O6" r:id="rId4" xr:uid="{3676D465-641E-4B4D-8677-65A91A2F5628}"/>
    <hyperlink ref="O7" r:id="rId5" xr:uid="{C150F644-22BC-4D02-802D-BED0E57B013A}"/>
    <hyperlink ref="O8" r:id="rId6" xr:uid="{99178A6F-2964-4DD4-80DE-C47CB66DDED3}"/>
    <hyperlink ref="O9" r:id="rId7" xr:uid="{1954C073-6EE4-438F-929C-C507A342B480}"/>
    <hyperlink ref="O11" r:id="rId8" xr:uid="{6CCCA1FE-ECD2-4689-860F-9ADE3B056949}"/>
    <hyperlink ref="O10" r:id="rId9" xr:uid="{D35E01C5-0A43-4ACD-BD0C-88FFA33A47B9}"/>
    <hyperlink ref="O12" r:id="rId10" xr:uid="{A047975B-CA68-4AA6-A365-A332455D0250}"/>
    <hyperlink ref="O15" r:id="rId11" xr:uid="{E1AFF3FB-1C65-4169-8AC3-97DCAA64B9AF}"/>
  </hyperlinks>
  <pageMargins left="0.7" right="0.7" top="0.75" bottom="0.75" header="0.3" footer="0.3"/>
  <pageSetup orientation="portrait" horizontalDpi="300" verticalDpi="300" r:id="rId12"/>
  <legacyDrawing r:id="rId1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Liam R</dc:creator>
  <cp:lastModifiedBy>Liam R</cp:lastModifiedBy>
  <dcterms:created xsi:type="dcterms:W3CDTF">2025-08-18T10:10:50Z</dcterms:created>
  <dcterms:modified xsi:type="dcterms:W3CDTF">2025-09-03T10:15:12Z</dcterms:modified>
</cp:coreProperties>
</file>