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79935D75-EFB4-4920-905F-772D73D94A45}" xr6:coauthVersionLast="47" xr6:coauthVersionMax="47" xr10:uidLastSave="{00000000-0000-0000-0000-000000000000}"/>
  <bookViews>
    <workbookView xWindow="1335" yWindow="1155" windowWidth="23670" windowHeight="14280" xr2:uid="{DF0DB4ED-CAE9-4E97-ABC6-569A6BB0DC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9" i="2" l="1"/>
  <c r="J98" i="2"/>
  <c r="J97" i="2"/>
  <c r="J96" i="2"/>
  <c r="J95" i="2"/>
  <c r="J94" i="2"/>
  <c r="J93" i="2"/>
  <c r="J92" i="2"/>
  <c r="J91" i="2"/>
  <c r="J90" i="2"/>
  <c r="J89" i="2"/>
  <c r="J88" i="2"/>
  <c r="J87" i="2"/>
  <c r="U99" i="2"/>
  <c r="J86" i="2"/>
  <c r="W52" i="2"/>
  <c r="X52" i="2"/>
  <c r="Y52" i="2"/>
  <c r="Z52" i="2"/>
  <c r="W95" i="2"/>
  <c r="X95" i="2" s="1"/>
  <c r="Y95" i="2" s="1"/>
  <c r="Z95" i="2" s="1"/>
  <c r="W92" i="2"/>
  <c r="X92" i="2" s="1"/>
  <c r="Y92" i="2" s="1"/>
  <c r="Z92" i="2" s="1"/>
  <c r="Q53" i="2"/>
  <c r="R53" i="2"/>
  <c r="S53" i="2"/>
  <c r="T53" i="2"/>
  <c r="P32" i="2"/>
  <c r="Q32" i="2"/>
  <c r="R32" i="2"/>
  <c r="S32" i="2"/>
  <c r="T32" i="2"/>
  <c r="U32" i="2"/>
  <c r="P53" i="2"/>
  <c r="G104" i="2"/>
  <c r="H104" i="2"/>
  <c r="U103" i="2"/>
  <c r="U102" i="2"/>
  <c r="U101" i="2"/>
  <c r="U87" i="2"/>
  <c r="U88" i="2"/>
  <c r="U89" i="2"/>
  <c r="U90" i="2"/>
  <c r="U91" i="2"/>
  <c r="U92" i="2"/>
  <c r="U93" i="2"/>
  <c r="U94" i="2"/>
  <c r="U95" i="2"/>
  <c r="U96" i="2"/>
  <c r="U97" i="2"/>
  <c r="U98" i="2"/>
  <c r="U86" i="2"/>
  <c r="U85" i="2"/>
  <c r="U57" i="2"/>
  <c r="U58" i="2"/>
  <c r="W93" i="2"/>
  <c r="X93" i="2" s="1"/>
  <c r="Y93" i="2" s="1"/>
  <c r="Z93" i="2" s="1"/>
  <c r="W94" i="2"/>
  <c r="X94" i="2" s="1"/>
  <c r="Y94" i="2" s="1"/>
  <c r="Z94" i="2" s="1"/>
  <c r="W30" i="2"/>
  <c r="X30" i="2" s="1"/>
  <c r="Y30" i="2" s="1"/>
  <c r="Z30" i="2" s="1"/>
  <c r="V8" i="2"/>
  <c r="V7" i="2"/>
  <c r="S23" i="2"/>
  <c r="D34" i="2"/>
  <c r="E34" i="2"/>
  <c r="F34" i="2"/>
  <c r="D38" i="2"/>
  <c r="E38" i="2"/>
  <c r="F38" i="2"/>
  <c r="C38" i="2"/>
  <c r="C34" i="2"/>
  <c r="K30" i="2"/>
  <c r="L30" i="2" s="1"/>
  <c r="M30" i="2" s="1"/>
  <c r="N30" i="2" s="1"/>
  <c r="J22" i="2"/>
  <c r="T23" i="2"/>
  <c r="I23" i="2"/>
  <c r="W17" i="2"/>
  <c r="X17" i="2" s="1"/>
  <c r="Y17" i="2" s="1"/>
  <c r="Z17" i="2" s="1"/>
  <c r="W18" i="2"/>
  <c r="X18" i="2" s="1"/>
  <c r="Y18" i="2" s="1"/>
  <c r="Z18" i="2" s="1"/>
  <c r="W19" i="2"/>
  <c r="X19" i="2" s="1"/>
  <c r="Y19" i="2" s="1"/>
  <c r="Z19" i="2" s="1"/>
  <c r="W20" i="2"/>
  <c r="X20" i="2" s="1"/>
  <c r="Y20" i="2" s="1"/>
  <c r="Z20" i="2" s="1"/>
  <c r="V16" i="2"/>
  <c r="S21" i="2"/>
  <c r="T21" i="2"/>
  <c r="U100" i="2" l="1"/>
  <c r="Z32" i="2"/>
  <c r="Z33" i="2" s="1"/>
  <c r="Z34" i="2" s="1"/>
  <c r="W32" i="2"/>
  <c r="W33" i="2" s="1"/>
  <c r="W34" i="2" s="1"/>
  <c r="V32" i="2"/>
  <c r="V33" i="2" s="1"/>
  <c r="V34" i="2" s="1"/>
  <c r="V21" i="2"/>
  <c r="X32" i="2"/>
  <c r="Y32" i="2"/>
  <c r="V23" i="2"/>
  <c r="C39" i="2"/>
  <c r="C42" i="2" s="1"/>
  <c r="C44" i="2" s="1"/>
  <c r="C46" i="2" s="1"/>
  <c r="F39" i="2"/>
  <c r="F42" i="2" s="1"/>
  <c r="F44" i="2" s="1"/>
  <c r="F46" i="2" s="1"/>
  <c r="E39" i="2"/>
  <c r="E42" i="2" s="1"/>
  <c r="E44" i="2" s="1"/>
  <c r="E46" i="2" s="1"/>
  <c r="D39" i="2"/>
  <c r="D42" i="2" s="1"/>
  <c r="D44" i="2" s="1"/>
  <c r="D46" i="2" s="1"/>
  <c r="W16" i="2"/>
  <c r="Z16" i="2"/>
  <c r="Y16" i="2"/>
  <c r="X16" i="2"/>
  <c r="U45" i="2"/>
  <c r="U70" i="2"/>
  <c r="U71" i="2"/>
  <c r="U72" i="2"/>
  <c r="U73" i="2"/>
  <c r="U74" i="2"/>
  <c r="U75" i="2"/>
  <c r="U76" i="2"/>
  <c r="U77" i="2"/>
  <c r="U69" i="2"/>
  <c r="U61" i="2"/>
  <c r="U62" i="2"/>
  <c r="U63" i="2"/>
  <c r="U64" i="2"/>
  <c r="U65" i="2"/>
  <c r="U66" i="2"/>
  <c r="U60" i="2"/>
  <c r="U40" i="2"/>
  <c r="D54" i="2"/>
  <c r="E54" i="2"/>
  <c r="F54" i="2"/>
  <c r="C54" i="2"/>
  <c r="I53" i="2"/>
  <c r="I49" i="2"/>
  <c r="F17" i="1"/>
  <c r="F15" i="1"/>
  <c r="E28" i="2"/>
  <c r="H28" i="2"/>
  <c r="E104" i="2"/>
  <c r="F104" i="2"/>
  <c r="I104" i="2"/>
  <c r="K104" i="2"/>
  <c r="L104" i="2"/>
  <c r="M104" i="2"/>
  <c r="N104" i="2"/>
  <c r="D100" i="2"/>
  <c r="E100" i="2"/>
  <c r="F100" i="2"/>
  <c r="G100" i="2"/>
  <c r="H100" i="2"/>
  <c r="C100" i="2"/>
  <c r="I100" i="2"/>
  <c r="D82" i="2"/>
  <c r="E82" i="2"/>
  <c r="F82" i="2"/>
  <c r="G82" i="2"/>
  <c r="H82" i="2"/>
  <c r="I82" i="2"/>
  <c r="J82" i="2"/>
  <c r="C82" i="2"/>
  <c r="I57" i="2"/>
  <c r="I58" i="2"/>
  <c r="H58" i="2"/>
  <c r="H57" i="2"/>
  <c r="T57" i="2"/>
  <c r="T58" i="2"/>
  <c r="S104" i="2"/>
  <c r="T104" i="2"/>
  <c r="R104" i="2"/>
  <c r="S100" i="2"/>
  <c r="T100" i="2"/>
  <c r="R100" i="2"/>
  <c r="Q82" i="2"/>
  <c r="R82" i="2"/>
  <c r="P82" i="2"/>
  <c r="T82" i="2"/>
  <c r="S82" i="2"/>
  <c r="S58" i="2"/>
  <c r="S57" i="2"/>
  <c r="Q67" i="2"/>
  <c r="R67" i="2"/>
  <c r="S67" i="2"/>
  <c r="T67" i="2"/>
  <c r="V67" i="2"/>
  <c r="W67" i="2"/>
  <c r="X67" i="2"/>
  <c r="Y67" i="2"/>
  <c r="Z67" i="2"/>
  <c r="Q78" i="2"/>
  <c r="R78" i="2"/>
  <c r="S78" i="2"/>
  <c r="T78" i="2"/>
  <c r="V78" i="2"/>
  <c r="W78" i="2"/>
  <c r="X78" i="2"/>
  <c r="Y78" i="2"/>
  <c r="Z78" i="2"/>
  <c r="P78" i="2"/>
  <c r="P67" i="2"/>
  <c r="D67" i="2"/>
  <c r="E67" i="2"/>
  <c r="F67" i="2"/>
  <c r="G67" i="2"/>
  <c r="H67" i="2"/>
  <c r="I67" i="2"/>
  <c r="J67" i="2"/>
  <c r="K67" i="2"/>
  <c r="L67" i="2"/>
  <c r="M67" i="2"/>
  <c r="N67" i="2"/>
  <c r="D78" i="2"/>
  <c r="E78" i="2"/>
  <c r="F78" i="2"/>
  <c r="G78" i="2"/>
  <c r="H78" i="2"/>
  <c r="I78" i="2"/>
  <c r="J78" i="2"/>
  <c r="K78" i="2"/>
  <c r="L78" i="2"/>
  <c r="M78" i="2"/>
  <c r="N78" i="2"/>
  <c r="C67" i="2"/>
  <c r="C78" i="2"/>
  <c r="U30" i="2"/>
  <c r="U23" i="2" s="1"/>
  <c r="J33" i="2"/>
  <c r="U33" i="2" s="1"/>
  <c r="U34" i="2" s="1"/>
  <c r="Q34" i="2"/>
  <c r="R34" i="2"/>
  <c r="Q38" i="2"/>
  <c r="Q54" i="2" s="1"/>
  <c r="R38" i="2"/>
  <c r="R54" i="2" s="1"/>
  <c r="P38" i="2"/>
  <c r="P54" i="2" s="1"/>
  <c r="P34" i="2"/>
  <c r="P52" i="2" s="1"/>
  <c r="R48" i="2"/>
  <c r="S48" i="2"/>
  <c r="Q48" i="2"/>
  <c r="C53" i="2"/>
  <c r="D53" i="2"/>
  <c r="E53" i="2"/>
  <c r="F53" i="2"/>
  <c r="C52" i="2"/>
  <c r="D52" i="2"/>
  <c r="E52" i="2"/>
  <c r="F52" i="2"/>
  <c r="D49" i="2"/>
  <c r="E49" i="2"/>
  <c r="F49" i="2"/>
  <c r="G49" i="2"/>
  <c r="G48" i="2"/>
  <c r="H48" i="2"/>
  <c r="I48" i="2"/>
  <c r="J48" i="2"/>
  <c r="H49" i="2"/>
  <c r="T48" i="2"/>
  <c r="S38" i="2"/>
  <c r="S54" i="2" s="1"/>
  <c r="S34" i="2"/>
  <c r="S52" i="2" s="1"/>
  <c r="T34" i="2"/>
  <c r="T52" i="2" s="1"/>
  <c r="T38" i="2"/>
  <c r="T54" i="2" s="1"/>
  <c r="G53" i="2"/>
  <c r="G38" i="2"/>
  <c r="G54" i="2" s="1"/>
  <c r="G34" i="2"/>
  <c r="G52" i="2" s="1"/>
  <c r="H53" i="2"/>
  <c r="H38" i="2"/>
  <c r="H54" i="2" s="1"/>
  <c r="H34" i="2"/>
  <c r="H52" i="2" s="1"/>
  <c r="U1" i="2"/>
  <c r="V1" i="2" s="1"/>
  <c r="W1" i="2" s="1"/>
  <c r="X1" i="2" s="1"/>
  <c r="Y1" i="2" s="1"/>
  <c r="Z1" i="2" s="1"/>
  <c r="AA1" i="2" s="1"/>
  <c r="AB1" i="2" s="1"/>
  <c r="AC1" i="2" s="1"/>
  <c r="AD1" i="2" s="1"/>
  <c r="AE1" i="2" s="1"/>
  <c r="C50" i="2" l="1"/>
  <c r="F50" i="2"/>
  <c r="D50" i="2"/>
  <c r="C84" i="2"/>
  <c r="F84" i="2"/>
  <c r="D84" i="2"/>
  <c r="V48" i="2"/>
  <c r="Y48" i="2"/>
  <c r="X33" i="2"/>
  <c r="X34" i="2" s="1"/>
  <c r="X48" i="2"/>
  <c r="Y33" i="2"/>
  <c r="Y34" i="2" s="1"/>
  <c r="W48" i="2"/>
  <c r="Z48" i="2"/>
  <c r="E84" i="2"/>
  <c r="E50" i="2"/>
  <c r="L82" i="2"/>
  <c r="U21" i="2"/>
  <c r="F18" i="1"/>
  <c r="F105" i="2"/>
  <c r="E105" i="2"/>
  <c r="D105" i="2"/>
  <c r="P79" i="2"/>
  <c r="P80" i="2" s="1"/>
  <c r="U78" i="2"/>
  <c r="U67" i="2"/>
  <c r="U79" i="2" s="1"/>
  <c r="U80" i="2" s="1"/>
  <c r="I56" i="2"/>
  <c r="U52" i="2"/>
  <c r="U82" i="2"/>
  <c r="G105" i="2"/>
  <c r="H105" i="2"/>
  <c r="H56" i="2"/>
  <c r="N79" i="2"/>
  <c r="N80" i="2" s="1"/>
  <c r="M79" i="2"/>
  <c r="M80" i="2" s="1"/>
  <c r="I105" i="2"/>
  <c r="C105" i="2"/>
  <c r="T56" i="2"/>
  <c r="L79" i="2"/>
  <c r="L80" i="2" s="1"/>
  <c r="Z79" i="2"/>
  <c r="Z80" i="2" s="1"/>
  <c r="K82" i="2"/>
  <c r="K79" i="2"/>
  <c r="K80" i="2" s="1"/>
  <c r="Y79" i="2"/>
  <c r="Y80" i="2" s="1"/>
  <c r="Q79" i="2"/>
  <c r="Q80" i="2" s="1"/>
  <c r="S105" i="2"/>
  <c r="J79" i="2"/>
  <c r="J80" i="2" s="1"/>
  <c r="X79" i="2"/>
  <c r="X80" i="2" s="1"/>
  <c r="R105" i="2"/>
  <c r="T105" i="2"/>
  <c r="W79" i="2"/>
  <c r="W80" i="2" s="1"/>
  <c r="I79" i="2"/>
  <c r="I80" i="2" s="1"/>
  <c r="E79" i="2"/>
  <c r="E80" i="2" s="1"/>
  <c r="R79" i="2"/>
  <c r="R80" i="2" s="1"/>
  <c r="C79" i="2"/>
  <c r="C80" i="2" s="1"/>
  <c r="T79" i="2"/>
  <c r="T80" i="2" s="1"/>
  <c r="S79" i="2"/>
  <c r="S80" i="2" s="1"/>
  <c r="V79" i="2"/>
  <c r="V80" i="2" s="1"/>
  <c r="H79" i="2"/>
  <c r="H80" i="2" s="1"/>
  <c r="G79" i="2"/>
  <c r="G80" i="2" s="1"/>
  <c r="F79" i="2"/>
  <c r="F80" i="2" s="1"/>
  <c r="D79" i="2"/>
  <c r="D80" i="2" s="1"/>
  <c r="L33" i="2"/>
  <c r="R39" i="2"/>
  <c r="R42" i="2" s="1"/>
  <c r="R44" i="2" s="1"/>
  <c r="Q39" i="2"/>
  <c r="Q42" i="2" s="1"/>
  <c r="Q44" i="2" s="1"/>
  <c r="Q52" i="2"/>
  <c r="R52" i="2"/>
  <c r="K33" i="2"/>
  <c r="P39" i="2"/>
  <c r="S39" i="2"/>
  <c r="G39" i="2"/>
  <c r="T39" i="2"/>
  <c r="H39" i="2"/>
  <c r="V91" i="2" l="1"/>
  <c r="V90" i="2"/>
  <c r="W90" i="2" s="1"/>
  <c r="X90" i="2" s="1"/>
  <c r="Y90" i="2" s="1"/>
  <c r="Z90" i="2" s="1"/>
  <c r="V98" i="2"/>
  <c r="W98" i="2" s="1"/>
  <c r="X98" i="2" s="1"/>
  <c r="Y98" i="2" s="1"/>
  <c r="Z98" i="2" s="1"/>
  <c r="V96" i="2"/>
  <c r="W96" i="2" s="1"/>
  <c r="X96" i="2" s="1"/>
  <c r="Y96" i="2" s="1"/>
  <c r="Z96" i="2" s="1"/>
  <c r="V99" i="2"/>
  <c r="W99" i="2" s="1"/>
  <c r="X99" i="2" s="1"/>
  <c r="Y99" i="2" s="1"/>
  <c r="Z99" i="2" s="1"/>
  <c r="V89" i="2"/>
  <c r="W89" i="2" s="1"/>
  <c r="X89" i="2" s="1"/>
  <c r="Y89" i="2" s="1"/>
  <c r="Z89" i="2" s="1"/>
  <c r="V87" i="2"/>
  <c r="W87" i="2" s="1"/>
  <c r="X87" i="2" s="1"/>
  <c r="Y87" i="2" s="1"/>
  <c r="Z87" i="2" s="1"/>
  <c r="V88" i="2"/>
  <c r="W88" i="2" s="1"/>
  <c r="X88" i="2" s="1"/>
  <c r="Y88" i="2" s="1"/>
  <c r="Z88" i="2" s="1"/>
  <c r="V86" i="2"/>
  <c r="W86" i="2" s="1"/>
  <c r="X86" i="2" s="1"/>
  <c r="Y86" i="2" s="1"/>
  <c r="Z86" i="2" s="1"/>
  <c r="V97" i="2"/>
  <c r="W97" i="2" s="1"/>
  <c r="X97" i="2" s="1"/>
  <c r="Y97" i="2" s="1"/>
  <c r="Z97" i="2" s="1"/>
  <c r="M82" i="2"/>
  <c r="O30" i="2"/>
  <c r="Q50" i="2"/>
  <c r="R50" i="2"/>
  <c r="V82" i="2"/>
  <c r="R84" i="2"/>
  <c r="M33" i="2"/>
  <c r="M34" i="2" s="1"/>
  <c r="M48" i="2"/>
  <c r="M49" i="2"/>
  <c r="N82" i="2"/>
  <c r="Q46" i="2"/>
  <c r="R46" i="2"/>
  <c r="P42" i="2"/>
  <c r="P44" i="2" s="1"/>
  <c r="P46" i="2" s="1"/>
  <c r="P50" i="2"/>
  <c r="I34" i="2"/>
  <c r="I52" i="2" s="1"/>
  <c r="H42" i="2"/>
  <c r="H44" i="2" s="1"/>
  <c r="H84" i="2" s="1"/>
  <c r="H50" i="2"/>
  <c r="G42" i="2"/>
  <c r="G44" i="2" s="1"/>
  <c r="G50" i="2"/>
  <c r="S42" i="2"/>
  <c r="S44" i="2" s="1"/>
  <c r="S50" i="2"/>
  <c r="J49" i="2"/>
  <c r="J35" i="2" s="1"/>
  <c r="T42" i="2"/>
  <c r="T44" i="2" s="1"/>
  <c r="T84" i="2" s="1"/>
  <c r="T50" i="2"/>
  <c r="U35" i="2" l="1"/>
  <c r="K35" i="2"/>
  <c r="L35" i="2" s="1"/>
  <c r="M35" i="2" s="1"/>
  <c r="N35" i="2" s="1"/>
  <c r="G46" i="2"/>
  <c r="G84" i="2"/>
  <c r="S46" i="2"/>
  <c r="S84" i="2"/>
  <c r="N33" i="2"/>
  <c r="N34" i="2" s="1"/>
  <c r="N48" i="2"/>
  <c r="N49" i="2"/>
  <c r="H46" i="2"/>
  <c r="J37" i="2"/>
  <c r="U37" i="2" s="1"/>
  <c r="J34" i="2"/>
  <c r="I38" i="2"/>
  <c r="J36" i="2"/>
  <c r="U36" i="2" s="1"/>
  <c r="T46" i="2"/>
  <c r="K48" i="2"/>
  <c r="K49" i="2"/>
  <c r="I39" i="2" l="1"/>
  <c r="I50" i="2" s="1"/>
  <c r="I54" i="2"/>
  <c r="U38" i="2"/>
  <c r="U48" i="2"/>
  <c r="K36" i="2"/>
  <c r="J38" i="2"/>
  <c r="J54" i="2" s="1"/>
  <c r="K34" i="2"/>
  <c r="K37" i="2"/>
  <c r="L48" i="2"/>
  <c r="L49" i="2"/>
  <c r="V101" i="2" l="1"/>
  <c r="U104" i="2"/>
  <c r="J39" i="2"/>
  <c r="I42" i="2"/>
  <c r="I44" i="2" s="1"/>
  <c r="I46" i="2" s="1"/>
  <c r="U54" i="2"/>
  <c r="U39" i="2"/>
  <c r="V37" i="2"/>
  <c r="V36" i="2"/>
  <c r="L37" i="2"/>
  <c r="M37" i="2" s="1"/>
  <c r="N37" i="2" s="1"/>
  <c r="L36" i="2"/>
  <c r="M36" i="2" s="1"/>
  <c r="K38" i="2"/>
  <c r="L34" i="2"/>
  <c r="W101" i="2" l="1"/>
  <c r="V104" i="2"/>
  <c r="K39" i="2"/>
  <c r="K54" i="2"/>
  <c r="J41" i="2"/>
  <c r="U41" i="2" s="1"/>
  <c r="U42" i="2" s="1"/>
  <c r="I84" i="2"/>
  <c r="N36" i="2"/>
  <c r="N38" i="2" s="1"/>
  <c r="M38" i="2"/>
  <c r="J42" i="2"/>
  <c r="V35" i="2"/>
  <c r="L38" i="2"/>
  <c r="X101" i="2" l="1"/>
  <c r="W104" i="2"/>
  <c r="J43" i="2"/>
  <c r="U43" i="2" s="1"/>
  <c r="U50" i="2" s="1"/>
  <c r="L39" i="2"/>
  <c r="L54" i="2"/>
  <c r="M39" i="2"/>
  <c r="M54" i="2"/>
  <c r="N39" i="2"/>
  <c r="N54" i="2"/>
  <c r="V38" i="2"/>
  <c r="V54" i="2" s="1"/>
  <c r="Y101" i="2" l="1"/>
  <c r="X104" i="2"/>
  <c r="J44" i="2"/>
  <c r="U44" i="2"/>
  <c r="U46" i="2" s="1"/>
  <c r="Z101" i="2" l="1"/>
  <c r="Z104" i="2" s="1"/>
  <c r="Y104" i="2"/>
  <c r="J84" i="2"/>
  <c r="J100" i="2" s="1"/>
  <c r="J105" i="2" s="1"/>
  <c r="J46" i="2"/>
  <c r="J56" i="2"/>
  <c r="U56" i="2" l="1"/>
  <c r="K41" i="2"/>
  <c r="K42" i="2" s="1"/>
  <c r="K43" i="2" s="1"/>
  <c r="K44" i="2" s="1"/>
  <c r="K84" i="2" s="1"/>
  <c r="K100" i="2" s="1"/>
  <c r="K105" i="2" s="1"/>
  <c r="K56" i="2" l="1"/>
  <c r="L41" i="2" s="1"/>
  <c r="L42" i="2" s="1"/>
  <c r="L43" i="2" s="1"/>
  <c r="L44" i="2" s="1"/>
  <c r="K46" i="2"/>
  <c r="U84" i="2"/>
  <c r="U105" i="2" s="1"/>
  <c r="U53" i="2" s="1"/>
  <c r="V39" i="2"/>
  <c r="V43" i="2" s="1"/>
  <c r="L84" i="2" l="1"/>
  <c r="L100" i="2" s="1"/>
  <c r="L105" i="2" s="1"/>
  <c r="L56" i="2"/>
  <c r="M41" i="2" s="1"/>
  <c r="M42" i="2" s="1"/>
  <c r="L46" i="2"/>
  <c r="V41" i="2"/>
  <c r="V42" i="2" s="1"/>
  <c r="V44" i="2" s="1"/>
  <c r="M43" i="2" l="1"/>
  <c r="M44" i="2" s="1"/>
  <c r="V84" i="2"/>
  <c r="V46" i="2"/>
  <c r="V56" i="2"/>
  <c r="M84" i="2" l="1"/>
  <c r="M100" i="2" s="1"/>
  <c r="M105" i="2" s="1"/>
  <c r="M56" i="2"/>
  <c r="N41" i="2" s="1"/>
  <c r="N42" i="2" s="1"/>
  <c r="M46" i="2"/>
  <c r="W41" i="2"/>
  <c r="N43" i="2" l="1"/>
  <c r="N44" i="2" s="1"/>
  <c r="N84" i="2" l="1"/>
  <c r="N100" i="2" s="1"/>
  <c r="N105" i="2" s="1"/>
  <c r="N56" i="2"/>
  <c r="N46" i="2"/>
  <c r="W36" i="2"/>
  <c r="W21" i="2"/>
  <c r="W82" i="2"/>
  <c r="W23" i="2"/>
  <c r="X82" i="2"/>
  <c r="W35" i="2" l="1"/>
  <c r="X21" i="2"/>
  <c r="Y23" i="2"/>
  <c r="Y82" i="2"/>
  <c r="W37" i="2"/>
  <c r="Y21" i="2"/>
  <c r="X36" i="2"/>
  <c r="Y36" i="2" s="1"/>
  <c r="X23" i="2"/>
  <c r="Z21" i="2" l="1"/>
  <c r="Z82" i="2"/>
  <c r="Z23" i="2"/>
  <c r="Z36" i="2"/>
  <c r="X37" i="2"/>
  <c r="Y37" i="2" s="1"/>
  <c r="Z37" i="2" s="1"/>
  <c r="X35" i="2"/>
  <c r="W38" i="2"/>
  <c r="W39" i="2" l="1"/>
  <c r="W54" i="2"/>
  <c r="X38" i="2"/>
  <c r="Y35" i="2"/>
  <c r="X54" i="2" l="1"/>
  <c r="X39" i="2"/>
  <c r="Z35" i="2"/>
  <c r="Z38" i="2" s="1"/>
  <c r="Y38" i="2"/>
  <c r="W42" i="2"/>
  <c r="W43" i="2"/>
  <c r="W44" i="2" l="1"/>
  <c r="Y54" i="2"/>
  <c r="Y39" i="2"/>
  <c r="Z54" i="2"/>
  <c r="Z39" i="2"/>
  <c r="X43" i="2"/>
  <c r="Z43" i="2" l="1"/>
  <c r="Y43" i="2"/>
  <c r="W46" i="2"/>
  <c r="W56" i="2"/>
  <c r="W84" i="2"/>
  <c r="X41" i="2" l="1"/>
  <c r="X42" i="2" s="1"/>
  <c r="X44" i="2" s="1"/>
  <c r="X46" i="2" l="1"/>
  <c r="X84" i="2"/>
  <c r="X56" i="2"/>
  <c r="Y41" i="2" l="1"/>
  <c r="Y42" i="2" s="1"/>
  <c r="Y44" i="2" s="1"/>
  <c r="Y56" i="2" s="1"/>
  <c r="Z41" i="2" l="1"/>
  <c r="Z42" i="2" s="1"/>
  <c r="Z44" i="2" s="1"/>
  <c r="Y84" i="2"/>
  <c r="Y46" i="2"/>
  <c r="Z46" i="2" l="1"/>
  <c r="AA44" i="2"/>
  <c r="Z84" i="2"/>
  <c r="Z56" i="2"/>
  <c r="AB44" i="2" l="1"/>
  <c r="AC44" i="2" s="1"/>
  <c r="AD44" i="2" s="1"/>
  <c r="AE44" i="2" s="1"/>
  <c r="AF44" i="2" s="1"/>
  <c r="AG44" i="2" s="1"/>
  <c r="AH44" i="2" s="1"/>
  <c r="AI44" i="2" s="1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BE44" i="2" s="1"/>
  <c r="BF44" i="2" s="1"/>
  <c r="BG44" i="2" s="1"/>
  <c r="BH44" i="2" s="1"/>
  <c r="BI44" i="2" s="1"/>
  <c r="BJ44" i="2" s="1"/>
  <c r="BK44" i="2" s="1"/>
  <c r="BL44" i="2" s="1"/>
  <c r="BM44" i="2" s="1"/>
  <c r="BN44" i="2" s="1"/>
  <c r="BO44" i="2" s="1"/>
  <c r="BP44" i="2" s="1"/>
  <c r="BQ44" i="2" s="1"/>
  <c r="BR44" i="2" s="1"/>
  <c r="BS44" i="2" s="1"/>
  <c r="BT44" i="2" s="1"/>
  <c r="BU44" i="2" s="1"/>
  <c r="BV44" i="2" s="1"/>
  <c r="BW44" i="2" s="1"/>
  <c r="BX44" i="2" s="1"/>
  <c r="BY44" i="2" s="1"/>
  <c r="BZ44" i="2" s="1"/>
  <c r="CA44" i="2" s="1"/>
  <c r="CB44" i="2" s="1"/>
  <c r="CC44" i="2" s="1"/>
  <c r="CD44" i="2" s="1"/>
  <c r="CE44" i="2" s="1"/>
  <c r="CF44" i="2" s="1"/>
  <c r="CG44" i="2" s="1"/>
  <c r="CH44" i="2" s="1"/>
  <c r="CI44" i="2" s="1"/>
  <c r="CJ44" i="2" s="1"/>
  <c r="CK44" i="2" s="1"/>
  <c r="CL44" i="2" s="1"/>
  <c r="CM44" i="2" s="1"/>
  <c r="CN44" i="2" s="1"/>
  <c r="AC51" i="2" l="1"/>
  <c r="AC52" i="2" s="1"/>
  <c r="AC53" i="2" s="1"/>
  <c r="V100" i="2"/>
  <c r="V105" i="2" s="1"/>
  <c r="V53" i="2" s="1"/>
  <c r="W91" i="2"/>
  <c r="X91" i="2" s="1"/>
  <c r="Y91" i="2" l="1"/>
  <c r="X100" i="2"/>
  <c r="X105" i="2" s="1"/>
  <c r="X53" i="2" s="1"/>
  <c r="W100" i="2"/>
  <c r="W105" i="2" s="1"/>
  <c r="W53" i="2" s="1"/>
  <c r="Y100" i="2" l="1"/>
  <c r="Y105" i="2" s="1"/>
  <c r="Y53" i="2" s="1"/>
  <c r="Z91" i="2"/>
  <c r="Z100" i="2" s="1"/>
  <c r="Z105" i="2" s="1"/>
  <c r="AA105" i="2" l="1"/>
  <c r="AB105" i="2" s="1"/>
  <c r="AC105" i="2" s="1"/>
  <c r="AD105" i="2" s="1"/>
  <c r="AE105" i="2" s="1"/>
  <c r="AF105" i="2" s="1"/>
  <c r="AG105" i="2" s="1"/>
  <c r="AH105" i="2" s="1"/>
  <c r="AI105" i="2" s="1"/>
  <c r="AJ105" i="2" s="1"/>
  <c r="AK105" i="2" s="1"/>
  <c r="AL105" i="2" s="1"/>
  <c r="AM105" i="2" s="1"/>
  <c r="AN105" i="2" s="1"/>
  <c r="AO105" i="2" s="1"/>
  <c r="AP105" i="2" s="1"/>
  <c r="AQ105" i="2" s="1"/>
  <c r="AR105" i="2" s="1"/>
  <c r="AS105" i="2" s="1"/>
  <c r="AT105" i="2" s="1"/>
  <c r="AU105" i="2" s="1"/>
  <c r="AV105" i="2" s="1"/>
  <c r="AW105" i="2" s="1"/>
  <c r="AX105" i="2" s="1"/>
  <c r="AY105" i="2" s="1"/>
  <c r="AZ105" i="2" s="1"/>
  <c r="BA105" i="2" s="1"/>
  <c r="BB105" i="2" s="1"/>
  <c r="BC105" i="2" s="1"/>
  <c r="BD105" i="2" s="1"/>
  <c r="BE105" i="2" s="1"/>
  <c r="BF105" i="2" s="1"/>
  <c r="BG105" i="2" s="1"/>
  <c r="BH105" i="2" s="1"/>
  <c r="BI105" i="2" s="1"/>
  <c r="BJ105" i="2" s="1"/>
  <c r="BK105" i="2" s="1"/>
  <c r="BL105" i="2" s="1"/>
  <c r="BM105" i="2" s="1"/>
  <c r="BN105" i="2" s="1"/>
  <c r="BO105" i="2" s="1"/>
  <c r="BP105" i="2" s="1"/>
  <c r="BQ105" i="2" s="1"/>
  <c r="BR105" i="2" s="1"/>
  <c r="BS105" i="2" s="1"/>
  <c r="BT105" i="2" s="1"/>
  <c r="BU105" i="2" s="1"/>
  <c r="BV105" i="2" s="1"/>
  <c r="BW105" i="2" s="1"/>
  <c r="BX105" i="2" s="1"/>
  <c r="BY105" i="2" s="1"/>
  <c r="BZ105" i="2" s="1"/>
  <c r="CA105" i="2" s="1"/>
  <c r="CB105" i="2" s="1"/>
  <c r="CC105" i="2" s="1"/>
  <c r="CD105" i="2" s="1"/>
  <c r="CE105" i="2" s="1"/>
  <c r="CF105" i="2" s="1"/>
  <c r="CG105" i="2" s="1"/>
  <c r="CH105" i="2" s="1"/>
  <c r="CI105" i="2" s="1"/>
  <c r="CJ105" i="2" s="1"/>
  <c r="CK105" i="2" s="1"/>
  <c r="CL105" i="2" s="1"/>
  <c r="CM105" i="2" s="1"/>
  <c r="CN105" i="2" s="1"/>
  <c r="CO105" i="2" s="1"/>
  <c r="CP105" i="2" s="1"/>
  <c r="CQ105" i="2" s="1"/>
  <c r="CR105" i="2" s="1"/>
  <c r="CS105" i="2" s="1"/>
  <c r="CT105" i="2" s="1"/>
  <c r="CU105" i="2" s="1"/>
  <c r="CV105" i="2" s="1"/>
  <c r="CW105" i="2" s="1"/>
  <c r="CX105" i="2" s="1"/>
  <c r="CY105" i="2" s="1"/>
  <c r="CZ105" i="2" s="1"/>
  <c r="DA105" i="2" s="1"/>
  <c r="DB105" i="2" s="1"/>
  <c r="DC105" i="2" s="1"/>
  <c r="DD105" i="2" s="1"/>
  <c r="DE105" i="2" s="1"/>
  <c r="DF105" i="2" s="1"/>
  <c r="DG105" i="2" s="1"/>
  <c r="DH105" i="2" s="1"/>
  <c r="DI105" i="2" s="1"/>
  <c r="DJ105" i="2" s="1"/>
  <c r="DK105" i="2" s="1"/>
  <c r="DL105" i="2" s="1"/>
  <c r="DM105" i="2" s="1"/>
  <c r="DN105" i="2" s="1"/>
  <c r="DO105" i="2" s="1"/>
  <c r="DP105" i="2" s="1"/>
  <c r="DQ105" i="2" s="1"/>
  <c r="DR105" i="2" s="1"/>
  <c r="Z5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tc={C2D78901-D1F4-4871-B5D4-B18265B433F7}</author>
  </authors>
  <commentList>
    <comment ref="B20" authorId="0" shapeId="0" xr:uid="{C2D78901-D1F4-4871-B5D4-B18265B433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https://www.bloomberg.com/news/articles/2024-08-06/super-micro-gives-strong-sales-outlook-on-ai-server-expansion
https://www.bloomberg.com/news/articles/2025-04-29/super-micro-plunges-after-its-prelimary-results-miss-estimates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tc={07B89E43-8E64-4D6B-81D7-37BC3D9CEEE2}</author>
    <author>tc={B928ADE7-8211-4D2F-BD8C-79ED22DF99E4}</author>
    <author>tc={45B433DF-6A70-443F-BD0E-B05A27CEBFAA}</author>
    <author>tc={DEC1EFA7-08CE-407F-80BC-3BD72A054B95}</author>
    <author>tc={518D6400-4738-48D4-8A7C-6A58D2E68831}</author>
    <author>tc={F447A70C-BFD1-47B1-8F98-8C7CAE49EF2E}</author>
    <author>tc={960D152D-CF0A-4D06-BBAA-48E55DA153B5}</author>
  </authors>
  <commentList>
    <comment ref="V16" authorId="0" shapeId="0" xr:uid="{07B89E43-8E64-4D6B-81D7-37BC3D9CEEE2}">
      <text>
        <t>[Threaded comment]
Your version of Excel allows you to read this threaded comment; however, any edits to it will get removed if the file is opened in a newer version of Excel. Learn more: https://go.microsoft.com/fwlink/?linkid=870924
Comment:
    Majority of this capex from these companies is from cloud</t>
      </text>
    </comment>
    <comment ref="V17" authorId="1" shapeId="0" xr:uid="{B928ADE7-8211-4D2F-BD8C-79ED22DF99E4}">
      <text>
        <t>[Threaded comment]
Your version of Excel allows you to read this threaded comment; however, any edits to it will get removed if the file is opened in a newer version of Excel. Learn more: https://go.microsoft.com/fwlink/?linkid=870924
Comment:
    “googl forecast for their FY25” mainly cloud capex</t>
      </text>
    </comment>
    <comment ref="I23" authorId="2" shapeId="0" xr:uid="{45B433DF-6A70-443F-BD0E-B05A27CEBFAA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Outlier, mostly sold old inventory this quarter
Reply:
    Also Inventory increase by smci could be in preparation for blackwell server capex</t>
      </text>
    </comment>
    <comment ref="J30" authorId="3" shapeId="0" xr:uid="{DEC1EFA7-08CE-407F-80BC-3BD72A054B9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“Q4 Rev at least 6b”
</t>
      </text>
    </comment>
    <comment ref="J45" authorId="4" shapeId="0" xr:uid="{518D6400-4738-48D4-8A7C-6A58D2E68831}">
      <text>
        <t>[Threaded comment]
Your version of Excel allows you to read this threaded comment; however, any edits to it will get removed if the file is opened in a newer version of Excel. Learn more: https://go.microsoft.com/fwlink/?linkid=870924
Comment:
    “diluted share count”</t>
      </text>
    </comment>
    <comment ref="J50" authorId="5" shapeId="0" xr:uid="{F447A70C-BFD1-47B1-8F98-8C7CAE49EF2E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14.9% GAAP tax rate”</t>
      </text>
    </comment>
    <comment ref="J104" authorId="6" shapeId="0" xr:uid="{960D152D-CF0A-4D06-BBAA-48E55DA153B5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45-55m”</t>
      </text>
    </comment>
  </commentList>
</comments>
</file>

<file path=xl/sharedStrings.xml><?xml version="1.0" encoding="utf-8"?>
<sst xmlns="http://schemas.openxmlformats.org/spreadsheetml/2006/main" count="137" uniqueCount="123">
  <si>
    <t>SMCI</t>
  </si>
  <si>
    <t>Price</t>
  </si>
  <si>
    <t>Shares</t>
  </si>
  <si>
    <t>MC</t>
  </si>
  <si>
    <t>Cash</t>
  </si>
  <si>
    <t>Debt</t>
  </si>
  <si>
    <t>EV</t>
  </si>
  <si>
    <t>Revenue</t>
  </si>
  <si>
    <t>Net Income</t>
  </si>
  <si>
    <t>Gross Margin</t>
  </si>
  <si>
    <t>Discount</t>
  </si>
  <si>
    <t>R&amp;D</t>
  </si>
  <si>
    <t>Maturity</t>
  </si>
  <si>
    <t>NPV</t>
  </si>
  <si>
    <t>Diff</t>
  </si>
  <si>
    <t>FCF</t>
  </si>
  <si>
    <t>CFFO</t>
  </si>
  <si>
    <t>Q125</t>
  </si>
  <si>
    <t>Q225</t>
  </si>
  <si>
    <t>Q325</t>
  </si>
  <si>
    <t>Q425</t>
  </si>
  <si>
    <t>COGS</t>
  </si>
  <si>
    <t>Gross Profit</t>
  </si>
  <si>
    <t>Revenue y/y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</si>
  <si>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</si>
  <si>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</si>
  <si>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</si>
  <si>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</si>
  <si>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</si>
  <si>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</si>
  <si>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</si>
  <si>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EPS</t>
  </si>
  <si>
    <t>Other Income</t>
  </si>
  <si>
    <t>FCF Margin</t>
  </si>
  <si>
    <t>Q126</t>
  </si>
  <si>
    <t>Q226</t>
  </si>
  <si>
    <t>notes:</t>
  </si>
  <si>
    <t>Tax Rate</t>
  </si>
  <si>
    <t>Revenue q/q</t>
  </si>
  <si>
    <t>Nvidia Blackwell in 2026 main revenue growth</t>
  </si>
  <si>
    <t>ROIC</t>
  </si>
  <si>
    <t>Net Cash</t>
  </si>
  <si>
    <t>Q124</t>
  </si>
  <si>
    <t>Q224</t>
  </si>
  <si>
    <t>Q324</t>
  </si>
  <si>
    <t>Q424</t>
  </si>
  <si>
    <t>Q326</t>
  </si>
  <si>
    <t>Q426</t>
  </si>
  <si>
    <t>Main</t>
  </si>
  <si>
    <t>OPEX Margin</t>
  </si>
  <si>
    <t>AR</t>
  </si>
  <si>
    <t>Inventories</t>
  </si>
  <si>
    <t>Prepaid Expenses</t>
  </si>
  <si>
    <t>PP&amp;E</t>
  </si>
  <si>
    <t>DIT</t>
  </si>
  <si>
    <t>Other Assets</t>
  </si>
  <si>
    <t>Assets</t>
  </si>
  <si>
    <t>AP</t>
  </si>
  <si>
    <t>Accrued Liabilities</t>
  </si>
  <si>
    <t>ITP</t>
  </si>
  <si>
    <t>LOC &amp; Current Portion of Loans</t>
  </si>
  <si>
    <t>Deferred Revenue</t>
  </si>
  <si>
    <t>ST Deferred Revenue</t>
  </si>
  <si>
    <t>ST ITP</t>
  </si>
  <si>
    <t>LT Deferred Revenue</t>
  </si>
  <si>
    <t>Term Loans</t>
  </si>
  <si>
    <t>Converts</t>
  </si>
  <si>
    <t>Other LT Liabilities</t>
  </si>
  <si>
    <t>Liabilities</t>
  </si>
  <si>
    <t>SE</t>
  </si>
  <si>
    <t>L+SE</t>
  </si>
  <si>
    <t>DSO</t>
  </si>
  <si>
    <t>Model NI</t>
  </si>
  <si>
    <t>Reported NI</t>
  </si>
  <si>
    <t>D&amp;A</t>
  </si>
  <si>
    <t>SB Comp</t>
  </si>
  <si>
    <t>Loss from Equity Investee</t>
  </si>
  <si>
    <t>Other</t>
  </si>
  <si>
    <t>Accrued Liabilties</t>
  </si>
  <si>
    <t>PP&amp;E Purchases</t>
  </si>
  <si>
    <t>Investment in Equity</t>
  </si>
  <si>
    <t>Acquisition</t>
  </si>
  <si>
    <t>CAPEX</t>
  </si>
  <si>
    <t>UR Foreign Currency Exchange Gain</t>
  </si>
  <si>
    <t>NVDA Rev</t>
  </si>
  <si>
    <t>NVDA Blackwell Rev</t>
  </si>
  <si>
    <t>"21.8-22.6b 2025"</t>
  </si>
  <si>
    <t>AMD MI350 + MI325X Rev</t>
  </si>
  <si>
    <t>"DCBBS . . . delivering up  to 30% lower TCO"</t>
  </si>
  <si>
    <t>Enterprise/Channel Vert</t>
  </si>
  <si>
    <t>Company is a Server and Storage Systems maker mainly for cloud and works with AMD &amp; NVDA</t>
  </si>
  <si>
    <t>USA Rev</t>
  </si>
  <si>
    <t>Asia Rev</t>
  </si>
  <si>
    <t>Rest of World</t>
  </si>
  <si>
    <t>Hopper-&gt;Blackwell Server Upgrade</t>
  </si>
  <si>
    <t>Q425 and FY26 expected strong growth due to Blackwell</t>
  </si>
  <si>
    <t>Blackwell 60% faster than Hopper</t>
  </si>
  <si>
    <t>"40b revenue by 2026 conservative" &lt;-- previous guidance no FY26 guidance for now</t>
  </si>
  <si>
    <t>Gross Margin is the key to the valuation of this stock</t>
  </si>
  <si>
    <t>DGX B200, HGX, DCBBS, GB300, B300, DLC2</t>
  </si>
  <si>
    <t>tariff GM headwinds</t>
  </si>
  <si>
    <t>long-term GM target of 14-17%</t>
  </si>
  <si>
    <t>current GM reduction from using older inventory</t>
  </si>
  <si>
    <t>SMCI COGS is the GPUs together to make a server stack and sell it</t>
  </si>
  <si>
    <t>TAM</t>
  </si>
  <si>
    <t>Penetration %</t>
  </si>
  <si>
    <t>ORCL CAPEX</t>
  </si>
  <si>
    <t>AZMN CAPEX</t>
  </si>
  <si>
    <t>MSFT CAPEX</t>
  </si>
  <si>
    <t>GOOGL CAPEX</t>
  </si>
  <si>
    <t>% of NVDA traffic is SMCI</t>
  </si>
  <si>
    <t>"According to the Bloomberg Supply Chain feature, Super Micro accounts for approximately 8% of NVIDIA's revenue"</t>
  </si>
  <si>
    <t>Core Rev</t>
  </si>
  <si>
    <t>Datavolt Rev</t>
  </si>
  <si>
    <t>20b deal w/ datavolt</t>
  </si>
  <si>
    <t>Dell Server Rev</t>
  </si>
  <si>
    <t>HP Server Rev</t>
  </si>
  <si>
    <t>Dell Server Margin</t>
  </si>
  <si>
    <t>HP Server Margin</t>
  </si>
  <si>
    <t>IBM Server Rev</t>
  </si>
  <si>
    <t>IBM Server Margin</t>
  </si>
  <si>
    <t>Lenovo Server Rev</t>
  </si>
  <si>
    <t>Lenovo Server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</si>
</sst>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3" fontId="8" fillId="0" borderId="0" xfId="1" applyNumberFormat="1" applyFont="1"/>
    <xf numFmtId="3" fontId="9" fillId="0" borderId="0" xfId="0" applyNumberFormat="1" applyFont="1"/>
    <xf numFmtId="9" fontId="9" fillId="0" borderId="0" xfId="0" applyNumberFormat="1" applyFont="1"/>
    <xf numFmtId="3" fontId="6" fillId="0" borderId="0" xfId="0" applyNumberFormat="1" applyFont="1"/>
    <xf numFmtId="4" fontId="6" fillId="0" borderId="0" xfId="0" applyNumberFormat="1" applyFont="1"/>
    <xf numFmtId="0" fontId="9" fillId="0" borderId="0" xfId="0" applyFont="1"/>
    <xf numFmtId="0" fontId="6" fillId="0" borderId="0" xfId="0" applyFont="1"/>
    <xf numFmtId="3" fontId="5" fillId="0" borderId="0" xfId="0" applyNumberFormat="1" applyFont="1"/>
    <xf numFmtId="1" fontId="5" fillId="0" borderId="0" xfId="0" applyNumberFormat="1" applyFont="1"/>
    <xf numFmtId="1" fontId="5" fillId="0" borderId="1" xfId="0" applyNumberFormat="1" applyFont="1" applyBorder="1"/>
    <xf numFmtId="4" fontId="5" fillId="0" borderId="0" xfId="0" applyNumberFormat="1" applyFont="1"/>
    <xf numFmtId="10" fontId="5" fillId="0" borderId="0" xfId="0" applyNumberFormat="1" applyFont="1"/>
    <xf numFmtId="9" fontId="5" fillId="0" borderId="0" xfId="0" applyNumberFormat="1" applyFont="1"/>
    <xf numFmtId="164" fontId="5" fillId="0" borderId="0" xfId="0" applyNumberFormat="1" applyFont="1"/>
    <xf numFmtId="8" fontId="5" fillId="0" borderId="0" xfId="0" applyNumberFormat="1" applyFont="1"/>
    <xf numFmtId="0" fontId="5" fillId="0" borderId="0" xfId="0" applyFont="1"/>
    <xf numFmtId="164" fontId="9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3" fillId="0" borderId="0" xfId="0" applyFont="1"/>
    <xf numFmtId="3" fontId="3" fillId="0" borderId="0" xfId="0" applyNumberFormat="1" applyFont="1"/>
    <xf numFmtId="3" fontId="2" fillId="0" borderId="0" xfId="0" applyNumberFormat="1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116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EC3652-0265-712B-B45A-694F749AA1D9}"/>
            </a:ext>
          </a:extLst>
        </xdr:cNvPr>
        <xdr:cNvCxnSpPr/>
      </xdr:nvCxnSpPr>
      <xdr:spPr>
        <a:xfrm>
          <a:off x="6115050" y="19050"/>
          <a:ext cx="0" cy="18935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124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348FFB5-0C39-F80A-F9CA-576D491C9A35}"/>
            </a:ext>
          </a:extLst>
        </xdr:cNvPr>
        <xdr:cNvCxnSpPr/>
      </xdr:nvCxnSpPr>
      <xdr:spPr>
        <a:xfrm>
          <a:off x="13335000" y="0"/>
          <a:ext cx="0" cy="17221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9FB83736-EE26-422E-AD1E-D65440F32024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5-05-13T06:04:12.41" personId="{9FB83736-EE26-422E-AD1E-D65440F32024}" id="{C2D78901-D1F4-4871-B5D4-B18265B433F7}">
    <text xml:space="preserve">https://www.bloomberg.com/news/articles/2024-08-06/super-micro-gives-strong-sales-outlook-on-ai-server-expansion
https://www.bloomberg.com/news/articles/2025-04-29/super-micro-plunges-after-its-prelimary-results-miss-estimates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V16" dT="2025-05-13T05:57:20.60" personId="{9FB83736-EE26-422E-AD1E-D65440F32024}" id="{07B89E43-8E64-4D6B-81D7-37BC3D9CEEE2}">
    <text>Majority of this capex from these companies is from cloud</text>
  </threadedComment>
  <threadedComment ref="V17" dT="2025-05-13T05:48:53.30" personId="{9FB83736-EE26-422E-AD1E-D65440F32024}" id="{B928ADE7-8211-4D2F-BD8C-79ED22DF99E4}">
    <text>“googl forecast for their FY25” mainly cloud capex</text>
  </threadedComment>
  <threadedComment ref="I23" dT="2025-05-13T06:01:58.85" personId="{9FB83736-EE26-422E-AD1E-D65440F32024}" id="{45B433DF-6A70-443F-BD0E-B05A27CEBFAA}">
    <text>Outlier, mostly sold old inventory this quarter</text>
  </threadedComment>
  <threadedComment ref="I23" dT="2025-05-13T06:06:27.60" personId="{9FB83736-EE26-422E-AD1E-D65440F32024}" id="{4DC0E4EE-3319-427D-A24F-67694DBE7EA0}" parentId="{45B433DF-6A70-443F-BD0E-B05A27CEBFAA}">
    <text>Also Inventory increase by smci could be in preparation for blackwell server capex</text>
  </threadedComment>
  <threadedComment ref="J30" dT="2025-05-13T04:58:19.64" personId="{9FB83736-EE26-422E-AD1E-D65440F32024}" id="{DEC1EFA7-08CE-407F-80BC-3BD72A054B95}">
    <text xml:space="preserve">“Q4 Rev at least 6b”
</text>
  </threadedComment>
  <threadedComment ref="J45" dT="2025-05-13T05:05:22.48" personId="{9FB83736-EE26-422E-AD1E-D65440F32024}" id="{518D6400-4738-48D4-8A7C-6A58D2E68831}">
    <text>“diluted share count”</text>
  </threadedComment>
  <threadedComment ref="J50" dT="2025-05-13T05:05:00.83" personId="{9FB83736-EE26-422E-AD1E-D65440F32024}" id="{F447A70C-BFD1-47B1-8F98-8C7CAE49EF2E}">
    <text>“expect 14.9% GAAP tax rate”</text>
  </threadedComment>
  <threadedComment ref="J104" dT="2025-05-13T05:04:41.19" personId="{9FB83736-EE26-422E-AD1E-D65440F32024}" id="{960D152D-CF0A-4D06-BBAA-48E55DA153B5}">
    <text>“expect 45-55m”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14CC-655A-4E11-87EC-D301395A4983}">
  <dimension ref="A1:J20"/>
  <sheetViews>
    <sheetView tabSelected="1" topLeftCell="A12" zoomScale="205" zoomScaleNormal="205" workbookViewId="0">
      <selection activeCell="H8" sqref="H8"/>
    </sheetView>
  </sheetViews>
  <sheetFormatPr defaultRowHeight="14.25" x14ac:dyDescent="0.2"/>
  <cols>
    <col min="1" max="16384" width="9.140625" style="7"/>
  </cols>
  <sheetData>
    <row r="1" spans="1:10" ht="15" x14ac:dyDescent="0.25">
      <c r="A1" s="6" t="s">
        <v>0</v>
      </c>
    </row>
    <row r="2" spans="1:10" x14ac:dyDescent="0.2">
      <c r="B2" s="7" t="s">
        <v>36</v>
      </c>
    </row>
    <row r="3" spans="1:10" x14ac:dyDescent="0.2">
      <c r="B3" s="16" t="s">
        <v>97</v>
      </c>
    </row>
    <row r="4" spans="1:10" x14ac:dyDescent="0.2">
      <c r="B4" s="16" t="s">
        <v>86</v>
      </c>
    </row>
    <row r="5" spans="1:10" x14ac:dyDescent="0.2">
      <c r="B5" s="7" t="s">
        <v>39</v>
      </c>
    </row>
    <row r="6" spans="1:10" x14ac:dyDescent="0.2">
      <c r="B6" s="16" t="s">
        <v>99</v>
      </c>
    </row>
    <row r="7" spans="1:10" x14ac:dyDescent="0.2">
      <c r="B7" s="16" t="s">
        <v>88</v>
      </c>
    </row>
    <row r="8" spans="1:10" x14ac:dyDescent="0.2">
      <c r="B8" s="16" t="s">
        <v>90</v>
      </c>
      <c r="E8" s="5"/>
    </row>
    <row r="9" spans="1:10" x14ac:dyDescent="0.2">
      <c r="B9" s="16" t="s">
        <v>94</v>
      </c>
    </row>
    <row r="10" spans="1:10" x14ac:dyDescent="0.2">
      <c r="B10" s="16" t="s">
        <v>95</v>
      </c>
      <c r="I10" s="20"/>
      <c r="J10" s="5"/>
    </row>
    <row r="11" spans="1:10" x14ac:dyDescent="0.2">
      <c r="B11" s="16" t="s">
        <v>96</v>
      </c>
      <c r="I11" s="20"/>
      <c r="J11" s="5"/>
    </row>
    <row r="12" spans="1:10" x14ac:dyDescent="0.2">
      <c r="B12" s="16" t="s">
        <v>98</v>
      </c>
      <c r="J12" s="5"/>
    </row>
    <row r="13" spans="1:10" x14ac:dyDescent="0.2">
      <c r="B13" s="16" t="s">
        <v>100</v>
      </c>
      <c r="E13" s="7" t="s">
        <v>1</v>
      </c>
      <c r="F13" s="4">
        <v>45</v>
      </c>
    </row>
    <row r="14" spans="1:10" x14ac:dyDescent="0.2">
      <c r="B14" s="16" t="s">
        <v>101</v>
      </c>
      <c r="E14" s="7" t="s">
        <v>2</v>
      </c>
      <c r="F14" s="8">
        <v>596.82000000000005</v>
      </c>
      <c r="G14" s="16" t="s">
        <v>19</v>
      </c>
    </row>
    <row r="15" spans="1:10" x14ac:dyDescent="0.2">
      <c r="B15" s="16" t="s">
        <v>102</v>
      </c>
      <c r="E15" s="7" t="s">
        <v>3</v>
      </c>
      <c r="F15" s="4">
        <f>F14*F13</f>
        <v>26856.9</v>
      </c>
    </row>
    <row r="16" spans="1:10" x14ac:dyDescent="0.2">
      <c r="B16" s="16" t="s">
        <v>103</v>
      </c>
      <c r="E16" s="7" t="s">
        <v>4</v>
      </c>
      <c r="F16" s="4">
        <v>1430</v>
      </c>
      <c r="G16" s="16" t="s">
        <v>19</v>
      </c>
    </row>
    <row r="17" spans="2:7" x14ac:dyDescent="0.2">
      <c r="B17" s="18" t="s">
        <v>114</v>
      </c>
      <c r="E17" s="7" t="s">
        <v>5</v>
      </c>
      <c r="F17" s="4">
        <f>1700+53+289</f>
        <v>2042</v>
      </c>
      <c r="G17" s="16" t="s">
        <v>19</v>
      </c>
    </row>
    <row r="18" spans="2:7" x14ac:dyDescent="0.2">
      <c r="E18" s="7" t="s">
        <v>6</v>
      </c>
      <c r="F18" s="4">
        <f>F15+F17-F16</f>
        <v>27468.9</v>
      </c>
    </row>
    <row r="20" spans="2:7" x14ac:dyDescent="0.2">
      <c r="B20" s="16" t="s">
        <v>111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DAD7-B3FD-4340-A438-67E4C3210CEC}">
  <dimension ref="A1:DR105"/>
  <sheetViews>
    <sheetView zoomScaleNormal="100" workbookViewId="0">
      <pane xSplit="2" ySplit="1" topLeftCell="N32" activePane="bottomRight" state="frozen"/>
      <selection pane="topRight" activeCell="B1" sqref="B1"/>
      <selection pane="bottomLeft" activeCell="A2" sqref="A2"/>
      <selection pane="bottomRight" activeCell="AA54" sqref="AA54"/>
    </sheetView>
  </sheetViews>
  <sheetFormatPr defaultRowHeight="14.25" x14ac:dyDescent="0.2"/>
  <cols>
    <col min="1" max="1" width="6" style="8" customWidth="1"/>
    <col min="2" max="2" width="21.5703125" style="8" customWidth="1"/>
    <col min="3" max="20" width="9.140625" style="8"/>
    <col min="21" max="21" width="9.85546875" style="8" bestFit="1" customWidth="1"/>
    <col min="22" max="22" width="10.85546875" style="8" customWidth="1"/>
    <col min="23" max="25" width="9.140625" style="8"/>
    <col min="26" max="26" width="11" style="8" customWidth="1"/>
    <col min="27" max="29" width="9.140625" style="8"/>
    <col min="30" max="30" width="9.140625" style="8" customWidth="1"/>
    <col min="31" max="16384" width="9.140625" style="8"/>
  </cols>
  <sheetData>
    <row r="1" spans="1:31" x14ac:dyDescent="0.2">
      <c r="A1" s="1" t="s">
        <v>48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34</v>
      </c>
      <c r="L1" s="8" t="s">
        <v>35</v>
      </c>
      <c r="M1" s="8" t="s">
        <v>46</v>
      </c>
      <c r="N1" s="8" t="s">
        <v>47</v>
      </c>
      <c r="P1" s="9">
        <v>2020</v>
      </c>
      <c r="Q1" s="9">
        <v>2021</v>
      </c>
      <c r="R1" s="9">
        <v>2022</v>
      </c>
      <c r="S1" s="9">
        <v>2023</v>
      </c>
      <c r="T1" s="9">
        <v>2024</v>
      </c>
      <c r="U1" s="10">
        <f t="shared" ref="U1:Z1" si="0">T1+1</f>
        <v>2025</v>
      </c>
      <c r="V1" s="9">
        <f t="shared" si="0"/>
        <v>2026</v>
      </c>
      <c r="W1" s="9">
        <f t="shared" si="0"/>
        <v>2027</v>
      </c>
      <c r="X1" s="9">
        <f t="shared" si="0"/>
        <v>2028</v>
      </c>
      <c r="Y1" s="9">
        <f t="shared" si="0"/>
        <v>2029</v>
      </c>
      <c r="Z1" s="9">
        <f t="shared" si="0"/>
        <v>2030</v>
      </c>
      <c r="AA1" s="9">
        <f t="shared" ref="AA1" si="1">Z1+1</f>
        <v>2031</v>
      </c>
      <c r="AB1" s="9">
        <f t="shared" ref="AB1" si="2">AA1+1</f>
        <v>2032</v>
      </c>
      <c r="AC1" s="9">
        <f t="shared" ref="AC1" si="3">AB1+1</f>
        <v>2033</v>
      </c>
      <c r="AD1" s="9">
        <f t="shared" ref="AD1" si="4">AC1+1</f>
        <v>2034</v>
      </c>
      <c r="AE1" s="9">
        <f t="shared" ref="AE1" si="5">AD1+1</f>
        <v>2035</v>
      </c>
    </row>
    <row r="2" spans="1:31" x14ac:dyDescent="0.2">
      <c r="A2" s="1"/>
      <c r="B2" s="8" t="s">
        <v>91</v>
      </c>
      <c r="C2" s="13">
        <v>0.76</v>
      </c>
      <c r="I2" s="13">
        <v>0.6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31" x14ac:dyDescent="0.2">
      <c r="A3" s="1"/>
      <c r="B3" s="8" t="s">
        <v>92</v>
      </c>
      <c r="C3" s="13">
        <v>0.11</v>
      </c>
      <c r="I3" s="13">
        <v>0.3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31" x14ac:dyDescent="0.2">
      <c r="A4" s="1"/>
      <c r="B4" s="8" t="s">
        <v>93</v>
      </c>
      <c r="C4" s="13">
        <v>0.13</v>
      </c>
      <c r="I4" s="13">
        <v>0.1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31" x14ac:dyDescent="0.2">
      <c r="A5" s="1"/>
      <c r="E5" s="13"/>
      <c r="I5" s="13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31" x14ac:dyDescent="0.2">
      <c r="A6" s="1"/>
      <c r="B6" s="22" t="s">
        <v>119</v>
      </c>
      <c r="E6" s="13"/>
      <c r="I6" s="13"/>
      <c r="P6" s="9"/>
      <c r="Q6" s="9"/>
      <c r="R6" s="9"/>
      <c r="S6" s="9"/>
      <c r="T6" s="8">
        <v>14593</v>
      </c>
      <c r="U6" s="8">
        <v>14020</v>
      </c>
      <c r="V6" s="9"/>
      <c r="W6" s="9"/>
      <c r="X6" s="9"/>
      <c r="Y6" s="9"/>
      <c r="Z6" s="9"/>
    </row>
    <row r="7" spans="1:31" x14ac:dyDescent="0.2">
      <c r="A7" s="1"/>
      <c r="B7" s="21" t="s">
        <v>115</v>
      </c>
      <c r="E7" s="13"/>
      <c r="I7" s="13"/>
      <c r="P7" s="9"/>
      <c r="Q7" s="9"/>
      <c r="R7" s="9"/>
      <c r="S7" s="9"/>
      <c r="T7" s="8">
        <v>17624</v>
      </c>
      <c r="U7" s="8">
        <v>27136</v>
      </c>
      <c r="V7" s="8">
        <f>U7+6000</f>
        <v>33136</v>
      </c>
      <c r="W7" s="9"/>
      <c r="X7" s="9"/>
      <c r="Y7" s="9"/>
      <c r="Z7" s="9"/>
    </row>
    <row r="8" spans="1:31" x14ac:dyDescent="0.2">
      <c r="A8" s="1"/>
      <c r="B8" s="21" t="s">
        <v>116</v>
      </c>
      <c r="E8" s="13"/>
      <c r="I8" s="13"/>
      <c r="P8" s="9"/>
      <c r="Q8" s="9"/>
      <c r="R8" s="9"/>
      <c r="S8" s="8">
        <v>15137</v>
      </c>
      <c r="T8" s="8">
        <v>13926</v>
      </c>
      <c r="U8" s="8">
        <v>15931</v>
      </c>
      <c r="V8" s="8">
        <f>U8*1.2</f>
        <v>19117.2</v>
      </c>
      <c r="W8" s="9"/>
      <c r="X8" s="9"/>
      <c r="Y8" s="9"/>
      <c r="Z8" s="9"/>
    </row>
    <row r="9" spans="1:31" x14ac:dyDescent="0.2">
      <c r="A9" s="1"/>
      <c r="B9" s="22" t="s">
        <v>121</v>
      </c>
      <c r="E9" s="13"/>
      <c r="I9" s="13"/>
      <c r="P9" s="9"/>
      <c r="Q9" s="9"/>
      <c r="R9" s="9"/>
      <c r="S9" s="8">
        <v>7100</v>
      </c>
      <c r="T9" s="8">
        <v>9800</v>
      </c>
      <c r="U9" s="8">
        <v>10000</v>
      </c>
      <c r="W9" s="9"/>
      <c r="X9" s="9"/>
      <c r="Y9" s="9"/>
      <c r="Z9" s="9"/>
    </row>
    <row r="10" spans="1:31" x14ac:dyDescent="0.2">
      <c r="A10" s="1"/>
      <c r="B10" s="22"/>
      <c r="E10" s="13"/>
      <c r="I10" s="13"/>
      <c r="P10" s="9"/>
      <c r="Q10" s="9"/>
      <c r="R10" s="9"/>
      <c r="W10" s="9"/>
      <c r="X10" s="9"/>
      <c r="Y10" s="9"/>
      <c r="Z10" s="9"/>
    </row>
    <row r="11" spans="1:31" x14ac:dyDescent="0.2">
      <c r="A11" s="1"/>
      <c r="B11" s="22" t="s">
        <v>120</v>
      </c>
      <c r="E11" s="13"/>
      <c r="I11" s="13"/>
      <c r="P11" s="9"/>
      <c r="Q11" s="9"/>
      <c r="R11" s="9"/>
      <c r="S11" s="13"/>
      <c r="T11" s="14"/>
      <c r="U11" s="14">
        <v>0.10100000000000001</v>
      </c>
      <c r="V11" s="9"/>
      <c r="W11" s="9"/>
      <c r="X11" s="9"/>
      <c r="Y11" s="9"/>
      <c r="Z11" s="9"/>
    </row>
    <row r="12" spans="1:31" x14ac:dyDescent="0.2">
      <c r="A12" s="1"/>
      <c r="B12" s="22" t="s">
        <v>117</v>
      </c>
      <c r="E12" s="13"/>
      <c r="I12" s="13"/>
      <c r="P12" s="9"/>
      <c r="Q12" s="9"/>
      <c r="R12" s="9"/>
      <c r="S12" s="9"/>
      <c r="T12" s="14">
        <v>0.126</v>
      </c>
      <c r="U12" s="14">
        <v>0.128</v>
      </c>
      <c r="V12" s="14">
        <v>0.11799999999999999</v>
      </c>
      <c r="W12" s="9"/>
      <c r="X12" s="9"/>
      <c r="Y12" s="9"/>
      <c r="Z12" s="9"/>
    </row>
    <row r="13" spans="1:31" x14ac:dyDescent="0.2">
      <c r="A13" s="1"/>
      <c r="B13" s="22" t="s">
        <v>118</v>
      </c>
      <c r="E13" s="13"/>
      <c r="I13" s="13"/>
      <c r="P13" s="9"/>
      <c r="Q13" s="9"/>
      <c r="R13" s="9"/>
      <c r="S13" s="14">
        <v>0.125</v>
      </c>
      <c r="T13" s="14">
        <v>0.124</v>
      </c>
      <c r="U13" s="14">
        <v>0.112</v>
      </c>
      <c r="V13" s="14">
        <v>0.11</v>
      </c>
      <c r="W13" s="9"/>
      <c r="X13" s="9"/>
      <c r="Y13" s="9"/>
      <c r="Z13" s="9"/>
    </row>
    <row r="14" spans="1:31" x14ac:dyDescent="0.2">
      <c r="A14" s="1"/>
      <c r="B14" s="22" t="s">
        <v>122</v>
      </c>
      <c r="E14" s="13"/>
      <c r="I14" s="13"/>
      <c r="P14" s="9"/>
      <c r="Q14" s="9"/>
      <c r="R14" s="9"/>
      <c r="S14" s="14">
        <v>0.17</v>
      </c>
      <c r="T14" s="14">
        <v>0.17</v>
      </c>
      <c r="U14" s="14">
        <v>0.16700000000000001</v>
      </c>
      <c r="V14" s="14">
        <v>0.15</v>
      </c>
      <c r="W14" s="9"/>
      <c r="X14" s="9"/>
      <c r="Y14" s="9"/>
      <c r="Z14" s="9"/>
    </row>
    <row r="15" spans="1:31" x14ac:dyDescent="0.2">
      <c r="A15" s="1"/>
      <c r="E15" s="13"/>
      <c r="I15" s="13"/>
      <c r="P15" s="9"/>
      <c r="Q15" s="9"/>
      <c r="R15" s="9"/>
      <c r="S15" s="9"/>
      <c r="T15" s="13"/>
      <c r="U15" s="13"/>
      <c r="V15" s="9"/>
      <c r="W15" s="9"/>
      <c r="X15" s="9"/>
      <c r="Y15" s="9"/>
      <c r="Z15" s="9"/>
    </row>
    <row r="16" spans="1:31" x14ac:dyDescent="0.2">
      <c r="A16" s="1"/>
      <c r="B16" s="8" t="s">
        <v>104</v>
      </c>
      <c r="I16" s="13"/>
      <c r="P16" s="9"/>
      <c r="Q16" s="9"/>
      <c r="R16" s="9"/>
      <c r="S16" s="9"/>
      <c r="T16" s="9"/>
      <c r="U16" s="9"/>
      <c r="V16" s="8">
        <f>SUM(V17:V20)</f>
        <v>271000</v>
      </c>
      <c r="W16" s="8">
        <f t="shared" ref="W16:Z16" si="6">SUM(W17:W20)</f>
        <v>284550</v>
      </c>
      <c r="X16" s="8">
        <f t="shared" si="6"/>
        <v>298777.5</v>
      </c>
      <c r="Y16" s="8">
        <f t="shared" si="6"/>
        <v>313716.375</v>
      </c>
      <c r="Z16" s="8">
        <f t="shared" si="6"/>
        <v>329402.19374999998</v>
      </c>
    </row>
    <row r="17" spans="1:26" x14ac:dyDescent="0.2">
      <c r="A17" s="1"/>
      <c r="B17" s="8" t="s">
        <v>109</v>
      </c>
      <c r="V17" s="8">
        <v>75000</v>
      </c>
      <c r="W17" s="8">
        <f>V17*1.05</f>
        <v>78750</v>
      </c>
      <c r="X17" s="8">
        <f t="shared" ref="X17:Z17" si="7">W17*1.05</f>
        <v>82687.5</v>
      </c>
      <c r="Y17" s="8">
        <f t="shared" si="7"/>
        <v>86821.875</v>
      </c>
      <c r="Z17" s="8">
        <f t="shared" si="7"/>
        <v>91162.96875</v>
      </c>
    </row>
    <row r="18" spans="1:26" x14ac:dyDescent="0.2">
      <c r="A18" s="1"/>
      <c r="B18" s="8" t="s">
        <v>108</v>
      </c>
      <c r="V18" s="8">
        <v>80000</v>
      </c>
      <c r="W18" s="8">
        <f t="shared" ref="W18:Z20" si="8">V18*1.05</f>
        <v>84000</v>
      </c>
      <c r="X18" s="8">
        <f t="shared" si="8"/>
        <v>88200</v>
      </c>
      <c r="Y18" s="8">
        <f t="shared" si="8"/>
        <v>92610</v>
      </c>
      <c r="Z18" s="8">
        <f t="shared" si="8"/>
        <v>97240.5</v>
      </c>
    </row>
    <row r="19" spans="1:26" x14ac:dyDescent="0.2">
      <c r="A19" s="1"/>
      <c r="B19" s="8" t="s">
        <v>107</v>
      </c>
      <c r="V19" s="8">
        <v>100000</v>
      </c>
      <c r="W19" s="8">
        <f t="shared" si="8"/>
        <v>105000</v>
      </c>
      <c r="X19" s="8">
        <f t="shared" si="8"/>
        <v>110250</v>
      </c>
      <c r="Y19" s="8">
        <f t="shared" si="8"/>
        <v>115762.5</v>
      </c>
      <c r="Z19" s="8">
        <f t="shared" si="8"/>
        <v>121550.625</v>
      </c>
    </row>
    <row r="20" spans="1:26" x14ac:dyDescent="0.2">
      <c r="A20" s="1"/>
      <c r="B20" s="8" t="s">
        <v>106</v>
      </c>
      <c r="V20" s="8">
        <v>16000</v>
      </c>
      <c r="W20" s="8">
        <f t="shared" si="8"/>
        <v>16800</v>
      </c>
      <c r="X20" s="8">
        <f t="shared" si="8"/>
        <v>17640</v>
      </c>
      <c r="Y20" s="8">
        <f t="shared" si="8"/>
        <v>18522</v>
      </c>
      <c r="Z20" s="8">
        <f t="shared" si="8"/>
        <v>19448.100000000002</v>
      </c>
    </row>
    <row r="21" spans="1:26" x14ac:dyDescent="0.2">
      <c r="A21" s="1"/>
      <c r="B21" s="8" t="s">
        <v>105</v>
      </c>
      <c r="J21" s="8">
        <v>500</v>
      </c>
      <c r="S21" s="13" t="e">
        <f>S30/S16</f>
        <v>#DIV/0!</v>
      </c>
      <c r="T21" s="13" t="e">
        <f>T30/T16</f>
        <v>#DIV/0!</v>
      </c>
      <c r="U21" s="13" t="e">
        <f>U30/U16</f>
        <v>#DIV/0!</v>
      </c>
      <c r="V21" s="13">
        <f>V30/V16</f>
        <v>0.11070110701107011</v>
      </c>
      <c r="W21" s="13">
        <f t="shared" ref="W21:Z21" si="9">W30/W16</f>
        <v>0.12651555086979441</v>
      </c>
      <c r="X21" s="13">
        <f t="shared" si="9"/>
        <v>0.14458920099405076</v>
      </c>
      <c r="Y21" s="13">
        <f t="shared" si="9"/>
        <v>0.16524480113605799</v>
      </c>
      <c r="Z21" s="13">
        <f t="shared" si="9"/>
        <v>0.18885120129835203</v>
      </c>
    </row>
    <row r="22" spans="1:26" x14ac:dyDescent="0.2">
      <c r="A22" s="1"/>
      <c r="J22" s="13">
        <f>J21/I25</f>
        <v>4.3859649122807015E-2</v>
      </c>
    </row>
    <row r="23" spans="1:26" x14ac:dyDescent="0.2">
      <c r="A23" s="1"/>
      <c r="B23" s="8" t="s">
        <v>110</v>
      </c>
      <c r="I23" s="13">
        <f>I30/I25</f>
        <v>0.40350877192982454</v>
      </c>
      <c r="S23" s="13">
        <f>S30/S24</f>
        <v>0.26382962962962964</v>
      </c>
      <c r="T23" s="13">
        <f>T30/T24</f>
        <v>0.24572459016393444</v>
      </c>
      <c r="U23" s="13">
        <f>U30/U24</f>
        <v>0.17088461538461538</v>
      </c>
      <c r="V23" s="13">
        <f t="shared" ref="V23:Z23" si="10">V30/V24</f>
        <v>0.15</v>
      </c>
      <c r="W23" s="13">
        <f t="shared" si="10"/>
        <v>0.13533834586466165</v>
      </c>
      <c r="X23" s="13">
        <f t="shared" si="10"/>
        <v>0.12203389830508475</v>
      </c>
      <c r="Y23" s="13">
        <f t="shared" si="10"/>
        <v>0.11029787234042553</v>
      </c>
      <c r="Z23" s="13">
        <f t="shared" si="10"/>
        <v>9.9532800000000005E-2</v>
      </c>
    </row>
    <row r="24" spans="1:26" x14ac:dyDescent="0.2">
      <c r="A24" s="1"/>
      <c r="B24" s="8" t="s">
        <v>84</v>
      </c>
      <c r="I24" s="13"/>
      <c r="S24" s="8">
        <v>27000</v>
      </c>
      <c r="T24" s="8">
        <v>61000</v>
      </c>
      <c r="U24" s="8">
        <v>130000</v>
      </c>
      <c r="V24" s="8">
        <v>200000</v>
      </c>
      <c r="W24" s="8">
        <v>266000</v>
      </c>
      <c r="X24" s="8">
        <v>354000</v>
      </c>
      <c r="Y24" s="8">
        <v>470000</v>
      </c>
      <c r="Z24" s="8">
        <v>625000</v>
      </c>
    </row>
    <row r="25" spans="1:26" x14ac:dyDescent="0.2">
      <c r="A25" s="1"/>
      <c r="B25" s="8" t="s">
        <v>85</v>
      </c>
      <c r="I25" s="8">
        <v>11400</v>
      </c>
    </row>
    <row r="26" spans="1:26" x14ac:dyDescent="0.2">
      <c r="A26" s="1"/>
      <c r="B26" s="8" t="s">
        <v>87</v>
      </c>
    </row>
    <row r="27" spans="1:26" x14ac:dyDescent="0.2">
      <c r="A27" s="1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">
      <c r="A28" s="1"/>
      <c r="B28" s="8" t="s">
        <v>89</v>
      </c>
      <c r="E28" s="8">
        <f>I28*0.97</f>
        <v>1843</v>
      </c>
      <c r="H28" s="8">
        <f>H30*0.25</f>
        <v>1419.5</v>
      </c>
      <c r="I28" s="8">
        <v>1900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">
      <c r="A29" s="1"/>
      <c r="I29" s="13"/>
      <c r="P29" s="9"/>
      <c r="Q29" s="9"/>
      <c r="R29" s="9"/>
      <c r="S29" s="9"/>
      <c r="T29" s="9"/>
      <c r="U29" s="9"/>
      <c r="V29" s="9"/>
    </row>
    <row r="30" spans="1:26" s="19" customFormat="1" ht="15" x14ac:dyDescent="0.25">
      <c r="A30" s="2"/>
      <c r="B30" s="19" t="s">
        <v>112</v>
      </c>
      <c r="C30" s="19">
        <v>2119.6</v>
      </c>
      <c r="D30" s="19">
        <v>3664.9</v>
      </c>
      <c r="E30" s="19">
        <v>3850</v>
      </c>
      <c r="F30" s="19">
        <v>5308.2</v>
      </c>
      <c r="G30" s="19">
        <v>5937</v>
      </c>
      <c r="H30" s="19">
        <v>5678</v>
      </c>
      <c r="I30" s="19">
        <v>4600</v>
      </c>
      <c r="J30" s="19">
        <v>6000</v>
      </c>
      <c r="K30" s="19">
        <f>J30*1.2</f>
        <v>7200</v>
      </c>
      <c r="L30" s="19">
        <f>K30*1.03</f>
        <v>7416</v>
      </c>
      <c r="M30" s="19">
        <f>L30*1.03</f>
        <v>7638.4800000000005</v>
      </c>
      <c r="N30" s="19">
        <f>M30*1.4</f>
        <v>10693.871999999999</v>
      </c>
      <c r="O30" s="19">
        <f>SUM(K30:N30)</f>
        <v>32948.351999999999</v>
      </c>
      <c r="P30" s="19">
        <v>3339.3</v>
      </c>
      <c r="Q30" s="19">
        <v>3557.4</v>
      </c>
      <c r="R30" s="19">
        <v>5196.1000000000004</v>
      </c>
      <c r="S30" s="19">
        <v>7123.4</v>
      </c>
      <c r="T30" s="19">
        <v>14989.2</v>
      </c>
      <c r="U30" s="19">
        <f>SUM(G30:J30)</f>
        <v>22215</v>
      </c>
      <c r="V30" s="19">
        <v>30000</v>
      </c>
      <c r="W30" s="19">
        <f>V30*1.2</f>
        <v>36000</v>
      </c>
      <c r="X30" s="19">
        <f t="shared" ref="X30:Z30" si="11">W30*1.2</f>
        <v>43200</v>
      </c>
      <c r="Y30" s="19">
        <f t="shared" si="11"/>
        <v>51840</v>
      </c>
      <c r="Z30" s="19">
        <f t="shared" si="11"/>
        <v>62208</v>
      </c>
    </row>
    <row r="31" spans="1:26" s="2" customFormat="1" ht="15" x14ac:dyDescent="0.25">
      <c r="B31" s="19" t="s">
        <v>113</v>
      </c>
      <c r="V31" s="19">
        <v>5000</v>
      </c>
      <c r="W31" s="19">
        <v>5000</v>
      </c>
      <c r="X31" s="19">
        <v>5000</v>
      </c>
      <c r="Y31" s="19">
        <v>5000</v>
      </c>
      <c r="Z31" s="19">
        <v>0</v>
      </c>
    </row>
    <row r="32" spans="1:26" s="2" customFormat="1" ht="15" x14ac:dyDescent="0.25">
      <c r="B32" s="2" t="s">
        <v>7</v>
      </c>
      <c r="P32" s="2">
        <f>SUM(P30:P31)</f>
        <v>3339.3</v>
      </c>
      <c r="Q32" s="2">
        <f>SUM(Q30:Q31)</f>
        <v>3557.4</v>
      </c>
      <c r="R32" s="2">
        <f>SUM(R30:R31)</f>
        <v>5196.1000000000004</v>
      </c>
      <c r="S32" s="2">
        <f>SUM(S30:S31)</f>
        <v>7123.4</v>
      </c>
      <c r="T32" s="2">
        <f>SUM(T30:T31)</f>
        <v>14989.2</v>
      </c>
      <c r="U32" s="2">
        <f>SUM(U30:U31)</f>
        <v>22215</v>
      </c>
      <c r="V32" s="2">
        <f>SUM(V30:V31)</f>
        <v>35000</v>
      </c>
      <c r="W32" s="2">
        <f t="shared" ref="W32:Z32" si="12">SUM(W30:W31)</f>
        <v>41000</v>
      </c>
      <c r="X32" s="2">
        <f t="shared" si="12"/>
        <v>48200</v>
      </c>
      <c r="Y32" s="2">
        <f t="shared" si="12"/>
        <v>56840</v>
      </c>
      <c r="Z32" s="2">
        <f t="shared" si="12"/>
        <v>62208</v>
      </c>
    </row>
    <row r="33" spans="2:92" x14ac:dyDescent="0.2">
      <c r="B33" s="8" t="s">
        <v>21</v>
      </c>
      <c r="C33" s="8">
        <v>353.6</v>
      </c>
      <c r="D33" s="8">
        <v>3100.6</v>
      </c>
      <c r="E33" s="8">
        <v>3252.7</v>
      </c>
      <c r="F33" s="8">
        <v>4711.8999999999996</v>
      </c>
      <c r="G33" s="8">
        <v>5161.6000000000004</v>
      </c>
      <c r="H33" s="8">
        <v>5007.8999999999996</v>
      </c>
      <c r="I33" s="8">
        <v>4159</v>
      </c>
      <c r="J33" s="8">
        <f t="shared" ref="J33:L33" si="13">J30*(1-J52)</f>
        <v>5280</v>
      </c>
      <c r="K33" s="8">
        <f t="shared" si="13"/>
        <v>6336</v>
      </c>
      <c r="L33" s="8">
        <f t="shared" si="13"/>
        <v>6526.08</v>
      </c>
      <c r="M33" s="8">
        <f t="shared" ref="M33:N33" si="14">M30*(1-M52)</f>
        <v>6721.8624000000009</v>
      </c>
      <c r="N33" s="8">
        <f t="shared" si="14"/>
        <v>9410.60736</v>
      </c>
      <c r="P33" s="8">
        <v>2813.1</v>
      </c>
      <c r="Q33" s="8">
        <v>3022.9</v>
      </c>
      <c r="R33" s="8">
        <v>4396.1000000000004</v>
      </c>
      <c r="S33" s="8">
        <v>5840.4</v>
      </c>
      <c r="T33" s="8">
        <v>12927.8</v>
      </c>
      <c r="U33" s="8">
        <f>SUM(G33:J33)</f>
        <v>19608.5</v>
      </c>
      <c r="V33" s="8">
        <f>V32*(1-V52)</f>
        <v>30800</v>
      </c>
      <c r="W33" s="8">
        <f t="shared" ref="W33:Z33" si="15">W32*(1-W52)</f>
        <v>35981.599999999999</v>
      </c>
      <c r="X33" s="8">
        <f t="shared" si="15"/>
        <v>42182.326400000005</v>
      </c>
      <c r="Y33" s="8">
        <f t="shared" si="15"/>
        <v>49601.712473599997</v>
      </c>
      <c r="Z33" s="8">
        <f t="shared" si="15"/>
        <v>54127.687222886401</v>
      </c>
    </row>
    <row r="34" spans="2:92" x14ac:dyDescent="0.2">
      <c r="B34" s="8" t="s">
        <v>22</v>
      </c>
      <c r="C34" s="8">
        <f>C30-C33</f>
        <v>1766</v>
      </c>
      <c r="D34" s="8">
        <f t="shared" ref="D34:F34" si="16">D30-D33</f>
        <v>564.30000000000018</v>
      </c>
      <c r="E34" s="8">
        <f t="shared" si="16"/>
        <v>597.30000000000018</v>
      </c>
      <c r="F34" s="8">
        <f t="shared" si="16"/>
        <v>596.30000000000018</v>
      </c>
      <c r="G34" s="8">
        <f>G30-G33</f>
        <v>775.39999999999964</v>
      </c>
      <c r="H34" s="8">
        <f>H30-H33</f>
        <v>670.10000000000036</v>
      </c>
      <c r="I34" s="8">
        <f t="shared" ref="I34:L34" si="17">I30-I33</f>
        <v>441</v>
      </c>
      <c r="J34" s="8">
        <f t="shared" si="17"/>
        <v>720</v>
      </c>
      <c r="K34" s="8">
        <f t="shared" si="17"/>
        <v>864</v>
      </c>
      <c r="L34" s="8">
        <f t="shared" si="17"/>
        <v>889.92000000000007</v>
      </c>
      <c r="M34" s="8">
        <f t="shared" ref="M34:N34" si="18">M30-M33</f>
        <v>916.61759999999958</v>
      </c>
      <c r="N34" s="8">
        <f t="shared" si="18"/>
        <v>1283.2646399999994</v>
      </c>
      <c r="P34" s="8">
        <f t="shared" ref="P34:R34" si="19">P30-P33</f>
        <v>526.20000000000027</v>
      </c>
      <c r="Q34" s="8">
        <f t="shared" si="19"/>
        <v>534.5</v>
      </c>
      <c r="R34" s="8">
        <f t="shared" si="19"/>
        <v>800</v>
      </c>
      <c r="S34" s="8">
        <f t="shared" ref="S34:T34" si="20">S30-S33</f>
        <v>1283</v>
      </c>
      <c r="T34" s="8">
        <f t="shared" si="20"/>
        <v>2061.4000000000015</v>
      </c>
      <c r="U34" s="8">
        <f t="shared" ref="U34" si="21">U30-U33</f>
        <v>2606.5</v>
      </c>
      <c r="V34" s="8">
        <f>V32-V33</f>
        <v>4200</v>
      </c>
      <c r="W34" s="8">
        <f t="shared" ref="W34:Z34" si="22">W32-W33</f>
        <v>5018.4000000000015</v>
      </c>
      <c r="X34" s="8">
        <f t="shared" si="22"/>
        <v>6017.6735999999946</v>
      </c>
      <c r="Y34" s="8">
        <f t="shared" si="22"/>
        <v>7238.2875264000031</v>
      </c>
      <c r="Z34" s="8">
        <f t="shared" si="22"/>
        <v>8080.3127771135987</v>
      </c>
    </row>
    <row r="35" spans="2:92" x14ac:dyDescent="0.2">
      <c r="B35" s="8" t="s">
        <v>11</v>
      </c>
      <c r="C35" s="8">
        <v>111</v>
      </c>
      <c r="D35" s="8">
        <v>108.8</v>
      </c>
      <c r="E35" s="8">
        <v>116.2</v>
      </c>
      <c r="F35" s="8">
        <v>126.9</v>
      </c>
      <c r="G35" s="8">
        <v>132.19999999999999</v>
      </c>
      <c r="H35" s="8">
        <v>158.19999999999999</v>
      </c>
      <c r="I35" s="8">
        <v>162.9</v>
      </c>
      <c r="J35" s="8">
        <f>I35*(1+J49)</f>
        <v>212.47826086956522</v>
      </c>
      <c r="K35" s="8">
        <f t="shared" ref="K35:L35" si="23">J35*1.01</f>
        <v>214.60304347826087</v>
      </c>
      <c r="L35" s="8">
        <f t="shared" si="23"/>
        <v>216.74907391304347</v>
      </c>
      <c r="M35" s="8">
        <f t="shared" ref="M35" si="24">L35*1.01</f>
        <v>218.91656465217392</v>
      </c>
      <c r="N35" s="8">
        <f t="shared" ref="N35" si="25">M35*1.01</f>
        <v>221.10573029869565</v>
      </c>
      <c r="P35" s="8">
        <v>221.5</v>
      </c>
      <c r="Q35" s="8">
        <v>224.4</v>
      </c>
      <c r="R35" s="8">
        <v>272.3</v>
      </c>
      <c r="S35" s="8">
        <v>307.26</v>
      </c>
      <c r="T35" s="8">
        <v>463.5</v>
      </c>
      <c r="U35" s="8">
        <f>SUM(G35:J35)</f>
        <v>665.7782608695652</v>
      </c>
      <c r="V35" s="8">
        <f t="shared" ref="V35:Z35" si="26">U35*(1+V48)</f>
        <v>1048.9416669113114</v>
      </c>
      <c r="W35" s="8">
        <f t="shared" si="26"/>
        <v>1228.7602383818219</v>
      </c>
      <c r="X35" s="8">
        <f t="shared" si="26"/>
        <v>1444.5425241464345</v>
      </c>
      <c r="Y35" s="8">
        <f t="shared" si="26"/>
        <v>1703.4812670639697</v>
      </c>
      <c r="Z35" s="8">
        <f t="shared" si="26"/>
        <v>1864.3589490062532</v>
      </c>
    </row>
    <row r="36" spans="2:92" x14ac:dyDescent="0.2">
      <c r="B36" s="8" t="s">
        <v>24</v>
      </c>
      <c r="C36" s="8">
        <v>37.200000000000003</v>
      </c>
      <c r="D36" s="8">
        <v>46.8</v>
      </c>
      <c r="E36" s="8">
        <v>49.7</v>
      </c>
      <c r="F36" s="8">
        <v>55.7</v>
      </c>
      <c r="G36" s="8">
        <v>68.8</v>
      </c>
      <c r="H36" s="8">
        <v>79.5</v>
      </c>
      <c r="I36" s="8">
        <v>60</v>
      </c>
      <c r="J36" s="8">
        <f t="shared" ref="J36:L36" si="27">I36*(1+J49)</f>
        <v>78.260869565217391</v>
      </c>
      <c r="K36" s="8">
        <f t="shared" si="27"/>
        <v>93.91304347826086</v>
      </c>
      <c r="L36" s="8">
        <f t="shared" si="27"/>
        <v>96.730434782608683</v>
      </c>
      <c r="M36" s="8">
        <f t="shared" ref="M36" si="28">L36*(1+M49)</f>
        <v>99.632347826086942</v>
      </c>
      <c r="N36" s="8">
        <f t="shared" ref="N36" si="29">M36*(1+N49)</f>
        <v>139.48528695652172</v>
      </c>
      <c r="P36" s="8">
        <v>85.1</v>
      </c>
      <c r="Q36" s="8">
        <v>85.7</v>
      </c>
      <c r="R36" s="8">
        <v>90.1</v>
      </c>
      <c r="S36" s="8">
        <v>115</v>
      </c>
      <c r="T36" s="8">
        <v>189.7</v>
      </c>
      <c r="U36" s="8">
        <f>SUM(G36:J36)</f>
        <v>286.56086956521739</v>
      </c>
      <c r="V36" s="8">
        <f t="shared" ref="V36:Z36" si="30">U36*(1+V48)</f>
        <v>451.4801005979117</v>
      </c>
      <c r="W36" s="8">
        <f t="shared" si="30"/>
        <v>528.8766892718395</v>
      </c>
      <c r="X36" s="8">
        <f t="shared" si="30"/>
        <v>621.75259568055276</v>
      </c>
      <c r="Y36" s="8">
        <f t="shared" si="30"/>
        <v>733.20368337100865</v>
      </c>
      <c r="Z36" s="8">
        <f t="shared" si="30"/>
        <v>802.44783137128275</v>
      </c>
    </row>
    <row r="37" spans="2:92" x14ac:dyDescent="0.2">
      <c r="B37" s="8" t="s">
        <v>25</v>
      </c>
      <c r="C37" s="8">
        <v>33.9</v>
      </c>
      <c r="D37" s="8">
        <v>37.200000000000003</v>
      </c>
      <c r="E37" s="8">
        <v>53.1</v>
      </c>
      <c r="F37" s="8">
        <v>70.400000000000006</v>
      </c>
      <c r="G37" s="8">
        <v>65.2</v>
      </c>
      <c r="H37" s="8">
        <v>63.6</v>
      </c>
      <c r="I37" s="8">
        <v>70.599999999999994</v>
      </c>
      <c r="J37" s="8">
        <f t="shared" ref="J37:L37" si="31">I37*(1+J49)</f>
        <v>92.086956521739125</v>
      </c>
      <c r="K37" s="8">
        <f t="shared" si="31"/>
        <v>110.50434782608694</v>
      </c>
      <c r="L37" s="8">
        <f t="shared" si="31"/>
        <v>113.81947826086956</v>
      </c>
      <c r="M37" s="8">
        <f t="shared" ref="M37" si="32">L37*(1+M49)</f>
        <v>117.23406260869565</v>
      </c>
      <c r="N37" s="8">
        <f t="shared" ref="N37" si="33">M37*(1+N49)</f>
        <v>164.1276876521739</v>
      </c>
      <c r="P37" s="8">
        <v>134</v>
      </c>
      <c r="Q37" s="8">
        <v>100.5</v>
      </c>
      <c r="R37" s="8">
        <v>102.4</v>
      </c>
      <c r="S37" s="8">
        <v>99.5</v>
      </c>
      <c r="T37" s="8">
        <v>197.3</v>
      </c>
      <c r="U37" s="8">
        <f>SUM(G37:J37)</f>
        <v>291.4869565217391</v>
      </c>
      <c r="V37" s="8">
        <f t="shared" ref="V37:Z37" si="34">U37*(1+V48)</f>
        <v>459.24120991496142</v>
      </c>
      <c r="W37" s="8">
        <f t="shared" si="34"/>
        <v>537.96827447181192</v>
      </c>
      <c r="X37" s="8">
        <f t="shared" si="34"/>
        <v>632.44075194003256</v>
      </c>
      <c r="Y37" s="8">
        <f t="shared" si="34"/>
        <v>745.80772490189736</v>
      </c>
      <c r="Z37" s="8">
        <f t="shared" si="34"/>
        <v>816.24220532542631</v>
      </c>
    </row>
    <row r="38" spans="2:92" x14ac:dyDescent="0.2">
      <c r="B38" s="8" t="s">
        <v>26</v>
      </c>
      <c r="C38" s="8">
        <f>SUM(C35:C37)</f>
        <v>182.1</v>
      </c>
      <c r="D38" s="8">
        <f t="shared" ref="D38:F38" si="35">SUM(D35:D37)</f>
        <v>192.8</v>
      </c>
      <c r="E38" s="8">
        <f t="shared" si="35"/>
        <v>219</v>
      </c>
      <c r="F38" s="8">
        <f t="shared" si="35"/>
        <v>253.00000000000003</v>
      </c>
      <c r="G38" s="8">
        <f>SUM(G35:G37)</f>
        <v>266.2</v>
      </c>
      <c r="H38" s="8">
        <f>SUM(H35:H37)</f>
        <v>301.3</v>
      </c>
      <c r="I38" s="8">
        <f t="shared" ref="I38:L38" si="36">SUM(I35:I37)</f>
        <v>293.5</v>
      </c>
      <c r="J38" s="8">
        <f t="shared" si="36"/>
        <v>382.82608695652175</v>
      </c>
      <c r="K38" s="8">
        <f t="shared" si="36"/>
        <v>419.02043478260867</v>
      </c>
      <c r="L38" s="8">
        <f t="shared" si="36"/>
        <v>427.29898695652173</v>
      </c>
      <c r="M38" s="8">
        <f t="shared" ref="M38:N38" si="37">SUM(M35:M37)</f>
        <v>435.78297508695647</v>
      </c>
      <c r="N38" s="8">
        <f t="shared" si="37"/>
        <v>524.71870490739127</v>
      </c>
      <c r="P38" s="8">
        <f t="shared" ref="P38:R38" si="38">SUM(P35:P37)</f>
        <v>440.6</v>
      </c>
      <c r="Q38" s="8">
        <f t="shared" si="38"/>
        <v>410.6</v>
      </c>
      <c r="R38" s="8">
        <f t="shared" si="38"/>
        <v>464.79999999999995</v>
      </c>
      <c r="S38" s="8">
        <f t="shared" ref="S38:T38" si="39">SUM(S35:S37)</f>
        <v>521.76</v>
      </c>
      <c r="T38" s="8">
        <f t="shared" si="39"/>
        <v>850.5</v>
      </c>
      <c r="U38" s="8">
        <f t="shared" ref="U38:Y38" si="40">SUM(U35:U37)</f>
        <v>1243.8260869565217</v>
      </c>
      <c r="V38" s="8">
        <f t="shared" si="40"/>
        <v>1959.6629774241846</v>
      </c>
      <c r="W38" s="8">
        <f t="shared" si="40"/>
        <v>2295.6052021254732</v>
      </c>
      <c r="X38" s="8">
        <f t="shared" si="40"/>
        <v>2698.7358717670199</v>
      </c>
      <c r="Y38" s="8">
        <f t="shared" si="40"/>
        <v>3182.4926753368759</v>
      </c>
      <c r="Z38" s="8">
        <f t="shared" ref="Z38" si="41">SUM(Z35:Z37)</f>
        <v>3483.048985702962</v>
      </c>
    </row>
    <row r="39" spans="2:92" s="2" customFormat="1" ht="15" x14ac:dyDescent="0.25">
      <c r="B39" s="2" t="s">
        <v>27</v>
      </c>
      <c r="C39" s="2">
        <f>C34-C38</f>
        <v>1583.9</v>
      </c>
      <c r="D39" s="2">
        <f t="shared" ref="D39:F39" si="42">D34-D38</f>
        <v>371.50000000000017</v>
      </c>
      <c r="E39" s="2">
        <f t="shared" si="42"/>
        <v>378.30000000000018</v>
      </c>
      <c r="F39" s="2">
        <f t="shared" si="42"/>
        <v>343.30000000000018</v>
      </c>
      <c r="G39" s="2">
        <f>G34-G38</f>
        <v>509.19999999999965</v>
      </c>
      <c r="H39" s="2">
        <f>H34-H38</f>
        <v>368.80000000000035</v>
      </c>
      <c r="I39" s="2">
        <f t="shared" ref="I39:L39" si="43">I34-I38</f>
        <v>147.5</v>
      </c>
      <c r="J39" s="2">
        <f t="shared" si="43"/>
        <v>337.17391304347825</v>
      </c>
      <c r="K39" s="2">
        <f t="shared" si="43"/>
        <v>444.97956521739133</v>
      </c>
      <c r="L39" s="2">
        <f t="shared" si="43"/>
        <v>462.62101304347834</v>
      </c>
      <c r="M39" s="2">
        <f t="shared" ref="M39:N39" si="44">M34-M38</f>
        <v>480.83462491304311</v>
      </c>
      <c r="N39" s="2">
        <f t="shared" si="44"/>
        <v>758.54593509260815</v>
      </c>
      <c r="P39" s="2">
        <f t="shared" ref="P39:R39" si="45">P34-P38</f>
        <v>85.60000000000025</v>
      </c>
      <c r="Q39" s="2">
        <f t="shared" si="45"/>
        <v>123.89999999999998</v>
      </c>
      <c r="R39" s="2">
        <f t="shared" si="45"/>
        <v>335.20000000000005</v>
      </c>
      <c r="S39" s="2">
        <f t="shared" ref="S39:T39" si="46">S34-S38</f>
        <v>761.24</v>
      </c>
      <c r="T39" s="2">
        <f t="shared" si="46"/>
        <v>1210.9000000000015</v>
      </c>
      <c r="U39" s="2">
        <f t="shared" ref="U39:V39" si="47">U34-U38</f>
        <v>1362.6739130434783</v>
      </c>
      <c r="V39" s="2">
        <f t="shared" si="47"/>
        <v>2240.3370225758154</v>
      </c>
      <c r="W39" s="2">
        <f t="shared" ref="W39" si="48">W34-W38</f>
        <v>2722.7947978745283</v>
      </c>
      <c r="X39" s="2">
        <f t="shared" ref="X39" si="49">X34-X38</f>
        <v>3318.9377282329747</v>
      </c>
      <c r="Y39" s="2">
        <f t="shared" ref="Y39:Z39" si="50">Y34-Y38</f>
        <v>4055.7948510631272</v>
      </c>
      <c r="Z39" s="2">
        <f t="shared" si="50"/>
        <v>4597.2637914106363</v>
      </c>
    </row>
    <row r="40" spans="2:92" x14ac:dyDescent="0.2">
      <c r="B40" s="8" t="s">
        <v>32</v>
      </c>
      <c r="C40" s="8">
        <v>6.6</v>
      </c>
      <c r="D40" s="8">
        <v>-8</v>
      </c>
      <c r="E40" s="8">
        <v>10</v>
      </c>
      <c r="F40" s="8">
        <v>14</v>
      </c>
      <c r="G40" s="8">
        <v>7.2</v>
      </c>
      <c r="H40" s="8">
        <v>12.9</v>
      </c>
      <c r="I40" s="8">
        <v>-18.3</v>
      </c>
      <c r="P40" s="8">
        <v>1.4</v>
      </c>
      <c r="Q40" s="8">
        <v>-2.8</v>
      </c>
      <c r="R40" s="8">
        <v>8.1</v>
      </c>
      <c r="T40" s="8">
        <v>22.7</v>
      </c>
      <c r="U40" s="8">
        <f>SUM(G40:J40)</f>
        <v>1.8000000000000007</v>
      </c>
    </row>
    <row r="41" spans="2:92" x14ac:dyDescent="0.2">
      <c r="B41" s="8" t="s">
        <v>28</v>
      </c>
      <c r="C41" s="8">
        <v>-1.8</v>
      </c>
      <c r="D41" s="8">
        <v>-8</v>
      </c>
      <c r="E41" s="8">
        <v>-6.3</v>
      </c>
      <c r="F41" s="8">
        <v>-3.1</v>
      </c>
      <c r="G41" s="8">
        <v>-17.3</v>
      </c>
      <c r="H41" s="8">
        <v>-6.5</v>
      </c>
      <c r="I41" s="8">
        <v>-13.4</v>
      </c>
      <c r="J41" s="8">
        <f>I56*$AC$48/4</f>
        <v>-1.2270000000000028</v>
      </c>
      <c r="K41" s="8">
        <f>J56*$AC$48/4</f>
        <v>3.0563231413043455</v>
      </c>
      <c r="L41" s="8">
        <f>K56*$AC$48/4</f>
        <v>8.768780717877716</v>
      </c>
      <c r="M41" s="8">
        <f>L56*$AC$48/4</f>
        <v>14.779000588335006</v>
      </c>
      <c r="N41" s="8">
        <f>M56*$AC$48/4</f>
        <v>21.098074313477575</v>
      </c>
      <c r="P41" s="8">
        <v>-2.2000000000000002</v>
      </c>
      <c r="Q41" s="8">
        <v>-2.5</v>
      </c>
      <c r="R41" s="8">
        <v>-6.4</v>
      </c>
      <c r="T41" s="8">
        <v>-19.350000000000001</v>
      </c>
      <c r="U41" s="8">
        <f>SUM(G41:J41)</f>
        <v>-38.427000000000007</v>
      </c>
      <c r="V41" s="8">
        <f>U56*$AC$48</f>
        <v>12.225292565217382</v>
      </c>
      <c r="W41" s="8">
        <f>V56*$AC$48</f>
        <v>121.83918941631504</v>
      </c>
      <c r="X41" s="8">
        <f>W56*$AC$48</f>
        <v>261.47736795799602</v>
      </c>
      <c r="Y41" s="8">
        <f>X56*$AC$48</f>
        <v>438.46638362759836</v>
      </c>
      <c r="Z41" s="8">
        <f>Y56*$AC$48</f>
        <v>661.88599640692223</v>
      </c>
    </row>
    <row r="42" spans="2:92" x14ac:dyDescent="0.2">
      <c r="B42" s="8" t="s">
        <v>29</v>
      </c>
      <c r="C42" s="8">
        <f>C39+SUM(C40:C41)</f>
        <v>1588.7</v>
      </c>
      <c r="D42" s="8">
        <f t="shared" ref="D42:F42" si="51">D39+SUM(D40:D41)</f>
        <v>355.50000000000017</v>
      </c>
      <c r="E42" s="8">
        <f t="shared" si="51"/>
        <v>382.00000000000017</v>
      </c>
      <c r="F42" s="8">
        <f t="shared" si="51"/>
        <v>354.20000000000016</v>
      </c>
      <c r="G42" s="8">
        <f>G39+SUM(G40:G41)</f>
        <v>499.09999999999962</v>
      </c>
      <c r="H42" s="8">
        <f>H39+SUM(H40:H41)</f>
        <v>375.20000000000033</v>
      </c>
      <c r="I42" s="8">
        <f t="shared" ref="I42:L42" si="52">I39+SUM(I40:I41)</f>
        <v>115.8</v>
      </c>
      <c r="J42" s="8">
        <f t="shared" si="52"/>
        <v>335.94691304347828</v>
      </c>
      <c r="K42" s="8">
        <f t="shared" si="52"/>
        <v>448.03588835869567</v>
      </c>
      <c r="L42" s="8">
        <f t="shared" si="52"/>
        <v>471.38979376135603</v>
      </c>
      <c r="M42" s="8">
        <f t="shared" ref="M42:N42" si="53">M39+SUM(M40:M41)</f>
        <v>495.61362550137812</v>
      </c>
      <c r="N42" s="8">
        <f t="shared" si="53"/>
        <v>779.64400940608573</v>
      </c>
      <c r="P42" s="8">
        <f t="shared" ref="P42:R42" si="54">P39+SUM(P40:P41)</f>
        <v>84.800000000000253</v>
      </c>
      <c r="Q42" s="8">
        <f t="shared" si="54"/>
        <v>118.59999999999998</v>
      </c>
      <c r="R42" s="8">
        <f t="shared" si="54"/>
        <v>336.90000000000003</v>
      </c>
      <c r="S42" s="8">
        <f t="shared" ref="S42:T42" si="55">S39+SUM(S40:S41)</f>
        <v>761.24</v>
      </c>
      <c r="T42" s="8">
        <f t="shared" si="55"/>
        <v>1214.2500000000014</v>
      </c>
      <c r="U42" s="8">
        <f t="shared" ref="U42:V42" si="56">U39+SUM(U40:U41)</f>
        <v>1326.0469130434783</v>
      </c>
      <c r="V42" s="8">
        <f t="shared" si="56"/>
        <v>2252.5623151410327</v>
      </c>
      <c r="W42" s="8">
        <f t="shared" ref="W42" si="57">W39+SUM(W40:W41)</f>
        <v>2844.6339872908434</v>
      </c>
      <c r="X42" s="8">
        <f t="shared" ref="X42" si="58">X39+SUM(X40:X41)</f>
        <v>3580.4150961909709</v>
      </c>
      <c r="Y42" s="8">
        <f t="shared" ref="Y42:Z42" si="59">Y39+SUM(Y40:Y41)</f>
        <v>4494.2612346907254</v>
      </c>
      <c r="Z42" s="8">
        <f t="shared" si="59"/>
        <v>5259.1497878175587</v>
      </c>
    </row>
    <row r="43" spans="2:92" x14ac:dyDescent="0.2">
      <c r="B43" s="8" t="s">
        <v>30</v>
      </c>
      <c r="C43" s="8">
        <v>20.2</v>
      </c>
      <c r="D43" s="8">
        <v>-61.5</v>
      </c>
      <c r="E43" s="8">
        <v>-20</v>
      </c>
      <c r="F43" s="8">
        <v>1</v>
      </c>
      <c r="G43" s="8">
        <v>74.7</v>
      </c>
      <c r="H43" s="8">
        <v>56.9</v>
      </c>
      <c r="I43" s="8">
        <v>5.8</v>
      </c>
      <c r="J43" s="8">
        <f>J42*J50</f>
        <v>50.392036956521743</v>
      </c>
      <c r="K43" s="8">
        <f t="shared" ref="K43:N43" si="60">K42*K50</f>
        <v>67.205383253804342</v>
      </c>
      <c r="L43" s="8">
        <f t="shared" si="60"/>
        <v>70.708469064203399</v>
      </c>
      <c r="M43" s="8">
        <f t="shared" si="60"/>
        <v>74.342043825206716</v>
      </c>
      <c r="N43" s="8">
        <f t="shared" si="60"/>
        <v>116.94660141091285</v>
      </c>
      <c r="P43" s="8">
        <v>2.9</v>
      </c>
      <c r="Q43" s="8">
        <v>6.9</v>
      </c>
      <c r="R43" s="8">
        <v>52.9</v>
      </c>
      <c r="S43" s="8">
        <v>110.6</v>
      </c>
      <c r="T43" s="8">
        <v>63.3</v>
      </c>
      <c r="U43" s="8">
        <f>SUM(G43:J43)</f>
        <v>187.79203695652174</v>
      </c>
      <c r="V43" s="8">
        <f t="shared" ref="V43:Z43" si="61">V50*V39</f>
        <v>425.66403428940492</v>
      </c>
      <c r="W43" s="8">
        <f t="shared" si="61"/>
        <v>517.33101159616035</v>
      </c>
      <c r="X43" s="8">
        <f t="shared" si="61"/>
        <v>630.59816836426523</v>
      </c>
      <c r="Y43" s="8">
        <f t="shared" si="61"/>
        <v>770.60102170199423</v>
      </c>
      <c r="Z43" s="8">
        <f t="shared" si="61"/>
        <v>873.48012036802095</v>
      </c>
    </row>
    <row r="44" spans="2:92" ht="15" x14ac:dyDescent="0.25">
      <c r="B44" s="2" t="s">
        <v>8</v>
      </c>
      <c r="C44" s="2">
        <f>C42-C43</f>
        <v>1568.5</v>
      </c>
      <c r="D44" s="2">
        <f t="shared" ref="D44:F44" si="62">D42-D43</f>
        <v>417.00000000000017</v>
      </c>
      <c r="E44" s="2">
        <f t="shared" si="62"/>
        <v>402.00000000000017</v>
      </c>
      <c r="F44" s="2">
        <f t="shared" si="62"/>
        <v>353.20000000000016</v>
      </c>
      <c r="G44" s="2">
        <f>G42-G43</f>
        <v>424.39999999999964</v>
      </c>
      <c r="H44" s="2">
        <f>H42-H43</f>
        <v>318.30000000000035</v>
      </c>
      <c r="I44" s="2">
        <f>I42-I43</f>
        <v>110</v>
      </c>
      <c r="J44" s="2">
        <f>J42-J43</f>
        <v>285.55487608695654</v>
      </c>
      <c r="K44" s="2">
        <f t="shared" ref="K44:L44" si="63">K42-K43</f>
        <v>380.83050510489136</v>
      </c>
      <c r="L44" s="2">
        <f t="shared" si="63"/>
        <v>400.6813246971526</v>
      </c>
      <c r="M44" s="2">
        <f t="shared" ref="M44:N44" si="64">M42-M43</f>
        <v>421.27158167617142</v>
      </c>
      <c r="N44" s="2">
        <f t="shared" si="64"/>
        <v>662.69740799517285</v>
      </c>
      <c r="O44" s="2"/>
      <c r="P44" s="2">
        <f t="shared" ref="P44:R44" si="65">P42-P43</f>
        <v>81.900000000000247</v>
      </c>
      <c r="Q44" s="2">
        <f t="shared" si="65"/>
        <v>111.69999999999997</v>
      </c>
      <c r="R44" s="2">
        <f t="shared" si="65"/>
        <v>284.00000000000006</v>
      </c>
      <c r="S44" s="2">
        <f t="shared" ref="S44:Y44" si="66">S42-S43</f>
        <v>650.64</v>
      </c>
      <c r="T44" s="2">
        <f t="shared" si="66"/>
        <v>1150.9500000000014</v>
      </c>
      <c r="U44" s="2">
        <f t="shared" si="66"/>
        <v>1138.2548760869565</v>
      </c>
      <c r="V44" s="2">
        <f t="shared" si="66"/>
        <v>1826.8982808516278</v>
      </c>
      <c r="W44" s="2">
        <f t="shared" si="66"/>
        <v>2327.302975694683</v>
      </c>
      <c r="X44" s="2">
        <f t="shared" si="66"/>
        <v>2949.8169278267055</v>
      </c>
      <c r="Y44" s="2">
        <f t="shared" si="66"/>
        <v>3723.660212988731</v>
      </c>
      <c r="Z44" s="2">
        <f t="shared" ref="Z44" si="67">Z42-Z43</f>
        <v>4385.6696674495379</v>
      </c>
      <c r="AA44" s="2">
        <f t="shared" ref="AA44:BF44" si="68">Z44*(1+$AC$49)</f>
        <v>4429.5263641240335</v>
      </c>
      <c r="AB44" s="2">
        <f t="shared" si="68"/>
        <v>4473.8216277652737</v>
      </c>
      <c r="AC44" s="2">
        <f t="shared" si="68"/>
        <v>4518.5598440429267</v>
      </c>
      <c r="AD44" s="2">
        <f t="shared" si="68"/>
        <v>4563.7454424833559</v>
      </c>
      <c r="AE44" s="2">
        <f t="shared" si="68"/>
        <v>4609.3828969081897</v>
      </c>
      <c r="AF44" s="2">
        <f t="shared" si="68"/>
        <v>4655.4767258772717</v>
      </c>
      <c r="AG44" s="2">
        <f t="shared" si="68"/>
        <v>4702.0314931360444</v>
      </c>
      <c r="AH44" s="2">
        <f t="shared" si="68"/>
        <v>4749.0518080674046</v>
      </c>
      <c r="AI44" s="2">
        <f t="shared" si="68"/>
        <v>4796.5423261480792</v>
      </c>
      <c r="AJ44" s="2">
        <f t="shared" si="68"/>
        <v>4844.5077494095603</v>
      </c>
      <c r="AK44" s="2">
        <f t="shared" si="68"/>
        <v>4892.9528269036564</v>
      </c>
      <c r="AL44" s="2">
        <f t="shared" si="68"/>
        <v>4941.8823551726928</v>
      </c>
      <c r="AM44" s="2">
        <f t="shared" si="68"/>
        <v>4991.3011787244195</v>
      </c>
      <c r="AN44" s="2">
        <f t="shared" si="68"/>
        <v>5041.2141905116641</v>
      </c>
      <c r="AO44" s="2">
        <f t="shared" si="68"/>
        <v>5091.6263324167812</v>
      </c>
      <c r="AP44" s="2">
        <f t="shared" si="68"/>
        <v>5142.5425957409489</v>
      </c>
      <c r="AQ44" s="2">
        <f t="shared" si="68"/>
        <v>5193.9680216983588</v>
      </c>
      <c r="AR44" s="2">
        <f t="shared" si="68"/>
        <v>5245.9077019153428</v>
      </c>
      <c r="AS44" s="2">
        <f t="shared" si="68"/>
        <v>5298.3667789344963</v>
      </c>
      <c r="AT44" s="2">
        <f t="shared" si="68"/>
        <v>5351.3504467238417</v>
      </c>
      <c r="AU44" s="2">
        <f t="shared" si="68"/>
        <v>5404.8639511910806</v>
      </c>
      <c r="AV44" s="2">
        <f t="shared" si="68"/>
        <v>5458.9125907029911</v>
      </c>
      <c r="AW44" s="2">
        <f t="shared" si="68"/>
        <v>5513.5017166100215</v>
      </c>
      <c r="AX44" s="2">
        <f t="shared" si="68"/>
        <v>5568.6367337761221</v>
      </c>
      <c r="AY44" s="2">
        <f t="shared" si="68"/>
        <v>5624.3231011138832</v>
      </c>
      <c r="AZ44" s="2">
        <f t="shared" si="68"/>
        <v>5680.5663321250222</v>
      </c>
      <c r="BA44" s="2">
        <f t="shared" si="68"/>
        <v>5737.3719954462722</v>
      </c>
      <c r="BB44" s="2">
        <f t="shared" si="68"/>
        <v>5794.7457154007352</v>
      </c>
      <c r="BC44" s="2">
        <f t="shared" si="68"/>
        <v>5852.6931725547429</v>
      </c>
      <c r="BD44" s="2">
        <f t="shared" si="68"/>
        <v>5911.2201042802908</v>
      </c>
      <c r="BE44" s="2">
        <f t="shared" si="68"/>
        <v>5970.3323053230934</v>
      </c>
      <c r="BF44" s="2">
        <f t="shared" si="68"/>
        <v>6030.035628376324</v>
      </c>
      <c r="BG44" s="2">
        <f t="shared" ref="BG44:CN44" si="69">BF44*(1+$AC$49)</f>
        <v>6090.335984660087</v>
      </c>
      <c r="BH44" s="2">
        <f t="shared" si="69"/>
        <v>6151.2393445066882</v>
      </c>
      <c r="BI44" s="2">
        <f t="shared" si="69"/>
        <v>6212.7517379517549</v>
      </c>
      <c r="BJ44" s="2">
        <f t="shared" si="69"/>
        <v>6274.8792553312724</v>
      </c>
      <c r="BK44" s="2">
        <f t="shared" si="69"/>
        <v>6337.6280478845847</v>
      </c>
      <c r="BL44" s="2">
        <f t="shared" si="69"/>
        <v>6401.0043283634304</v>
      </c>
      <c r="BM44" s="2">
        <f t="shared" si="69"/>
        <v>6465.0143716470648</v>
      </c>
      <c r="BN44" s="2">
        <f t="shared" si="69"/>
        <v>6529.6645153635354</v>
      </c>
      <c r="BO44" s="2">
        <f t="shared" si="69"/>
        <v>6594.9611605171713</v>
      </c>
      <c r="BP44" s="2">
        <f t="shared" si="69"/>
        <v>6660.9107721223427</v>
      </c>
      <c r="BQ44" s="2">
        <f t="shared" si="69"/>
        <v>6727.5198798435658</v>
      </c>
      <c r="BR44" s="2">
        <f t="shared" si="69"/>
        <v>6794.7950786420015</v>
      </c>
      <c r="BS44" s="2">
        <f t="shared" si="69"/>
        <v>6862.7430294284213</v>
      </c>
      <c r="BT44" s="2">
        <f t="shared" si="69"/>
        <v>6931.3704597227052</v>
      </c>
      <c r="BU44" s="2">
        <f t="shared" si="69"/>
        <v>7000.6841643199323</v>
      </c>
      <c r="BV44" s="2">
        <f t="shared" si="69"/>
        <v>7070.6910059631318</v>
      </c>
      <c r="BW44" s="2">
        <f t="shared" si="69"/>
        <v>7141.3979160227636</v>
      </c>
      <c r="BX44" s="2">
        <f t="shared" si="69"/>
        <v>7212.8118951829911</v>
      </c>
      <c r="BY44" s="2">
        <f t="shared" si="69"/>
        <v>7284.9400141348215</v>
      </c>
      <c r="BZ44" s="2">
        <f t="shared" si="69"/>
        <v>7357.7894142761697</v>
      </c>
      <c r="CA44" s="2">
        <f t="shared" si="69"/>
        <v>7431.3673084189313</v>
      </c>
      <c r="CB44" s="2">
        <f t="shared" si="69"/>
        <v>7505.6809815031211</v>
      </c>
      <c r="CC44" s="2">
        <f t="shared" si="69"/>
        <v>7580.7377913181526</v>
      </c>
      <c r="CD44" s="2">
        <f t="shared" si="69"/>
        <v>7656.5451692313345</v>
      </c>
      <c r="CE44" s="2">
        <f t="shared" si="69"/>
        <v>7733.1106209236477</v>
      </c>
      <c r="CF44" s="2">
        <f t="shared" si="69"/>
        <v>7810.4417271328839</v>
      </c>
      <c r="CG44" s="2">
        <f t="shared" si="69"/>
        <v>7888.546144404213</v>
      </c>
      <c r="CH44" s="2">
        <f t="shared" si="69"/>
        <v>7967.4316058482555</v>
      </c>
      <c r="CI44" s="2">
        <f t="shared" si="69"/>
        <v>8047.1059219067383</v>
      </c>
      <c r="CJ44" s="2">
        <f t="shared" si="69"/>
        <v>8127.576981125806</v>
      </c>
      <c r="CK44" s="2">
        <f t="shared" si="69"/>
        <v>8208.8527509370633</v>
      </c>
      <c r="CL44" s="2">
        <f t="shared" si="69"/>
        <v>8290.9412784464348</v>
      </c>
      <c r="CM44" s="2">
        <f t="shared" si="69"/>
        <v>8373.8506912308985</v>
      </c>
      <c r="CN44" s="2">
        <f t="shared" si="69"/>
        <v>8457.5891981432069</v>
      </c>
    </row>
    <row r="45" spans="2:92" x14ac:dyDescent="0.2">
      <c r="B45" s="8" t="s">
        <v>2</v>
      </c>
      <c r="C45" s="8">
        <v>531</v>
      </c>
      <c r="D45" s="8">
        <v>541</v>
      </c>
      <c r="E45" s="8">
        <v>564</v>
      </c>
      <c r="F45" s="8">
        <v>587</v>
      </c>
      <c r="G45" s="8">
        <v>593.48099999999999</v>
      </c>
      <c r="H45" s="8">
        <v>593.48099999999999</v>
      </c>
      <c r="I45" s="8">
        <v>593.48099999999999</v>
      </c>
      <c r="J45" s="8">
        <v>628</v>
      </c>
      <c r="K45" s="8">
        <v>628</v>
      </c>
      <c r="L45" s="8">
        <v>628</v>
      </c>
      <c r="M45" s="8">
        <v>628</v>
      </c>
      <c r="N45" s="8">
        <v>628</v>
      </c>
      <c r="P45" s="8">
        <v>510</v>
      </c>
      <c r="Q45" s="8">
        <v>511</v>
      </c>
      <c r="R45" s="8">
        <v>514</v>
      </c>
      <c r="T45" s="8">
        <v>593.48099999999999</v>
      </c>
      <c r="U45" s="8">
        <f>J45</f>
        <v>628</v>
      </c>
      <c r="V45" s="8">
        <v>628</v>
      </c>
      <c r="W45" s="8">
        <v>628</v>
      </c>
      <c r="X45" s="8">
        <v>628</v>
      </c>
      <c r="Y45" s="8">
        <v>628</v>
      </c>
      <c r="Z45" s="8">
        <v>628</v>
      </c>
    </row>
    <row r="46" spans="2:92" x14ac:dyDescent="0.2">
      <c r="B46" s="8" t="s">
        <v>31</v>
      </c>
      <c r="C46" s="11">
        <f>C44/C45</f>
        <v>2.9538606403013183</v>
      </c>
      <c r="D46" s="11">
        <f t="shared" ref="D46:F46" si="70">D44/D45</f>
        <v>0.77079482439926095</v>
      </c>
      <c r="E46" s="11">
        <f t="shared" si="70"/>
        <v>0.71276595744680882</v>
      </c>
      <c r="F46" s="11">
        <f t="shared" si="70"/>
        <v>0.60170357751277714</v>
      </c>
      <c r="G46" s="11">
        <f>G44/G45</f>
        <v>0.71510292663118047</v>
      </c>
      <c r="H46" s="11">
        <f>H44/H45</f>
        <v>0.53632719497338643</v>
      </c>
      <c r="I46" s="11">
        <f t="shared" ref="I46:L46" si="71">I44/I45</f>
        <v>0.18534712989969351</v>
      </c>
      <c r="J46" s="11">
        <f t="shared" si="71"/>
        <v>0.4547052166989754</v>
      </c>
      <c r="K46" s="11">
        <f t="shared" si="71"/>
        <v>0.6064180017593811</v>
      </c>
      <c r="L46" s="11">
        <f t="shared" si="71"/>
        <v>0.63802758709737672</v>
      </c>
      <c r="M46" s="11">
        <f t="shared" ref="M46:N46" si="72">M44/M45</f>
        <v>0.67081462050345764</v>
      </c>
      <c r="N46" s="11">
        <f t="shared" si="72"/>
        <v>1.0552506496738421</v>
      </c>
      <c r="O46" s="11"/>
      <c r="P46" s="11">
        <f t="shared" ref="P46:S46" si="73">P44/P45</f>
        <v>0.16058823529411814</v>
      </c>
      <c r="Q46" s="11">
        <f t="shared" si="73"/>
        <v>0.21859099804305279</v>
      </c>
      <c r="R46" s="11">
        <f t="shared" si="73"/>
        <v>0.55252918287937758</v>
      </c>
      <c r="S46" s="11" t="e">
        <f t="shared" si="73"/>
        <v>#DIV/0!</v>
      </c>
      <c r="T46" s="11">
        <f t="shared" ref="T46:Y46" si="74">T44/T45</f>
        <v>1.939320719618659</v>
      </c>
      <c r="U46" s="11">
        <f t="shared" si="74"/>
        <v>1.8125077644696761</v>
      </c>
      <c r="V46" s="11">
        <f t="shared" si="74"/>
        <v>2.909073695623611</v>
      </c>
      <c r="W46" s="11">
        <f t="shared" si="74"/>
        <v>3.7058964581125524</v>
      </c>
      <c r="X46" s="11">
        <f t="shared" si="74"/>
        <v>4.6971607130998496</v>
      </c>
      <c r="Y46" s="11">
        <f t="shared" si="74"/>
        <v>5.9293952436126292</v>
      </c>
      <c r="Z46" s="11">
        <f t="shared" ref="Z46" si="75">Z44/Z45</f>
        <v>6.9835504258750607</v>
      </c>
      <c r="AA46" s="11"/>
      <c r="AB46" s="11"/>
      <c r="AC46" s="11"/>
      <c r="AD46" s="11"/>
      <c r="AE46" s="11"/>
    </row>
    <row r="47" spans="2:92" x14ac:dyDescent="0.2">
      <c r="S47" s="12"/>
      <c r="T47" s="12"/>
      <c r="U47" s="12"/>
      <c r="V47" s="11"/>
      <c r="W47" s="12"/>
      <c r="X47" s="12"/>
      <c r="Y47" s="12"/>
    </row>
    <row r="48" spans="2:92" ht="15" x14ac:dyDescent="0.25">
      <c r="B48" s="2" t="s">
        <v>23</v>
      </c>
      <c r="G48" s="3">
        <f t="shared" ref="G48:L48" si="76">G30/C30-1</f>
        <v>1.8010001887148519</v>
      </c>
      <c r="H48" s="3">
        <f t="shared" si="76"/>
        <v>0.54929193156702771</v>
      </c>
      <c r="I48" s="3">
        <f t="shared" si="76"/>
        <v>0.19480519480519476</v>
      </c>
      <c r="J48" s="3">
        <f t="shared" si="76"/>
        <v>0.13032666440601348</v>
      </c>
      <c r="K48" s="3">
        <f t="shared" si="76"/>
        <v>0.21273370389085389</v>
      </c>
      <c r="L48" s="3">
        <f t="shared" si="76"/>
        <v>0.30609369496301508</v>
      </c>
      <c r="M48" s="3">
        <f t="shared" ref="M48" si="77">M30/I30-1</f>
        <v>0.66053913043478274</v>
      </c>
      <c r="N48" s="3">
        <f t="shared" ref="N48" si="78">N30/J30-1</f>
        <v>0.7823119999999999</v>
      </c>
      <c r="O48" s="13"/>
      <c r="P48" s="13"/>
      <c r="Q48" s="3">
        <f t="shared" ref="Q48" si="79">Q30/P30-1</f>
        <v>6.5313089569670302E-2</v>
      </c>
      <c r="R48" s="3">
        <f t="shared" ref="R48" si="80">R30/Q30-1</f>
        <v>0.46064541519086988</v>
      </c>
      <c r="S48" s="3">
        <f t="shared" ref="S48" si="81">S30/R30-1</f>
        <v>0.37091279998460358</v>
      </c>
      <c r="T48" s="3">
        <f t="shared" ref="T48:U48" si="82">T30/S30-1</f>
        <v>1.1042198949939639</v>
      </c>
      <c r="U48" s="3">
        <f t="shared" si="82"/>
        <v>0.48206708830357847</v>
      </c>
      <c r="V48" s="3">
        <f>V32/U30-1</f>
        <v>0.57551204141345935</v>
      </c>
      <c r="W48" s="3">
        <f>W32/V32-1</f>
        <v>0.17142857142857149</v>
      </c>
      <c r="X48" s="3">
        <f t="shared" ref="X48:Z48" si="83">X32/W32-1</f>
        <v>0.17560975609756091</v>
      </c>
      <c r="Y48" s="3">
        <f t="shared" si="83"/>
        <v>0.17925311203319505</v>
      </c>
      <c r="Z48" s="3">
        <f t="shared" si="83"/>
        <v>9.4440534834623557E-2</v>
      </c>
      <c r="AA48" s="3"/>
      <c r="AB48" s="8" t="s">
        <v>40</v>
      </c>
      <c r="AC48" s="13">
        <v>0.06</v>
      </c>
      <c r="AD48" s="3"/>
      <c r="AE48" s="3"/>
    </row>
    <row r="49" spans="2:31" x14ac:dyDescent="0.2">
      <c r="B49" s="8" t="s">
        <v>38</v>
      </c>
      <c r="D49" s="13">
        <f t="shared" ref="D49:J49" si="84">D30/C30-1</f>
        <v>0.72905265144366882</v>
      </c>
      <c r="E49" s="13">
        <f t="shared" si="84"/>
        <v>5.0506152964610251E-2</v>
      </c>
      <c r="F49" s="13">
        <f t="shared" si="84"/>
        <v>0.37875324675324662</v>
      </c>
      <c r="G49" s="13">
        <f t="shared" si="84"/>
        <v>0.11845823442975023</v>
      </c>
      <c r="H49" s="13">
        <f t="shared" si="84"/>
        <v>-4.362472629274039E-2</v>
      </c>
      <c r="I49" s="13">
        <f t="shared" si="84"/>
        <v>-0.18985558295174354</v>
      </c>
      <c r="J49" s="13">
        <f t="shared" si="84"/>
        <v>0.30434782608695654</v>
      </c>
      <c r="K49" s="13">
        <f t="shared" ref="K49:L49" si="85">K30/J30-1</f>
        <v>0.19999999999999996</v>
      </c>
      <c r="L49" s="13">
        <f t="shared" si="85"/>
        <v>3.0000000000000027E-2</v>
      </c>
      <c r="M49" s="13">
        <f t="shared" ref="M49" si="86">M30/L30-1</f>
        <v>3.0000000000000027E-2</v>
      </c>
      <c r="N49" s="13">
        <f t="shared" ref="N49" si="87">N30/M30-1</f>
        <v>0.39999999999999991</v>
      </c>
      <c r="O49" s="13"/>
      <c r="P49" s="13"/>
      <c r="Q49" s="13"/>
      <c r="AB49" s="8" t="s">
        <v>12</v>
      </c>
      <c r="AC49" s="13">
        <v>0.01</v>
      </c>
    </row>
    <row r="50" spans="2:31" x14ac:dyDescent="0.2">
      <c r="B50" s="8" t="s">
        <v>37</v>
      </c>
      <c r="C50" s="13">
        <f t="shared" ref="C50:I50" si="88">C43/C39</f>
        <v>1.2753330387019382E-2</v>
      </c>
      <c r="D50" s="13">
        <f t="shared" si="88"/>
        <v>-0.16554508748317623</v>
      </c>
      <c r="E50" s="13">
        <f t="shared" si="88"/>
        <v>-5.2868094105207479E-2</v>
      </c>
      <c r="F50" s="13">
        <f t="shared" si="88"/>
        <v>2.9129041654529552E-3</v>
      </c>
      <c r="G50" s="13">
        <f t="shared" si="88"/>
        <v>0.14670070699135909</v>
      </c>
      <c r="H50" s="13">
        <f t="shared" si="88"/>
        <v>0.15428416485900201</v>
      </c>
      <c r="I50" s="13">
        <f t="shared" si="88"/>
        <v>3.9322033898305082E-2</v>
      </c>
      <c r="J50" s="13">
        <v>0.15</v>
      </c>
      <c r="K50" s="13">
        <v>0.15</v>
      </c>
      <c r="L50" s="13">
        <v>0.15</v>
      </c>
      <c r="M50" s="13">
        <v>0.15</v>
      </c>
      <c r="N50" s="13">
        <v>0.15</v>
      </c>
      <c r="O50" s="13"/>
      <c r="P50" s="13">
        <f t="shared" ref="P50:U50" si="89">P43/P39</f>
        <v>3.3878504672897096E-2</v>
      </c>
      <c r="Q50" s="13">
        <f t="shared" si="89"/>
        <v>5.5690072639225194E-2</v>
      </c>
      <c r="R50" s="13">
        <f t="shared" si="89"/>
        <v>0.15781622911694509</v>
      </c>
      <c r="S50" s="13">
        <f t="shared" si="89"/>
        <v>0.14528926488361094</v>
      </c>
      <c r="T50" s="13">
        <f t="shared" si="89"/>
        <v>5.2275167230985152E-2</v>
      </c>
      <c r="U50" s="13">
        <f t="shared" si="89"/>
        <v>0.13781142734074631</v>
      </c>
      <c r="V50" s="13">
        <v>0.19</v>
      </c>
      <c r="W50" s="13">
        <v>0.19</v>
      </c>
      <c r="X50" s="13">
        <v>0.19</v>
      </c>
      <c r="Y50" s="13">
        <v>0.19</v>
      </c>
      <c r="Z50" s="13">
        <v>0.19</v>
      </c>
      <c r="AA50" s="13"/>
      <c r="AB50" s="8" t="s">
        <v>10</v>
      </c>
      <c r="AC50" s="14">
        <v>0.08</v>
      </c>
      <c r="AD50" s="13"/>
      <c r="AE50" s="13"/>
    </row>
    <row r="51" spans="2:31" ht="15" x14ac:dyDescent="0.25"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2" t="s">
        <v>13</v>
      </c>
      <c r="AC51" s="2">
        <f>NPV(AC50,V44:CN44)+main!F16-main!F17</f>
        <v>53688.050401819353</v>
      </c>
      <c r="AD51" s="13"/>
      <c r="AE51" s="13"/>
    </row>
    <row r="52" spans="2:31" ht="15" x14ac:dyDescent="0.25">
      <c r="B52" s="2" t="s">
        <v>9</v>
      </c>
      <c r="C52" s="3">
        <f t="shared" ref="C52:I52" si="90">C34/C30</f>
        <v>0.83317607095678436</v>
      </c>
      <c r="D52" s="3">
        <f t="shared" si="90"/>
        <v>0.15397418756309864</v>
      </c>
      <c r="E52" s="3">
        <f t="shared" si="90"/>
        <v>0.15514285714285719</v>
      </c>
      <c r="F52" s="3">
        <f t="shared" si="90"/>
        <v>0.11233563166421766</v>
      </c>
      <c r="G52" s="3">
        <f t="shared" si="90"/>
        <v>0.13060468249957885</v>
      </c>
      <c r="H52" s="3">
        <f t="shared" si="90"/>
        <v>0.11801690736174716</v>
      </c>
      <c r="I52" s="3">
        <f t="shared" si="90"/>
        <v>9.5869565217391303E-2</v>
      </c>
      <c r="J52" s="3">
        <v>0.12</v>
      </c>
      <c r="K52" s="3">
        <v>0.12</v>
      </c>
      <c r="L52" s="3">
        <v>0.12</v>
      </c>
      <c r="M52" s="3">
        <v>0.12</v>
      </c>
      <c r="N52" s="3">
        <v>0.12</v>
      </c>
      <c r="O52" s="3"/>
      <c r="P52" s="17">
        <f t="shared" ref="P52" si="91">P34/P30</f>
        <v>0.1575779354954632</v>
      </c>
      <c r="Q52" s="17">
        <f t="shared" ref="Q52:U52" si="92">Q34/Q30</f>
        <v>0.15025018271771517</v>
      </c>
      <c r="R52" s="17">
        <f t="shared" si="92"/>
        <v>0.15396162506495256</v>
      </c>
      <c r="S52" s="17">
        <f t="shared" si="92"/>
        <v>0.18011062133250977</v>
      </c>
      <c r="T52" s="17">
        <f t="shared" si="92"/>
        <v>0.13752568515998195</v>
      </c>
      <c r="U52" s="17">
        <f t="shared" si="92"/>
        <v>0.11733063245554805</v>
      </c>
      <c r="V52" s="17">
        <v>0.12</v>
      </c>
      <c r="W52" s="17">
        <f>V52*1.02</f>
        <v>0.12239999999999999</v>
      </c>
      <c r="X52" s="17">
        <f t="shared" ref="X52:Z52" si="93">W52*1.02</f>
        <v>0.124848</v>
      </c>
      <c r="Y52" s="17">
        <f t="shared" si="93"/>
        <v>0.12734496000000001</v>
      </c>
      <c r="Z52" s="17">
        <f t="shared" si="93"/>
        <v>0.12989185920000001</v>
      </c>
      <c r="AA52" s="17"/>
      <c r="AB52" s="8" t="s">
        <v>1</v>
      </c>
      <c r="AC52" s="15">
        <f>AC51/main!F14</f>
        <v>89.956855336314717</v>
      </c>
      <c r="AD52" s="17"/>
      <c r="AE52" s="17"/>
    </row>
    <row r="53" spans="2:31" x14ac:dyDescent="0.2">
      <c r="B53" s="8" t="s">
        <v>33</v>
      </c>
      <c r="C53" s="13" t="e">
        <f>#REF!/C30</f>
        <v>#REF!</v>
      </c>
      <c r="D53" s="13" t="e">
        <f>#REF!/D30</f>
        <v>#REF!</v>
      </c>
      <c r="E53" s="13" t="e">
        <f>#REF!/E30</f>
        <v>#REF!</v>
      </c>
      <c r="F53" s="13" t="e">
        <f>#REF!/F30</f>
        <v>#REF!</v>
      </c>
      <c r="G53" s="13" t="e">
        <f>#REF!/G30</f>
        <v>#REF!</v>
      </c>
      <c r="H53" s="13" t="e">
        <f>#REF!/H30</f>
        <v>#REF!</v>
      </c>
      <c r="I53" s="13" t="e">
        <f>#REF!/I30</f>
        <v>#REF!</v>
      </c>
      <c r="J53" s="13">
        <v>6.2E-2</v>
      </c>
      <c r="K53" s="13">
        <v>6.2E-2</v>
      </c>
      <c r="L53" s="13">
        <v>6.5000000000000002E-2</v>
      </c>
      <c r="M53" s="13">
        <v>6.5000000000000002E-2</v>
      </c>
      <c r="N53" s="13">
        <v>6.5000000000000002E-2</v>
      </c>
      <c r="O53" s="13"/>
      <c r="P53" s="13">
        <f>P105/P32</f>
        <v>0</v>
      </c>
      <c r="Q53" s="13">
        <f t="shared" ref="Q53:Z53" si="94">Q105/Q32</f>
        <v>0</v>
      </c>
      <c r="R53" s="13">
        <f t="shared" si="94"/>
        <v>-9.3493196820692417E-2</v>
      </c>
      <c r="S53" s="13">
        <f t="shared" si="94"/>
        <v>8.7977651121655398E-2</v>
      </c>
      <c r="T53" s="13">
        <f t="shared" si="94"/>
        <v>-0.17412937314866705</v>
      </c>
      <c r="U53" s="13">
        <f t="shared" si="94"/>
        <v>5.8183526896241282E-2</v>
      </c>
      <c r="V53" s="13">
        <f t="shared" si="94"/>
        <v>0.12124895981869646</v>
      </c>
      <c r="W53" s="13">
        <f t="shared" si="94"/>
        <v>0.12099937198702455</v>
      </c>
      <c r="X53" s="13">
        <f t="shared" si="94"/>
        <v>0.12066538644135544</v>
      </c>
      <c r="Y53" s="13">
        <f t="shared" si="94"/>
        <v>0.12031328137091478</v>
      </c>
      <c r="Z53" s="13">
        <f t="shared" si="94"/>
        <v>0.12563093154307092</v>
      </c>
      <c r="AA53" s="13"/>
      <c r="AB53" s="8" t="s">
        <v>14</v>
      </c>
      <c r="AC53" s="13">
        <f>AC52/main!F13-1</f>
        <v>0.9990412296958826</v>
      </c>
      <c r="AD53" s="13"/>
      <c r="AE53" s="13"/>
    </row>
    <row r="54" spans="2:31" x14ac:dyDescent="0.2">
      <c r="B54" s="8" t="s">
        <v>49</v>
      </c>
      <c r="C54" s="13">
        <f>C38/C30</f>
        <v>8.5912436308737503E-2</v>
      </c>
      <c r="D54" s="13">
        <f t="shared" ref="D54:N54" si="95">D38/D30</f>
        <v>5.2607165270539442E-2</v>
      </c>
      <c r="E54" s="13">
        <f t="shared" si="95"/>
        <v>5.6883116883116883E-2</v>
      </c>
      <c r="F54" s="13">
        <f t="shared" si="95"/>
        <v>4.7662107682453568E-2</v>
      </c>
      <c r="G54" s="13">
        <f t="shared" si="95"/>
        <v>4.4837459996631295E-2</v>
      </c>
      <c r="H54" s="13">
        <f t="shared" si="95"/>
        <v>5.3064459316660796E-2</v>
      </c>
      <c r="I54" s="13">
        <f t="shared" si="95"/>
        <v>6.380434782608696E-2</v>
      </c>
      <c r="J54" s="13">
        <f t="shared" si="95"/>
        <v>6.380434782608696E-2</v>
      </c>
      <c r="K54" s="13">
        <f t="shared" si="95"/>
        <v>5.8197282608695652E-2</v>
      </c>
      <c r="L54" s="13">
        <f t="shared" si="95"/>
        <v>5.7618525749261289E-2</v>
      </c>
      <c r="M54" s="13">
        <f t="shared" si="95"/>
        <v>5.7051006887097494E-2</v>
      </c>
      <c r="N54" s="13">
        <f t="shared" si="95"/>
        <v>4.9067232608300461E-2</v>
      </c>
      <c r="O54" s="13"/>
      <c r="P54" s="14">
        <f t="shared" ref="P54:U54" si="96">P38/P30</f>
        <v>0.13194382056119547</v>
      </c>
      <c r="Q54" s="14">
        <f t="shared" si="96"/>
        <v>0.11542137516163491</v>
      </c>
      <c r="R54" s="14">
        <f t="shared" si="96"/>
        <v>8.9451704162737428E-2</v>
      </c>
      <c r="S54" s="14">
        <f t="shared" si="96"/>
        <v>7.3245921891231719E-2</v>
      </c>
      <c r="T54" s="14">
        <f t="shared" si="96"/>
        <v>5.6740853414458406E-2</v>
      </c>
      <c r="U54" s="14">
        <f t="shared" si="96"/>
        <v>5.5990370783548134E-2</v>
      </c>
      <c r="V54" s="14">
        <f t="shared" ref="V54:Z54" si="97">V38/V30</f>
        <v>6.5322099247472828E-2</v>
      </c>
      <c r="W54" s="14">
        <f t="shared" si="97"/>
        <v>6.3766811170152038E-2</v>
      </c>
      <c r="X54" s="14">
        <f t="shared" si="97"/>
        <v>6.2470737772384724E-2</v>
      </c>
      <c r="Y54" s="14">
        <f t="shared" si="97"/>
        <v>6.1390676607578624E-2</v>
      </c>
      <c r="Z54" s="14">
        <f t="shared" si="97"/>
        <v>5.5990370783548127E-2</v>
      </c>
      <c r="AA54" s="14"/>
      <c r="AB54" s="14"/>
      <c r="AC54" s="14"/>
      <c r="AD54" s="14"/>
      <c r="AE54" s="14"/>
    </row>
    <row r="55" spans="2:31" x14ac:dyDescent="0.2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2:31" x14ac:dyDescent="0.2">
      <c r="B56" s="8" t="s">
        <v>41</v>
      </c>
      <c r="G56" s="13"/>
      <c r="H56" s="8">
        <f>H57-H58</f>
        <v>0</v>
      </c>
      <c r="I56" s="8">
        <f>I57-I58</f>
        <v>-81.800000000000182</v>
      </c>
      <c r="J56" s="8">
        <f>I56+J44</f>
        <v>203.75487608695636</v>
      </c>
      <c r="K56" s="8">
        <f t="shared" ref="K56:N56" si="98">J56+K44</f>
        <v>584.58538119184777</v>
      </c>
      <c r="L56" s="8">
        <f t="shared" si="98"/>
        <v>985.26670588900038</v>
      </c>
      <c r="M56" s="8">
        <f t="shared" si="98"/>
        <v>1406.5382875651717</v>
      </c>
      <c r="N56" s="8">
        <f t="shared" si="98"/>
        <v>2069.2356955603445</v>
      </c>
      <c r="R56" s="13"/>
      <c r="T56" s="8">
        <f>T57-T58</f>
        <v>-172.20000000000005</v>
      </c>
      <c r="U56" s="8">
        <f>J56</f>
        <v>203.75487608695636</v>
      </c>
      <c r="V56" s="8">
        <f>U56+V44</f>
        <v>2030.6531569385841</v>
      </c>
      <c r="W56" s="8">
        <f>V56+W44</f>
        <v>4357.9561326332669</v>
      </c>
      <c r="X56" s="8">
        <f>W56+X44</f>
        <v>7307.7730604599728</v>
      </c>
      <c r="Y56" s="8">
        <f>X56+Y44</f>
        <v>11031.433273448703</v>
      </c>
      <c r="Z56" s="8">
        <f>Y56+Z44</f>
        <v>15417.102940898241</v>
      </c>
    </row>
    <row r="57" spans="2:31" x14ac:dyDescent="0.2">
      <c r="B57" s="8" t="s">
        <v>4</v>
      </c>
      <c r="H57" s="8">
        <f>H60</f>
        <v>0</v>
      </c>
      <c r="I57" s="8">
        <f>I60</f>
        <v>2536.1</v>
      </c>
      <c r="S57" s="8">
        <f>S60</f>
        <v>440.459</v>
      </c>
      <c r="T57" s="8">
        <f>T60</f>
        <v>1669.8</v>
      </c>
      <c r="U57" s="8">
        <f>U60</f>
        <v>0</v>
      </c>
    </row>
    <row r="58" spans="2:31" x14ac:dyDescent="0.2">
      <c r="B58" s="8" t="s">
        <v>5</v>
      </c>
      <c r="H58" s="8">
        <f>SUM(H75:H77)</f>
        <v>0</v>
      </c>
      <c r="I58" s="8">
        <f>SUM(I75:I77)</f>
        <v>2617.9</v>
      </c>
      <c r="S58" s="8">
        <f>SUM(S75:S77)</f>
        <v>158.19999999999999</v>
      </c>
      <c r="T58" s="8">
        <f>SUM(T75:T77)</f>
        <v>1842</v>
      </c>
      <c r="U58" s="8">
        <f>SUM(U75:U77)</f>
        <v>0</v>
      </c>
    </row>
    <row r="60" spans="2:31" x14ac:dyDescent="0.2">
      <c r="B60" s="8" t="s">
        <v>4</v>
      </c>
      <c r="I60" s="8">
        <v>2536.1</v>
      </c>
      <c r="S60" s="8">
        <v>440.459</v>
      </c>
      <c r="T60" s="8">
        <v>1669.8</v>
      </c>
      <c r="U60" s="8">
        <f>J60</f>
        <v>0</v>
      </c>
    </row>
    <row r="61" spans="2:31" x14ac:dyDescent="0.2">
      <c r="B61" s="8" t="s">
        <v>50</v>
      </c>
      <c r="I61" s="8">
        <v>2642.5</v>
      </c>
      <c r="S61" s="8">
        <v>1148.3</v>
      </c>
      <c r="T61" s="8">
        <v>2737.3</v>
      </c>
      <c r="U61" s="8">
        <f t="shared" ref="U61:U66" si="99">J61</f>
        <v>0</v>
      </c>
    </row>
    <row r="62" spans="2:31" x14ac:dyDescent="0.2">
      <c r="B62" s="8" t="s">
        <v>51</v>
      </c>
      <c r="I62" s="8">
        <v>3870.2</v>
      </c>
      <c r="S62" s="8">
        <v>1445.6</v>
      </c>
      <c r="T62" s="8">
        <v>4333</v>
      </c>
      <c r="U62" s="8">
        <f t="shared" si="99"/>
        <v>0</v>
      </c>
    </row>
    <row r="63" spans="2:31" x14ac:dyDescent="0.2">
      <c r="B63" s="8" t="s">
        <v>52</v>
      </c>
      <c r="I63" s="8">
        <v>464.7</v>
      </c>
      <c r="S63" s="8">
        <v>145.1</v>
      </c>
      <c r="T63" s="8">
        <v>191.8</v>
      </c>
      <c r="U63" s="8">
        <f t="shared" si="99"/>
        <v>0</v>
      </c>
    </row>
    <row r="64" spans="2:31" x14ac:dyDescent="0.2">
      <c r="B64" s="8" t="s">
        <v>53</v>
      </c>
      <c r="I64" s="8">
        <v>492.6</v>
      </c>
      <c r="S64" s="8">
        <v>290.2</v>
      </c>
      <c r="T64" s="8">
        <v>414.1</v>
      </c>
      <c r="U64" s="8">
        <f t="shared" si="99"/>
        <v>0</v>
      </c>
    </row>
    <row r="65" spans="2:26" x14ac:dyDescent="0.2">
      <c r="B65" s="8" t="s">
        <v>54</v>
      </c>
      <c r="I65" s="8">
        <v>481.2</v>
      </c>
      <c r="S65" s="8">
        <v>162.6</v>
      </c>
      <c r="T65" s="8">
        <v>365.2</v>
      </c>
      <c r="U65" s="8">
        <f t="shared" si="99"/>
        <v>0</v>
      </c>
    </row>
    <row r="66" spans="2:26" x14ac:dyDescent="0.2">
      <c r="B66" s="8" t="s">
        <v>55</v>
      </c>
      <c r="I66" s="8">
        <v>251.2</v>
      </c>
      <c r="S66" s="8">
        <v>42.4</v>
      </c>
      <c r="T66" s="8">
        <v>114.95</v>
      </c>
      <c r="U66" s="8">
        <f t="shared" si="99"/>
        <v>0</v>
      </c>
    </row>
    <row r="67" spans="2:26" x14ac:dyDescent="0.2">
      <c r="B67" s="8" t="s">
        <v>56</v>
      </c>
      <c r="C67" s="8">
        <f>SUM(C60:C66)</f>
        <v>0</v>
      </c>
      <c r="D67" s="8">
        <f t="shared" ref="D67:P67" si="100">SUM(D60:D66)</f>
        <v>0</v>
      </c>
      <c r="E67" s="8">
        <f t="shared" si="100"/>
        <v>0</v>
      </c>
      <c r="F67" s="8">
        <f t="shared" si="100"/>
        <v>0</v>
      </c>
      <c r="G67" s="8">
        <f t="shared" si="100"/>
        <v>0</v>
      </c>
      <c r="H67" s="8">
        <f t="shared" si="100"/>
        <v>0</v>
      </c>
      <c r="I67" s="8">
        <f t="shared" si="100"/>
        <v>10738.500000000002</v>
      </c>
      <c r="J67" s="8">
        <f t="shared" si="100"/>
        <v>0</v>
      </c>
      <c r="K67" s="8">
        <f t="shared" si="100"/>
        <v>0</v>
      </c>
      <c r="L67" s="8">
        <f t="shared" si="100"/>
        <v>0</v>
      </c>
      <c r="M67" s="8">
        <f t="shared" si="100"/>
        <v>0</v>
      </c>
      <c r="N67" s="8">
        <f t="shared" si="100"/>
        <v>0</v>
      </c>
      <c r="P67" s="8">
        <f t="shared" si="100"/>
        <v>0</v>
      </c>
      <c r="Q67" s="8">
        <f t="shared" ref="Q67" si="101">SUM(Q60:Q66)</f>
        <v>0</v>
      </c>
      <c r="R67" s="8">
        <f t="shared" ref="R67" si="102">SUM(R60:R66)</f>
        <v>0</v>
      </c>
      <c r="S67" s="8">
        <f t="shared" ref="S67" si="103">SUM(S60:S66)</f>
        <v>3674.6589999999997</v>
      </c>
      <c r="T67" s="8">
        <f t="shared" ref="T67" si="104">SUM(T60:T66)</f>
        <v>9826.1500000000015</v>
      </c>
      <c r="U67" s="8">
        <f t="shared" ref="U67" si="105">SUM(U60:U66)</f>
        <v>0</v>
      </c>
      <c r="V67" s="8">
        <f t="shared" ref="V67" si="106">SUM(V60:V66)</f>
        <v>0</v>
      </c>
      <c r="W67" s="8">
        <f t="shared" ref="W67" si="107">SUM(W60:W66)</f>
        <v>0</v>
      </c>
      <c r="X67" s="8">
        <f t="shared" ref="X67" si="108">SUM(X60:X66)</f>
        <v>0</v>
      </c>
      <c r="Y67" s="8">
        <f t="shared" ref="Y67" si="109">SUM(Y60:Y66)</f>
        <v>0</v>
      </c>
      <c r="Z67" s="8">
        <f t="shared" ref="Z67" si="110">SUM(Z60:Z66)</f>
        <v>0</v>
      </c>
    </row>
    <row r="69" spans="2:26" x14ac:dyDescent="0.2">
      <c r="B69" s="8" t="s">
        <v>57</v>
      </c>
      <c r="I69" s="8">
        <v>643.1</v>
      </c>
      <c r="S69" s="8">
        <v>776.9</v>
      </c>
      <c r="T69" s="8">
        <v>1472.4</v>
      </c>
      <c r="U69" s="8">
        <f t="shared" ref="U69:U77" si="111">J69</f>
        <v>0</v>
      </c>
    </row>
    <row r="70" spans="2:26" x14ac:dyDescent="0.2">
      <c r="B70" s="8" t="s">
        <v>58</v>
      </c>
      <c r="I70" s="8">
        <v>344.7</v>
      </c>
      <c r="S70" s="8">
        <v>163.9</v>
      </c>
      <c r="T70" s="8">
        <v>259.7</v>
      </c>
      <c r="U70" s="8">
        <f t="shared" si="111"/>
        <v>0</v>
      </c>
    </row>
    <row r="71" spans="2:26" x14ac:dyDescent="0.2">
      <c r="B71" s="8" t="s">
        <v>63</v>
      </c>
      <c r="I71" s="8">
        <v>23.6</v>
      </c>
      <c r="S71" s="8">
        <v>129.19999999999999</v>
      </c>
      <c r="T71" s="8">
        <v>18.3</v>
      </c>
      <c r="U71" s="8">
        <f t="shared" si="111"/>
        <v>0</v>
      </c>
    </row>
    <row r="72" spans="2:26" x14ac:dyDescent="0.2">
      <c r="B72" s="8" t="s">
        <v>60</v>
      </c>
      <c r="I72" s="8">
        <v>63.97</v>
      </c>
      <c r="S72" s="8">
        <v>170.12</v>
      </c>
      <c r="T72" s="8">
        <v>402.4</v>
      </c>
      <c r="U72" s="8">
        <f t="shared" si="111"/>
        <v>0</v>
      </c>
    </row>
    <row r="73" spans="2:26" x14ac:dyDescent="0.2">
      <c r="B73" s="8" t="s">
        <v>62</v>
      </c>
      <c r="I73" s="8">
        <v>352.8</v>
      </c>
      <c r="S73" s="8">
        <v>134.66</v>
      </c>
      <c r="T73" s="8">
        <v>193.1</v>
      </c>
      <c r="U73" s="8">
        <f t="shared" si="111"/>
        <v>0</v>
      </c>
    </row>
    <row r="74" spans="2:26" x14ac:dyDescent="0.2">
      <c r="B74" s="8" t="s">
        <v>64</v>
      </c>
      <c r="I74" s="8">
        <v>312.99</v>
      </c>
      <c r="S74" s="8">
        <v>169.8</v>
      </c>
      <c r="T74" s="8">
        <v>223.3</v>
      </c>
      <c r="U74" s="8">
        <f t="shared" si="111"/>
        <v>0</v>
      </c>
    </row>
    <row r="75" spans="2:26" x14ac:dyDescent="0.2">
      <c r="B75" s="8" t="s">
        <v>65</v>
      </c>
      <c r="I75" s="8">
        <v>43</v>
      </c>
      <c r="S75" s="8">
        <v>120.2</v>
      </c>
      <c r="T75" s="8">
        <v>74</v>
      </c>
      <c r="U75" s="8">
        <f t="shared" si="111"/>
        <v>0</v>
      </c>
    </row>
    <row r="76" spans="2:26" x14ac:dyDescent="0.2">
      <c r="B76" s="8" t="s">
        <v>66</v>
      </c>
      <c r="I76" s="8">
        <v>2385.3000000000002</v>
      </c>
      <c r="S76" s="8">
        <v>0</v>
      </c>
      <c r="T76" s="8">
        <v>1700</v>
      </c>
      <c r="U76" s="8">
        <f t="shared" si="111"/>
        <v>0</v>
      </c>
    </row>
    <row r="77" spans="2:26" x14ac:dyDescent="0.2">
      <c r="B77" s="8" t="s">
        <v>67</v>
      </c>
      <c r="I77" s="8">
        <v>189.6</v>
      </c>
      <c r="S77" s="8">
        <v>38</v>
      </c>
      <c r="T77" s="8">
        <v>68</v>
      </c>
      <c r="U77" s="8">
        <f t="shared" si="111"/>
        <v>0</v>
      </c>
    </row>
    <row r="78" spans="2:26" x14ac:dyDescent="0.2">
      <c r="B78" s="8" t="s">
        <v>68</v>
      </c>
      <c r="C78" s="8">
        <f t="shared" ref="C78:N78" si="112">SUM(C69:C77)</f>
        <v>0</v>
      </c>
      <c r="D78" s="8">
        <f t="shared" si="112"/>
        <v>0</v>
      </c>
      <c r="E78" s="8">
        <f t="shared" si="112"/>
        <v>0</v>
      </c>
      <c r="F78" s="8">
        <f t="shared" si="112"/>
        <v>0</v>
      </c>
      <c r="G78" s="8">
        <f t="shared" si="112"/>
        <v>0</v>
      </c>
      <c r="H78" s="8">
        <f t="shared" si="112"/>
        <v>0</v>
      </c>
      <c r="I78" s="8">
        <f t="shared" si="112"/>
        <v>4359.0600000000004</v>
      </c>
      <c r="J78" s="8">
        <f t="shared" si="112"/>
        <v>0</v>
      </c>
      <c r="K78" s="8">
        <f t="shared" si="112"/>
        <v>0</v>
      </c>
      <c r="L78" s="8">
        <f t="shared" si="112"/>
        <v>0</v>
      </c>
      <c r="M78" s="8">
        <f t="shared" si="112"/>
        <v>0</v>
      </c>
      <c r="N78" s="8">
        <f t="shared" si="112"/>
        <v>0</v>
      </c>
      <c r="P78" s="8">
        <f t="shared" ref="P78:Z78" si="113">SUM(P69:P77)</f>
        <v>0</v>
      </c>
      <c r="Q78" s="8">
        <f t="shared" si="113"/>
        <v>0</v>
      </c>
      <c r="R78" s="8">
        <f t="shared" si="113"/>
        <v>0</v>
      </c>
      <c r="S78" s="8">
        <f t="shared" si="113"/>
        <v>1702.78</v>
      </c>
      <c r="T78" s="8">
        <f t="shared" si="113"/>
        <v>4411.2000000000007</v>
      </c>
      <c r="U78" s="8">
        <f t="shared" si="113"/>
        <v>0</v>
      </c>
      <c r="V78" s="8">
        <f t="shared" si="113"/>
        <v>0</v>
      </c>
      <c r="W78" s="8">
        <f t="shared" si="113"/>
        <v>0</v>
      </c>
      <c r="X78" s="8">
        <f t="shared" si="113"/>
        <v>0</v>
      </c>
      <c r="Y78" s="8">
        <f t="shared" si="113"/>
        <v>0</v>
      </c>
      <c r="Z78" s="8">
        <f t="shared" si="113"/>
        <v>0</v>
      </c>
    </row>
    <row r="79" spans="2:26" x14ac:dyDescent="0.2">
      <c r="B79" s="8" t="s">
        <v>69</v>
      </c>
      <c r="C79" s="8">
        <f t="shared" ref="C79:N79" si="114">C67-C78</f>
        <v>0</v>
      </c>
      <c r="D79" s="8">
        <f t="shared" si="114"/>
        <v>0</v>
      </c>
      <c r="E79" s="8">
        <f t="shared" si="114"/>
        <v>0</v>
      </c>
      <c r="F79" s="8">
        <f t="shared" si="114"/>
        <v>0</v>
      </c>
      <c r="G79" s="8">
        <f t="shared" si="114"/>
        <v>0</v>
      </c>
      <c r="H79" s="8">
        <f t="shared" si="114"/>
        <v>0</v>
      </c>
      <c r="I79" s="8">
        <f t="shared" si="114"/>
        <v>6379.4400000000014</v>
      </c>
      <c r="J79" s="8">
        <f t="shared" si="114"/>
        <v>0</v>
      </c>
      <c r="K79" s="8">
        <f t="shared" si="114"/>
        <v>0</v>
      </c>
      <c r="L79" s="8">
        <f t="shared" si="114"/>
        <v>0</v>
      </c>
      <c r="M79" s="8">
        <f t="shared" si="114"/>
        <v>0</v>
      </c>
      <c r="N79" s="8">
        <f t="shared" si="114"/>
        <v>0</v>
      </c>
      <c r="P79" s="8">
        <f t="shared" ref="P79:Z79" si="115">P67-P78</f>
        <v>0</v>
      </c>
      <c r="Q79" s="8">
        <f t="shared" si="115"/>
        <v>0</v>
      </c>
      <c r="R79" s="8">
        <f t="shared" si="115"/>
        <v>0</v>
      </c>
      <c r="S79" s="8">
        <f t="shared" si="115"/>
        <v>1971.8789999999997</v>
      </c>
      <c r="T79" s="8">
        <f t="shared" si="115"/>
        <v>5414.9500000000007</v>
      </c>
      <c r="U79" s="8">
        <f t="shared" si="115"/>
        <v>0</v>
      </c>
      <c r="V79" s="8">
        <f t="shared" si="115"/>
        <v>0</v>
      </c>
      <c r="W79" s="8">
        <f t="shared" si="115"/>
        <v>0</v>
      </c>
      <c r="X79" s="8">
        <f t="shared" si="115"/>
        <v>0</v>
      </c>
      <c r="Y79" s="8">
        <f t="shared" si="115"/>
        <v>0</v>
      </c>
      <c r="Z79" s="8">
        <f t="shared" si="115"/>
        <v>0</v>
      </c>
    </row>
    <row r="80" spans="2:26" x14ac:dyDescent="0.2">
      <c r="B80" s="8" t="s">
        <v>70</v>
      </c>
      <c r="C80" s="8">
        <f>C78+C79</f>
        <v>0</v>
      </c>
      <c r="D80" s="8">
        <f t="shared" ref="D80:P80" si="116">D78+D79</f>
        <v>0</v>
      </c>
      <c r="E80" s="8">
        <f t="shared" si="116"/>
        <v>0</v>
      </c>
      <c r="F80" s="8">
        <f t="shared" si="116"/>
        <v>0</v>
      </c>
      <c r="G80" s="8">
        <f t="shared" si="116"/>
        <v>0</v>
      </c>
      <c r="H80" s="8">
        <f t="shared" si="116"/>
        <v>0</v>
      </c>
      <c r="I80" s="8">
        <f t="shared" si="116"/>
        <v>10738.500000000002</v>
      </c>
      <c r="J80" s="8">
        <f t="shared" si="116"/>
        <v>0</v>
      </c>
      <c r="K80" s="8">
        <f t="shared" si="116"/>
        <v>0</v>
      </c>
      <c r="L80" s="8">
        <f t="shared" si="116"/>
        <v>0</v>
      </c>
      <c r="M80" s="8">
        <f t="shared" si="116"/>
        <v>0</v>
      </c>
      <c r="N80" s="8">
        <f t="shared" si="116"/>
        <v>0</v>
      </c>
      <c r="P80" s="8">
        <f t="shared" si="116"/>
        <v>0</v>
      </c>
      <c r="Q80" s="8">
        <f t="shared" ref="Q80" si="117">Q78+Q79</f>
        <v>0</v>
      </c>
      <c r="R80" s="8">
        <f t="shared" ref="R80" si="118">R78+R79</f>
        <v>0</v>
      </c>
      <c r="S80" s="8">
        <f t="shared" ref="S80" si="119">S78+S79</f>
        <v>3674.6589999999997</v>
      </c>
      <c r="T80" s="8">
        <f t="shared" ref="T80" si="120">T78+T79</f>
        <v>9826.1500000000015</v>
      </c>
      <c r="U80" s="8">
        <f t="shared" ref="U80" si="121">U78+U79</f>
        <v>0</v>
      </c>
      <c r="V80" s="8">
        <f t="shared" ref="V80" si="122">V78+V79</f>
        <v>0</v>
      </c>
      <c r="W80" s="8">
        <f t="shared" ref="W80" si="123">W78+W79</f>
        <v>0</v>
      </c>
      <c r="X80" s="8">
        <f t="shared" ref="X80" si="124">X78+X79</f>
        <v>0</v>
      </c>
      <c r="Y80" s="8">
        <f t="shared" ref="Y80" si="125">Y78+Y79</f>
        <v>0</v>
      </c>
      <c r="Z80" s="8">
        <f t="shared" ref="Z80" si="126">Z78+Z79</f>
        <v>0</v>
      </c>
    </row>
    <row r="82" spans="2:26" x14ac:dyDescent="0.2">
      <c r="B82" s="8" t="s">
        <v>71</v>
      </c>
      <c r="C82" s="8">
        <f>C61/C30*90</f>
        <v>0</v>
      </c>
      <c r="D82" s="8">
        <f t="shared" ref="D82:N82" si="127">D61/D30*90</f>
        <v>0</v>
      </c>
      <c r="E82" s="8">
        <f t="shared" si="127"/>
        <v>0</v>
      </c>
      <c r="F82" s="8">
        <f t="shared" si="127"/>
        <v>0</v>
      </c>
      <c r="G82" s="8">
        <f t="shared" si="127"/>
        <v>0</v>
      </c>
      <c r="H82" s="8">
        <f t="shared" si="127"/>
        <v>0</v>
      </c>
      <c r="I82" s="8">
        <f t="shared" si="127"/>
        <v>51.701086956521735</v>
      </c>
      <c r="J82" s="8">
        <f t="shared" si="127"/>
        <v>0</v>
      </c>
      <c r="K82" s="8">
        <f t="shared" si="127"/>
        <v>0</v>
      </c>
      <c r="L82" s="8">
        <f t="shared" si="127"/>
        <v>0</v>
      </c>
      <c r="M82" s="8">
        <f t="shared" si="127"/>
        <v>0</v>
      </c>
      <c r="N82" s="8">
        <f t="shared" si="127"/>
        <v>0</v>
      </c>
      <c r="P82" s="8">
        <f>P61/P30*360</f>
        <v>0</v>
      </c>
      <c r="Q82" s="8">
        <f t="shared" ref="Q82:R82" si="128">Q61/Q30*360</f>
        <v>0</v>
      </c>
      <c r="R82" s="8">
        <f t="shared" si="128"/>
        <v>0</v>
      </c>
      <c r="S82" s="8">
        <f>S61/S30*360</f>
        <v>58.032400258303625</v>
      </c>
      <c r="T82" s="8">
        <f>T61/T30*360</f>
        <v>65.742534624929945</v>
      </c>
      <c r="U82" s="8">
        <f t="shared" ref="U82:Z82" si="129">U61/U30*360</f>
        <v>0</v>
      </c>
      <c r="V82" s="8">
        <f t="shared" si="129"/>
        <v>0</v>
      </c>
      <c r="W82" s="8">
        <f t="shared" si="129"/>
        <v>0</v>
      </c>
      <c r="X82" s="8">
        <f t="shared" si="129"/>
        <v>0</v>
      </c>
      <c r="Y82" s="8">
        <f t="shared" si="129"/>
        <v>0</v>
      </c>
      <c r="Z82" s="8">
        <f t="shared" si="129"/>
        <v>0</v>
      </c>
    </row>
    <row r="84" spans="2:26" x14ac:dyDescent="0.2">
      <c r="B84" s="8" t="s">
        <v>72</v>
      </c>
      <c r="C84" s="8">
        <f>C44</f>
        <v>1568.5</v>
      </c>
      <c r="D84" s="8">
        <f t="shared" ref="D84:N84" si="130">D44</f>
        <v>417.00000000000017</v>
      </c>
      <c r="E84" s="8">
        <f t="shared" si="130"/>
        <v>402.00000000000017</v>
      </c>
      <c r="F84" s="8">
        <f t="shared" si="130"/>
        <v>353.20000000000016</v>
      </c>
      <c r="G84" s="8">
        <f t="shared" si="130"/>
        <v>424.39999999999964</v>
      </c>
      <c r="H84" s="8">
        <f t="shared" si="130"/>
        <v>318.30000000000035</v>
      </c>
      <c r="I84" s="8">
        <f t="shared" si="130"/>
        <v>110</v>
      </c>
      <c r="J84" s="8">
        <f t="shared" si="130"/>
        <v>285.55487608695654</v>
      </c>
      <c r="K84" s="8">
        <f t="shared" si="130"/>
        <v>380.83050510489136</v>
      </c>
      <c r="L84" s="8">
        <f t="shared" si="130"/>
        <v>400.6813246971526</v>
      </c>
      <c r="M84" s="8">
        <f t="shared" si="130"/>
        <v>421.27158167617142</v>
      </c>
      <c r="N84" s="8">
        <f t="shared" si="130"/>
        <v>662.69740799517285</v>
      </c>
      <c r="R84" s="8">
        <f>R44</f>
        <v>284.00000000000006</v>
      </c>
      <c r="S84" s="8">
        <f t="shared" ref="S84:Z84" si="131">S44</f>
        <v>650.64</v>
      </c>
      <c r="T84" s="8">
        <f t="shared" si="131"/>
        <v>1150.9500000000014</v>
      </c>
      <c r="U84" s="8">
        <f t="shared" si="131"/>
        <v>1138.2548760869565</v>
      </c>
      <c r="V84" s="8">
        <f t="shared" si="131"/>
        <v>1826.8982808516278</v>
      </c>
      <c r="W84" s="8">
        <f t="shared" si="131"/>
        <v>2327.302975694683</v>
      </c>
      <c r="X84" s="8">
        <f t="shared" si="131"/>
        <v>2949.8169278267055</v>
      </c>
      <c r="Y84" s="8">
        <f t="shared" si="131"/>
        <v>3723.660212988731</v>
      </c>
      <c r="Z84" s="8">
        <f t="shared" si="131"/>
        <v>4385.6696674495379</v>
      </c>
    </row>
    <row r="85" spans="2:26" x14ac:dyDescent="0.2">
      <c r="B85" s="8" t="s">
        <v>73</v>
      </c>
      <c r="G85" s="8">
        <v>424.3</v>
      </c>
      <c r="H85" s="8">
        <v>745</v>
      </c>
      <c r="I85" s="8">
        <v>853.7</v>
      </c>
      <c r="R85" s="8">
        <v>285.2</v>
      </c>
      <c r="S85" s="8">
        <v>640</v>
      </c>
      <c r="T85" s="8">
        <v>1152.7</v>
      </c>
      <c r="U85" s="8">
        <f>SUM(G85:I85,J84)</f>
        <v>2308.5548760869565</v>
      </c>
    </row>
    <row r="86" spans="2:26" x14ac:dyDescent="0.2">
      <c r="B86" s="8" t="s">
        <v>74</v>
      </c>
      <c r="G86" s="8">
        <v>14.1</v>
      </c>
      <c r="H86" s="8">
        <v>29</v>
      </c>
      <c r="I86" s="8">
        <v>39.700000000000003</v>
      </c>
      <c r="J86" s="8">
        <f>I86*(1+J49)</f>
        <v>51.782608695652179</v>
      </c>
      <c r="R86" s="8">
        <v>32.5</v>
      </c>
      <c r="S86" s="8">
        <v>35</v>
      </c>
      <c r="T86" s="8">
        <v>41</v>
      </c>
      <c r="U86" s="8">
        <f>SUM(G86:J86)</f>
        <v>134.5826086956522</v>
      </c>
      <c r="V86" s="8">
        <f>U86*(1+V48)</f>
        <v>212.03652056483577</v>
      </c>
      <c r="W86" s="8">
        <f t="shared" ref="W86:W92" si="132">V86*1.1</f>
        <v>233.24017262131937</v>
      </c>
      <c r="X86" s="8">
        <f t="shared" ref="X86:Z86" si="133">W86*1.1</f>
        <v>256.56418988345132</v>
      </c>
      <c r="Y86" s="8">
        <f t="shared" si="133"/>
        <v>282.22060887179646</v>
      </c>
      <c r="Z86" s="8">
        <f t="shared" si="133"/>
        <v>310.44266975897614</v>
      </c>
    </row>
    <row r="87" spans="2:26" x14ac:dyDescent="0.2">
      <c r="B87" s="8" t="s">
        <v>75</v>
      </c>
      <c r="G87" s="8">
        <v>64</v>
      </c>
      <c r="H87" s="8">
        <v>146</v>
      </c>
      <c r="I87" s="8">
        <v>230.84</v>
      </c>
      <c r="J87" s="8">
        <f>I87*(1+J49)</f>
        <v>301.09565217391304</v>
      </c>
      <c r="R87" s="8">
        <v>32.799999999999997</v>
      </c>
      <c r="S87" s="8">
        <v>54.4</v>
      </c>
      <c r="T87" s="8">
        <v>231.5</v>
      </c>
      <c r="U87" s="8">
        <f t="shared" ref="U87:U103" si="134">SUM(G87:J87)</f>
        <v>741.93565217391301</v>
      </c>
      <c r="V87" s="8">
        <f>U87*(1+V48)</f>
        <v>1168.928553953948</v>
      </c>
      <c r="W87" s="8">
        <f t="shared" si="132"/>
        <v>1285.821409349343</v>
      </c>
      <c r="X87" s="8">
        <f t="shared" ref="X87:Z87" si="135">W87*1.1</f>
        <v>1414.4035502842773</v>
      </c>
      <c r="Y87" s="8">
        <f t="shared" si="135"/>
        <v>1555.8439053127051</v>
      </c>
      <c r="Z87" s="8">
        <f t="shared" si="135"/>
        <v>1711.4282958439758</v>
      </c>
    </row>
    <row r="88" spans="2:26" x14ac:dyDescent="0.2">
      <c r="B88" s="8" t="s">
        <v>76</v>
      </c>
      <c r="G88" s="8">
        <v>0</v>
      </c>
      <c r="H88" s="8">
        <v>-2.5</v>
      </c>
      <c r="I88" s="8">
        <v>-2</v>
      </c>
      <c r="J88" s="8">
        <f>I88*(1+J49)</f>
        <v>-2.6086956521739131</v>
      </c>
      <c r="R88" s="8">
        <v>-1.2</v>
      </c>
      <c r="S88" s="8">
        <v>3.6</v>
      </c>
      <c r="T88" s="8">
        <v>-1.8</v>
      </c>
      <c r="U88" s="8">
        <f t="shared" si="134"/>
        <v>-7.1086956521739131</v>
      </c>
      <c r="V88" s="8">
        <f>U88*(1+V48)</f>
        <v>-11.199835598743505</v>
      </c>
      <c r="W88" s="8">
        <f t="shared" si="132"/>
        <v>-12.319819158617856</v>
      </c>
      <c r="X88" s="8">
        <f t="shared" ref="X88:Z88" si="136">W88*1.1</f>
        <v>-13.551801074479643</v>
      </c>
      <c r="Y88" s="8">
        <f t="shared" si="136"/>
        <v>-14.906981181927609</v>
      </c>
      <c r="Z88" s="8">
        <f t="shared" si="136"/>
        <v>-16.39767930012037</v>
      </c>
    </row>
    <row r="89" spans="2:26" x14ac:dyDescent="0.2">
      <c r="B89" s="8" t="s">
        <v>83</v>
      </c>
      <c r="G89" s="8">
        <v>1</v>
      </c>
      <c r="H89" s="8">
        <v>-0.3</v>
      </c>
      <c r="I89" s="8">
        <v>2.7</v>
      </c>
      <c r="J89" s="8">
        <f>I89*(1+J49)</f>
        <v>3.5217391304347827</v>
      </c>
      <c r="R89" s="8">
        <v>-13.7</v>
      </c>
      <c r="S89" s="8">
        <v>-2.6</v>
      </c>
      <c r="T89" s="8">
        <v>-0.5</v>
      </c>
      <c r="U89" s="8">
        <f t="shared" si="134"/>
        <v>6.9217391304347835</v>
      </c>
      <c r="V89" s="8">
        <f>U89*(1+V48)</f>
        <v>10.90528334752273</v>
      </c>
      <c r="W89" s="8">
        <f t="shared" si="132"/>
        <v>11.995811682275004</v>
      </c>
      <c r="X89" s="8">
        <f t="shared" ref="X89:Z89" si="137">W89*1.1</f>
        <v>13.195392850502506</v>
      </c>
      <c r="Y89" s="8">
        <f t="shared" si="137"/>
        <v>14.514932135552758</v>
      </c>
      <c r="Z89" s="8">
        <f t="shared" si="137"/>
        <v>15.966425349108036</v>
      </c>
    </row>
    <row r="90" spans="2:26" x14ac:dyDescent="0.2">
      <c r="B90" s="8" t="s">
        <v>54</v>
      </c>
      <c r="G90" s="8">
        <v>-46.5</v>
      </c>
      <c r="H90" s="8">
        <v>-76</v>
      </c>
      <c r="I90" s="8">
        <v>-134.4</v>
      </c>
      <c r="J90" s="8">
        <f>I90*(1+J49)</f>
        <v>-175.30434782608697</v>
      </c>
      <c r="R90" s="8">
        <v>-6.8</v>
      </c>
      <c r="S90" s="8">
        <v>-93</v>
      </c>
      <c r="T90" s="8">
        <v>-168.5</v>
      </c>
      <c r="U90" s="8">
        <f t="shared" si="134"/>
        <v>-432.20434782608697</v>
      </c>
      <c r="V90" s="8">
        <f>U90*(1+V48)</f>
        <v>-680.94315435125111</v>
      </c>
      <c r="W90" s="8">
        <f t="shared" si="132"/>
        <v>-749.03746978637628</v>
      </c>
      <c r="X90" s="8">
        <f t="shared" ref="X90:Z90" si="138">W90*1.1</f>
        <v>-823.94121676501402</v>
      </c>
      <c r="Y90" s="8">
        <f t="shared" si="138"/>
        <v>-906.33533844151555</v>
      </c>
      <c r="Z90" s="8">
        <f t="shared" si="138"/>
        <v>-996.9688722856672</v>
      </c>
    </row>
    <row r="91" spans="2:26" x14ac:dyDescent="0.2">
      <c r="B91" s="8" t="s">
        <v>77</v>
      </c>
      <c r="G91" s="8">
        <v>-3.3</v>
      </c>
      <c r="H91" s="8">
        <v>-4</v>
      </c>
      <c r="I91" s="8">
        <v>5.6</v>
      </c>
      <c r="J91" s="8">
        <f>I91*(1+J49)</f>
        <v>7.3043478260869561</v>
      </c>
      <c r="R91" s="8">
        <v>0.4</v>
      </c>
      <c r="S91" s="8">
        <v>-0.7</v>
      </c>
      <c r="T91" s="8">
        <v>12.3</v>
      </c>
      <c r="U91" s="8">
        <f t="shared" si="134"/>
        <v>5.6043478260869559</v>
      </c>
      <c r="V91" s="8">
        <f>U91*(1+V48)</f>
        <v>8.8297174842693433</v>
      </c>
      <c r="W91" s="8">
        <f t="shared" si="132"/>
        <v>9.7126892326962793</v>
      </c>
      <c r="X91" s="8">
        <f t="shared" ref="X91:Z91" si="139">W91*1.1</f>
        <v>10.683958155965907</v>
      </c>
      <c r="Y91" s="8">
        <f t="shared" si="139"/>
        <v>11.752353971562499</v>
      </c>
      <c r="Z91" s="8">
        <f t="shared" si="139"/>
        <v>12.927589368718751</v>
      </c>
    </row>
    <row r="92" spans="2:26" x14ac:dyDescent="0.2">
      <c r="B92" s="8" t="s">
        <v>50</v>
      </c>
      <c r="G92" s="8">
        <v>15.3</v>
      </c>
      <c r="H92" s="8">
        <v>-320</v>
      </c>
      <c r="I92" s="8">
        <v>94.8</v>
      </c>
      <c r="J92" s="8">
        <f>I92*(1+J49)</f>
        <v>123.65217391304347</v>
      </c>
      <c r="R92" s="8">
        <v>-372.4</v>
      </c>
      <c r="S92" s="8">
        <v>-311.89999999999998</v>
      </c>
      <c r="T92" s="8">
        <v>-1589</v>
      </c>
      <c r="U92" s="8">
        <f t="shared" si="134"/>
        <v>-86.247826086956508</v>
      </c>
      <c r="V92" s="8">
        <v>0</v>
      </c>
      <c r="W92" s="8">
        <f t="shared" si="132"/>
        <v>0</v>
      </c>
      <c r="X92" s="8">
        <f t="shared" ref="X92:Z92" si="140">W92*1.1</f>
        <v>0</v>
      </c>
      <c r="Y92" s="8">
        <f t="shared" si="140"/>
        <v>0</v>
      </c>
      <c r="Z92" s="8">
        <f t="shared" si="140"/>
        <v>0</v>
      </c>
    </row>
    <row r="93" spans="2:26" x14ac:dyDescent="0.2">
      <c r="B93" s="8" t="s">
        <v>51</v>
      </c>
      <c r="G93" s="8">
        <v>-600</v>
      </c>
      <c r="H93" s="8">
        <v>733.6</v>
      </c>
      <c r="I93" s="8">
        <v>457.9</v>
      </c>
      <c r="J93" s="8">
        <f>I93*(1+J49)</f>
        <v>597.26086956521738</v>
      </c>
      <c r="R93" s="8">
        <v>-504.6</v>
      </c>
      <c r="S93" s="8">
        <v>100</v>
      </c>
      <c r="T93" s="8">
        <v>-2900</v>
      </c>
      <c r="U93" s="8">
        <f t="shared" si="134"/>
        <v>1188.7608695652175</v>
      </c>
      <c r="V93" s="8">
        <v>0</v>
      </c>
      <c r="W93" s="8">
        <f t="shared" ref="W93:Z99" si="141">V93*1.1</f>
        <v>0</v>
      </c>
      <c r="X93" s="8">
        <f t="shared" si="141"/>
        <v>0</v>
      </c>
      <c r="Y93" s="8">
        <f t="shared" si="141"/>
        <v>0</v>
      </c>
      <c r="Z93" s="8">
        <f t="shared" si="141"/>
        <v>0</v>
      </c>
    </row>
    <row r="94" spans="2:26" x14ac:dyDescent="0.2">
      <c r="B94" s="8" t="s">
        <v>52</v>
      </c>
      <c r="G94" s="8">
        <v>87</v>
      </c>
      <c r="H94" s="8">
        <v>-400</v>
      </c>
      <c r="I94" s="8">
        <v>-284.3</v>
      </c>
      <c r="J94" s="8">
        <f>I94*(1+J49)</f>
        <v>-370.82608695652175</v>
      </c>
      <c r="R94" s="8">
        <v>-29</v>
      </c>
      <c r="S94" s="8">
        <v>8.3000000000000007</v>
      </c>
      <c r="T94" s="8">
        <v>-44.7</v>
      </c>
      <c r="U94" s="8">
        <f t="shared" si="134"/>
        <v>-968.1260869565217</v>
      </c>
      <c r="V94" s="8">
        <v>200</v>
      </c>
      <c r="W94" s="8">
        <f t="shared" si="141"/>
        <v>220.00000000000003</v>
      </c>
      <c r="X94" s="8">
        <f t="shared" si="141"/>
        <v>242.00000000000006</v>
      </c>
      <c r="Y94" s="8">
        <f t="shared" si="141"/>
        <v>266.2000000000001</v>
      </c>
      <c r="Z94" s="8">
        <f t="shared" si="141"/>
        <v>292.82000000000016</v>
      </c>
    </row>
    <row r="95" spans="2:26" x14ac:dyDescent="0.2">
      <c r="B95" s="8" t="s">
        <v>57</v>
      </c>
      <c r="G95" s="8">
        <v>220</v>
      </c>
      <c r="H95" s="8">
        <v>-907</v>
      </c>
      <c r="I95" s="8">
        <v>-811.7</v>
      </c>
      <c r="J95" s="8">
        <f>I95*(1+J49)</f>
        <v>-1058.7391304347827</v>
      </c>
      <c r="R95" s="8">
        <v>50.1</v>
      </c>
      <c r="S95" s="8">
        <v>127.1</v>
      </c>
      <c r="T95" s="8">
        <v>679.2</v>
      </c>
      <c r="U95" s="8">
        <f t="shared" si="134"/>
        <v>-2557.4391304347828</v>
      </c>
      <c r="V95" s="8">
        <v>0</v>
      </c>
      <c r="W95" s="8">
        <f t="shared" si="141"/>
        <v>0</v>
      </c>
      <c r="X95" s="8">
        <f t="shared" si="141"/>
        <v>0</v>
      </c>
      <c r="Y95" s="8">
        <f t="shared" si="141"/>
        <v>0</v>
      </c>
      <c r="Z95" s="8">
        <f t="shared" si="141"/>
        <v>0</v>
      </c>
    </row>
    <row r="96" spans="2:26" x14ac:dyDescent="0.2">
      <c r="B96" s="8" t="s">
        <v>78</v>
      </c>
      <c r="G96" s="8">
        <v>26</v>
      </c>
      <c r="H96" s="8">
        <v>-60</v>
      </c>
      <c r="I96" s="8">
        <v>52.7</v>
      </c>
      <c r="J96" s="8">
        <f>I96*(1+J49)</f>
        <v>68.739130434782609</v>
      </c>
      <c r="R96" s="8">
        <v>36</v>
      </c>
      <c r="S96" s="8">
        <v>-50.3</v>
      </c>
      <c r="T96" s="8">
        <v>93</v>
      </c>
      <c r="U96" s="8">
        <f t="shared" si="134"/>
        <v>87.439130434782612</v>
      </c>
      <c r="V96" s="8">
        <f>U96*(1+V48)</f>
        <v>137.76140289072211</v>
      </c>
      <c r="W96" s="8">
        <f t="shared" si="141"/>
        <v>151.53754317979434</v>
      </c>
      <c r="X96" s="8">
        <f t="shared" si="141"/>
        <v>166.69129749777377</v>
      </c>
      <c r="Y96" s="8">
        <f t="shared" si="141"/>
        <v>183.36042724755117</v>
      </c>
      <c r="Z96" s="8">
        <f t="shared" si="141"/>
        <v>201.69646997230632</v>
      </c>
    </row>
    <row r="97" spans="1:122" x14ac:dyDescent="0.2">
      <c r="B97" s="8" t="s">
        <v>59</v>
      </c>
      <c r="G97" s="8">
        <v>62</v>
      </c>
      <c r="H97" s="8">
        <v>97</v>
      </c>
      <c r="I97" s="8">
        <v>5.4</v>
      </c>
      <c r="J97" s="8">
        <f>I97*(1+J49)</f>
        <v>7.0434782608695654</v>
      </c>
      <c r="R97" s="8">
        <v>29</v>
      </c>
      <c r="S97" s="8">
        <v>87.4</v>
      </c>
      <c r="T97" s="8">
        <v>-111</v>
      </c>
      <c r="U97" s="8">
        <f t="shared" si="134"/>
        <v>171.44347826086957</v>
      </c>
      <c r="V97" s="8">
        <f>U97*(1+V48)</f>
        <v>270.11126442180665</v>
      </c>
      <c r="W97" s="8">
        <f t="shared" si="141"/>
        <v>297.12239086398733</v>
      </c>
      <c r="X97" s="8">
        <f t="shared" si="141"/>
        <v>326.8346299503861</v>
      </c>
      <c r="Y97" s="8">
        <f t="shared" si="141"/>
        <v>359.51809294542477</v>
      </c>
      <c r="Z97" s="8">
        <f t="shared" si="141"/>
        <v>395.46990223996727</v>
      </c>
    </row>
    <row r="98" spans="1:122" x14ac:dyDescent="0.2">
      <c r="B98" s="8" t="s">
        <v>61</v>
      </c>
      <c r="G98" s="8">
        <v>142</v>
      </c>
      <c r="H98" s="8">
        <v>183</v>
      </c>
      <c r="I98" s="8">
        <v>250</v>
      </c>
      <c r="J98" s="8">
        <f>I98*(1+J49)</f>
        <v>326.08695652173913</v>
      </c>
      <c r="R98" s="8">
        <v>31.6</v>
      </c>
      <c r="S98" s="8">
        <v>70.599999999999994</v>
      </c>
      <c r="T98" s="8">
        <v>112</v>
      </c>
      <c r="U98" s="8">
        <f t="shared" si="134"/>
        <v>901.08695652173913</v>
      </c>
      <c r="V98" s="8">
        <f>U98*(1+V48)</f>
        <v>1419.6733503606063</v>
      </c>
      <c r="W98" s="8">
        <f t="shared" si="141"/>
        <v>1561.6406853966671</v>
      </c>
      <c r="X98" s="8">
        <f t="shared" si="141"/>
        <v>1717.804753936334</v>
      </c>
      <c r="Y98" s="8">
        <f t="shared" si="141"/>
        <v>1889.5852293299677</v>
      </c>
      <c r="Z98" s="8">
        <f t="shared" si="141"/>
        <v>2078.5437522629645</v>
      </c>
    </row>
    <row r="99" spans="1:122" x14ac:dyDescent="0.2">
      <c r="B99" s="8" t="s">
        <v>67</v>
      </c>
      <c r="G99" s="8">
        <v>1.5</v>
      </c>
      <c r="H99" s="8">
        <v>4</v>
      </c>
      <c r="I99" s="8">
        <v>5.4</v>
      </c>
      <c r="J99" s="8">
        <f>I99*(1+J49)</f>
        <v>7.0434782608695654</v>
      </c>
      <c r="R99" s="8">
        <v>-10.5</v>
      </c>
      <c r="S99" s="8">
        <v>-4.4000000000000004</v>
      </c>
      <c r="T99" s="8">
        <v>8.0399999999999991</v>
      </c>
      <c r="U99" s="8">
        <f t="shared" si="134"/>
        <v>17.943478260869565</v>
      </c>
      <c r="V99" s="8">
        <f>U99*(1+V48)</f>
        <v>28.270166064840637</v>
      </c>
      <c r="W99" s="8">
        <f t="shared" si="141"/>
        <v>31.097182671324703</v>
      </c>
      <c r="X99" s="8">
        <f t="shared" si="141"/>
        <v>34.206900938457174</v>
      </c>
      <c r="Y99" s="8">
        <f t="shared" si="141"/>
        <v>37.627591032302895</v>
      </c>
      <c r="Z99" s="8">
        <f t="shared" si="141"/>
        <v>41.39035013553319</v>
      </c>
    </row>
    <row r="100" spans="1:122" s="2" customFormat="1" ht="15" x14ac:dyDescent="0.25">
      <c r="A100" s="8"/>
      <c r="B100" s="2" t="s">
        <v>16</v>
      </c>
      <c r="C100" s="2">
        <f>SUM(C85:C99)</f>
        <v>0</v>
      </c>
      <c r="D100" s="2">
        <f t="shared" ref="D100:H100" si="142">SUM(D85:D99)</f>
        <v>0</v>
      </c>
      <c r="E100" s="2">
        <f t="shared" si="142"/>
        <v>0</v>
      </c>
      <c r="F100" s="2">
        <f t="shared" si="142"/>
        <v>0</v>
      </c>
      <c r="G100" s="2">
        <f>SUM(G85:G99)</f>
        <v>407.40000000000003</v>
      </c>
      <c r="H100" s="2">
        <f t="shared" si="142"/>
        <v>167.80000000000018</v>
      </c>
      <c r="I100" s="2">
        <f>SUM(I85:I99)</f>
        <v>766.34</v>
      </c>
      <c r="J100" s="2">
        <f>SUM(J86:J99,J84)</f>
        <v>171.6070499999999</v>
      </c>
      <c r="K100" s="2">
        <f t="shared" ref="K100:N100" si="143">SUM(K86:K99,K84)</f>
        <v>380.83050510489136</v>
      </c>
      <c r="L100" s="2">
        <f t="shared" si="143"/>
        <v>400.6813246971526</v>
      </c>
      <c r="M100" s="2">
        <f t="shared" si="143"/>
        <v>421.27158167617142</v>
      </c>
      <c r="N100" s="2">
        <f t="shared" si="143"/>
        <v>662.69740799517285</v>
      </c>
      <c r="R100" s="2">
        <f>SUM(R85:R99)</f>
        <v>-440.59999999999991</v>
      </c>
      <c r="S100" s="2">
        <f>SUM(S85:S99)</f>
        <v>663.5</v>
      </c>
      <c r="T100" s="2">
        <f>SUM(T85:T99)</f>
        <v>-2485.7600000000002</v>
      </c>
      <c r="U100" s="2">
        <f>SUM(U85:U99)</f>
        <v>1513.14705</v>
      </c>
      <c r="V100" s="2">
        <f t="shared" ref="U100:Z100" si="144">SUM(V86:V99,V84)</f>
        <v>4591.2715499901851</v>
      </c>
      <c r="W100" s="2">
        <f t="shared" si="144"/>
        <v>5368.113571747097</v>
      </c>
      <c r="X100" s="2">
        <f t="shared" si="144"/>
        <v>6294.7085834843601</v>
      </c>
      <c r="Y100" s="2">
        <f t="shared" si="144"/>
        <v>7403.0410342121504</v>
      </c>
      <c r="Z100" s="2">
        <f t="shared" si="144"/>
        <v>8432.9885707952999</v>
      </c>
    </row>
    <row r="101" spans="1:122" x14ac:dyDescent="0.2">
      <c r="B101" s="8" t="s">
        <v>79</v>
      </c>
      <c r="G101" s="23">
        <v>-44.3</v>
      </c>
      <c r="H101" s="23">
        <v>-71.8</v>
      </c>
      <c r="I101" s="8">
        <v>-104.5</v>
      </c>
      <c r="R101" s="8">
        <v>-45.2</v>
      </c>
      <c r="S101" s="8">
        <v>-36.799999999999997</v>
      </c>
      <c r="T101" s="8">
        <v>-124.3</v>
      </c>
      <c r="U101" s="8">
        <f t="shared" si="134"/>
        <v>-220.6</v>
      </c>
      <c r="V101" s="8">
        <f t="shared" ref="V101:Z101" si="145">U101*(1+V48)</f>
        <v>-347.55795633580914</v>
      </c>
      <c r="W101" s="8">
        <f t="shared" si="145"/>
        <v>-407.13932027909073</v>
      </c>
      <c r="X101" s="8">
        <f t="shared" si="145"/>
        <v>-478.63695701102858</v>
      </c>
      <c r="Y101" s="8">
        <f t="shared" si="145"/>
        <v>-564.43412108935411</v>
      </c>
      <c r="Z101" s="8">
        <f t="shared" si="145"/>
        <v>-617.73958136394333</v>
      </c>
    </row>
    <row r="102" spans="1:122" x14ac:dyDescent="0.2">
      <c r="B102" s="8" t="s">
        <v>80</v>
      </c>
      <c r="I102" s="8">
        <v>0</v>
      </c>
      <c r="R102" s="8">
        <v>-1.1000000000000001</v>
      </c>
      <c r="S102" s="8">
        <v>-0.5</v>
      </c>
      <c r="T102" s="8">
        <v>-69.7</v>
      </c>
      <c r="U102" s="8">
        <f t="shared" si="134"/>
        <v>0</v>
      </c>
    </row>
    <row r="103" spans="1:122" x14ac:dyDescent="0.2">
      <c r="B103" s="8" t="s">
        <v>81</v>
      </c>
      <c r="I103" s="8">
        <v>0</v>
      </c>
      <c r="R103" s="8">
        <v>0</v>
      </c>
      <c r="S103" s="8">
        <v>-2.2000000000000002</v>
      </c>
      <c r="T103" s="8">
        <v>-0.3</v>
      </c>
      <c r="U103" s="8">
        <f t="shared" si="134"/>
        <v>0</v>
      </c>
    </row>
    <row r="104" spans="1:122" s="2" customFormat="1" ht="15" x14ac:dyDescent="0.25">
      <c r="A104" s="8"/>
      <c r="B104" s="2" t="s">
        <v>82</v>
      </c>
      <c r="C104" s="2">
        <v>-2.63</v>
      </c>
      <c r="D104" s="2">
        <v>-17.350000000000001</v>
      </c>
      <c r="E104" s="2">
        <f t="shared" ref="D104:N104" si="146">E101</f>
        <v>0</v>
      </c>
      <c r="F104" s="2">
        <f t="shared" si="146"/>
        <v>0</v>
      </c>
      <c r="G104" s="2">
        <f t="shared" si="146"/>
        <v>-44.3</v>
      </c>
      <c r="H104" s="2">
        <f t="shared" si="146"/>
        <v>-71.8</v>
      </c>
      <c r="I104" s="2">
        <f t="shared" si="146"/>
        <v>-104.5</v>
      </c>
      <c r="J104" s="2">
        <v>-50</v>
      </c>
      <c r="K104" s="2">
        <f t="shared" si="146"/>
        <v>0</v>
      </c>
      <c r="L104" s="2">
        <f t="shared" si="146"/>
        <v>0</v>
      </c>
      <c r="M104" s="2">
        <f t="shared" si="146"/>
        <v>0</v>
      </c>
      <c r="N104" s="2">
        <f t="shared" si="146"/>
        <v>0</v>
      </c>
      <c r="R104" s="2">
        <f>R101</f>
        <v>-45.2</v>
      </c>
      <c r="S104" s="2">
        <f t="shared" ref="S104:Z104" si="147">S101</f>
        <v>-36.799999999999997</v>
      </c>
      <c r="T104" s="2">
        <f t="shared" si="147"/>
        <v>-124.3</v>
      </c>
      <c r="U104" s="2">
        <f t="shared" si="147"/>
        <v>-220.6</v>
      </c>
      <c r="V104" s="2">
        <f t="shared" si="147"/>
        <v>-347.55795633580914</v>
      </c>
      <c r="W104" s="2">
        <f t="shared" si="147"/>
        <v>-407.13932027909073</v>
      </c>
      <c r="X104" s="2">
        <f t="shared" si="147"/>
        <v>-478.63695701102858</v>
      </c>
      <c r="Y104" s="2">
        <f t="shared" si="147"/>
        <v>-564.43412108935411</v>
      </c>
      <c r="Z104" s="2">
        <f t="shared" si="147"/>
        <v>-617.73958136394333</v>
      </c>
    </row>
    <row r="105" spans="1:122" s="2" customFormat="1" ht="15" x14ac:dyDescent="0.25">
      <c r="A105" s="8"/>
      <c r="B105" s="2" t="s">
        <v>15</v>
      </c>
      <c r="C105" s="2">
        <f>C100+C104</f>
        <v>-2.63</v>
      </c>
      <c r="D105" s="2">
        <f t="shared" ref="D105:N105" si="148">D100+D104</f>
        <v>-17.350000000000001</v>
      </c>
      <c r="E105" s="2">
        <f t="shared" si="148"/>
        <v>0</v>
      </c>
      <c r="F105" s="2">
        <f t="shared" si="148"/>
        <v>0</v>
      </c>
      <c r="G105" s="2">
        <f t="shared" si="148"/>
        <v>363.1</v>
      </c>
      <c r="H105" s="2">
        <f t="shared" si="148"/>
        <v>96.000000000000185</v>
      </c>
      <c r="I105" s="2">
        <f t="shared" si="148"/>
        <v>661.84</v>
      </c>
      <c r="J105" s="2">
        <f t="shared" si="148"/>
        <v>121.6070499999999</v>
      </c>
      <c r="K105" s="2">
        <f t="shared" si="148"/>
        <v>380.83050510489136</v>
      </c>
      <c r="L105" s="2">
        <f t="shared" si="148"/>
        <v>400.6813246971526</v>
      </c>
      <c r="M105" s="2">
        <f t="shared" si="148"/>
        <v>421.27158167617142</v>
      </c>
      <c r="N105" s="2">
        <f t="shared" si="148"/>
        <v>662.69740799517285</v>
      </c>
      <c r="R105" s="2">
        <f>R100+R104</f>
        <v>-485.7999999999999</v>
      </c>
      <c r="S105" s="2">
        <f t="shared" ref="S105:T105" si="149">S100+S104</f>
        <v>626.70000000000005</v>
      </c>
      <c r="T105" s="2">
        <f t="shared" si="149"/>
        <v>-2610.0600000000004</v>
      </c>
      <c r="U105" s="2">
        <f t="shared" ref="U105" si="150">U100+U104</f>
        <v>1292.5470500000001</v>
      </c>
      <c r="V105" s="2">
        <f t="shared" ref="V105" si="151">V100+V104</f>
        <v>4243.7135936543764</v>
      </c>
      <c r="W105" s="2">
        <f t="shared" ref="W105" si="152">W100+W104</f>
        <v>4960.9742514680065</v>
      </c>
      <c r="X105" s="2">
        <f t="shared" ref="X105" si="153">X100+X104</f>
        <v>5816.0716264733319</v>
      </c>
      <c r="Y105" s="2">
        <f t="shared" ref="Y105" si="154">Y100+Y104</f>
        <v>6838.606913122796</v>
      </c>
      <c r="Z105" s="2">
        <f t="shared" ref="Z105" si="155">Z100+Z104</f>
        <v>7815.2489894313567</v>
      </c>
      <c r="AA105" s="2">
        <f t="shared" ref="AA105:BF105" si="156">Z105*(1+$AC$49)</f>
        <v>7893.4014793256702</v>
      </c>
      <c r="AB105" s="2">
        <f t="shared" si="156"/>
        <v>7972.3354941189273</v>
      </c>
      <c r="AC105" s="2">
        <f t="shared" si="156"/>
        <v>8052.0588490601167</v>
      </c>
      <c r="AD105" s="2">
        <f t="shared" si="156"/>
        <v>8132.5794375507176</v>
      </c>
      <c r="AE105" s="2">
        <f t="shared" si="156"/>
        <v>8213.9052319262246</v>
      </c>
      <c r="AF105" s="2">
        <f t="shared" si="156"/>
        <v>8296.0442842454868</v>
      </c>
      <c r="AG105" s="2">
        <f t="shared" si="156"/>
        <v>8379.0047270879422</v>
      </c>
      <c r="AH105" s="2">
        <f t="shared" si="156"/>
        <v>8462.7947743588211</v>
      </c>
      <c r="AI105" s="2">
        <f t="shared" si="156"/>
        <v>8547.4227221024103</v>
      </c>
      <c r="AJ105" s="2">
        <f t="shared" si="156"/>
        <v>8632.8969493234345</v>
      </c>
      <c r="AK105" s="2">
        <f t="shared" si="156"/>
        <v>8719.2259188166681</v>
      </c>
      <c r="AL105" s="2">
        <f t="shared" si="156"/>
        <v>8806.4181780048348</v>
      </c>
      <c r="AM105" s="2">
        <f t="shared" si="156"/>
        <v>8894.4823597848826</v>
      </c>
      <c r="AN105" s="2">
        <f t="shared" si="156"/>
        <v>8983.4271833827315</v>
      </c>
      <c r="AO105" s="2">
        <f t="shared" si="156"/>
        <v>9073.2614552165596</v>
      </c>
      <c r="AP105" s="2">
        <f t="shared" si="156"/>
        <v>9163.9940697687252</v>
      </c>
      <c r="AQ105" s="2">
        <f t="shared" si="156"/>
        <v>9255.6340104664123</v>
      </c>
      <c r="AR105" s="2">
        <f t="shared" si="156"/>
        <v>9348.1903505710761</v>
      </c>
      <c r="AS105" s="2">
        <f t="shared" si="156"/>
        <v>9441.6722540767878</v>
      </c>
      <c r="AT105" s="2">
        <f t="shared" si="156"/>
        <v>9536.0889766175551</v>
      </c>
      <c r="AU105" s="2">
        <f t="shared" si="156"/>
        <v>9631.4498663837312</v>
      </c>
      <c r="AV105" s="2">
        <f t="shared" si="156"/>
        <v>9727.7643650475693</v>
      </c>
      <c r="AW105" s="2">
        <f t="shared" si="156"/>
        <v>9825.0420086980448</v>
      </c>
      <c r="AX105" s="2">
        <f t="shared" si="156"/>
        <v>9923.2924287850255</v>
      </c>
      <c r="AY105" s="2">
        <f t="shared" si="156"/>
        <v>10022.525353072875</v>
      </c>
      <c r="AZ105" s="2">
        <f t="shared" si="156"/>
        <v>10122.750606603604</v>
      </c>
      <c r="BA105" s="2">
        <f t="shared" si="156"/>
        <v>10223.97811266964</v>
      </c>
      <c r="BB105" s="2">
        <f t="shared" si="156"/>
        <v>10326.217893796336</v>
      </c>
      <c r="BC105" s="2">
        <f t="shared" si="156"/>
        <v>10429.480072734299</v>
      </c>
      <c r="BD105" s="2">
        <f t="shared" si="156"/>
        <v>10533.774873461642</v>
      </c>
      <c r="BE105" s="2">
        <f t="shared" si="156"/>
        <v>10639.112622196259</v>
      </c>
      <c r="BF105" s="2">
        <f t="shared" si="156"/>
        <v>10745.503748418221</v>
      </c>
      <c r="BG105" s="2">
        <f t="shared" ref="BG105:CL105" si="157">BF105*(1+$AC$49)</f>
        <v>10852.958785902403</v>
      </c>
      <c r="BH105" s="2">
        <f t="shared" si="157"/>
        <v>10961.488373761427</v>
      </c>
      <c r="BI105" s="2">
        <f t="shared" si="157"/>
        <v>11071.103257499042</v>
      </c>
      <c r="BJ105" s="2">
        <f t="shared" si="157"/>
        <v>11181.814290074033</v>
      </c>
      <c r="BK105" s="2">
        <f t="shared" si="157"/>
        <v>11293.632432974773</v>
      </c>
      <c r="BL105" s="2">
        <f t="shared" si="157"/>
        <v>11406.568757304522</v>
      </c>
      <c r="BM105" s="2">
        <f t="shared" si="157"/>
        <v>11520.634444877567</v>
      </c>
      <c r="BN105" s="2">
        <f t="shared" si="157"/>
        <v>11635.840789326343</v>
      </c>
      <c r="BO105" s="2">
        <f t="shared" si="157"/>
        <v>11752.199197219607</v>
      </c>
      <c r="BP105" s="2">
        <f t="shared" si="157"/>
        <v>11869.721189191803</v>
      </c>
      <c r="BQ105" s="2">
        <f t="shared" si="157"/>
        <v>11988.418401083722</v>
      </c>
      <c r="BR105" s="2">
        <f t="shared" si="157"/>
        <v>12108.30258509456</v>
      </c>
      <c r="BS105" s="2">
        <f t="shared" si="157"/>
        <v>12229.385610945505</v>
      </c>
      <c r="BT105" s="2">
        <f t="shared" si="157"/>
        <v>12351.679467054959</v>
      </c>
      <c r="BU105" s="2">
        <f t="shared" si="157"/>
        <v>12475.196261725509</v>
      </c>
      <c r="BV105" s="2">
        <f t="shared" si="157"/>
        <v>12599.948224342763</v>
      </c>
      <c r="BW105" s="2">
        <f t="shared" si="157"/>
        <v>12725.94770658619</v>
      </c>
      <c r="BX105" s="2">
        <f t="shared" si="157"/>
        <v>12853.207183652052</v>
      </c>
      <c r="BY105" s="2">
        <f t="shared" si="157"/>
        <v>12981.739255488572</v>
      </c>
      <c r="BZ105" s="2">
        <f t="shared" si="157"/>
        <v>13111.556648043457</v>
      </c>
      <c r="CA105" s="2">
        <f t="shared" si="157"/>
        <v>13242.672214523893</v>
      </c>
      <c r="CB105" s="2">
        <f t="shared" si="157"/>
        <v>13375.098936669132</v>
      </c>
      <c r="CC105" s="2">
        <f t="shared" si="157"/>
        <v>13508.849926035824</v>
      </c>
      <c r="CD105" s="2">
        <f t="shared" si="157"/>
        <v>13643.938425296183</v>
      </c>
      <c r="CE105" s="2">
        <f t="shared" si="157"/>
        <v>13780.377809549145</v>
      </c>
      <c r="CF105" s="2">
        <f t="shared" si="157"/>
        <v>13918.181587644636</v>
      </c>
      <c r="CG105" s="2">
        <f t="shared" si="157"/>
        <v>14057.363403521083</v>
      </c>
      <c r="CH105" s="2">
        <f t="shared" si="157"/>
        <v>14197.937037556294</v>
      </c>
      <c r="CI105" s="2">
        <f t="shared" si="157"/>
        <v>14339.916407931856</v>
      </c>
      <c r="CJ105" s="2">
        <f t="shared" si="157"/>
        <v>14483.315572011175</v>
      </c>
      <c r="CK105" s="2">
        <f t="shared" si="157"/>
        <v>14628.148727731288</v>
      </c>
      <c r="CL105" s="2">
        <f t="shared" si="157"/>
        <v>14774.4302150086</v>
      </c>
      <c r="CM105" s="2">
        <f t="shared" ref="CM105:DR105" si="158">CL105*(1+$AC$49)</f>
        <v>14922.174517158686</v>
      </c>
      <c r="CN105" s="2">
        <f t="shared" si="158"/>
        <v>15071.396262330274</v>
      </c>
      <c r="CO105" s="2">
        <f t="shared" si="158"/>
        <v>15222.110224953576</v>
      </c>
      <c r="CP105" s="2">
        <f t="shared" si="158"/>
        <v>15374.331327203112</v>
      </c>
      <c r="CQ105" s="2">
        <f t="shared" si="158"/>
        <v>15528.074640475143</v>
      </c>
      <c r="CR105" s="2">
        <f t="shared" si="158"/>
        <v>15683.355386879894</v>
      </c>
      <c r="CS105" s="2">
        <f t="shared" si="158"/>
        <v>15840.188940748692</v>
      </c>
      <c r="CT105" s="2">
        <f t="shared" si="158"/>
        <v>15998.590830156179</v>
      </c>
      <c r="CU105" s="2">
        <f t="shared" si="158"/>
        <v>16158.576738457741</v>
      </c>
      <c r="CV105" s="2">
        <f t="shared" si="158"/>
        <v>16320.162505842318</v>
      </c>
      <c r="CW105" s="2">
        <f t="shared" si="158"/>
        <v>16483.36413090074</v>
      </c>
      <c r="CX105" s="2">
        <f t="shared" si="158"/>
        <v>16648.197772209747</v>
      </c>
      <c r="CY105" s="2">
        <f t="shared" si="158"/>
        <v>16814.679749931845</v>
      </c>
      <c r="CZ105" s="2">
        <f t="shared" si="158"/>
        <v>16982.826547431163</v>
      </c>
      <c r="DA105" s="2">
        <f t="shared" si="158"/>
        <v>17152.654812905475</v>
      </c>
      <c r="DB105" s="2">
        <f t="shared" si="158"/>
        <v>17324.181361034531</v>
      </c>
      <c r="DC105" s="2">
        <f t="shared" si="158"/>
        <v>17497.423174644875</v>
      </c>
      <c r="DD105" s="2">
        <f t="shared" si="158"/>
        <v>17672.397406391323</v>
      </c>
      <c r="DE105" s="2">
        <f t="shared" si="158"/>
        <v>17849.121380455235</v>
      </c>
      <c r="DF105" s="2">
        <f t="shared" si="158"/>
        <v>18027.612594259786</v>
      </c>
      <c r="DG105" s="2">
        <f t="shared" si="158"/>
        <v>18207.888720202383</v>
      </c>
      <c r="DH105" s="2">
        <f t="shared" si="158"/>
        <v>18389.967607404407</v>
      </c>
      <c r="DI105" s="2">
        <f t="shared" si="158"/>
        <v>18573.867283478452</v>
      </c>
      <c r="DJ105" s="2">
        <f t="shared" si="158"/>
        <v>18759.605956313237</v>
      </c>
      <c r="DK105" s="2">
        <f t="shared" si="158"/>
        <v>18947.20201587637</v>
      </c>
      <c r="DL105" s="2">
        <f t="shared" si="158"/>
        <v>19136.674036035132</v>
      </c>
      <c r="DM105" s="2">
        <f t="shared" si="158"/>
        <v>19328.040776395483</v>
      </c>
      <c r="DN105" s="2">
        <f t="shared" si="158"/>
        <v>19521.321184159438</v>
      </c>
      <c r="DO105" s="2">
        <f t="shared" si="158"/>
        <v>19716.534396001032</v>
      </c>
      <c r="DP105" s="2">
        <f t="shared" si="158"/>
        <v>19913.699739961045</v>
      </c>
      <c r="DQ105" s="2">
        <f t="shared" si="158"/>
        <v>20112.836737360656</v>
      </c>
      <c r="DR105" s="2">
        <f t="shared" si="158"/>
        <v>20313.965104734263</v>
      </c>
    </row>
  </sheetData>
  <hyperlinks>
    <hyperlink ref="A1" location="main!A1" display="Main" xr:uid="{59AA8257-1596-43FF-803F-69279BD13128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2025-02-12T01:52:33Z</dcterms:created>
  <dcterms:modified xsi:type="dcterms:W3CDTF">2025-05-15T18:31:07Z</dcterms:modified>
</cp:coreProperties>
</file>