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6D630466-4DFE-4CDB-B395-CE742A5BA1BF}" xr6:coauthVersionLast="47" xr6:coauthVersionMax="47" xr10:uidLastSave="{00000000-0000-0000-0000-000000000000}"/>
  <bookViews>
    <workbookView xWindow="14295" yWindow="0" windowWidth="14610" windowHeight="15585" activeTab="1" xr2:uid="{B5255683-9904-4B96-B116-504FB2085B5B}"/>
  </bookViews>
  <sheets>
    <sheet name="Main" sheetId="1" r:id="rId1"/>
    <sheet name="Model" sheetId="2" r:id="rId2"/>
    <sheet name="Literat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2" l="1"/>
  <c r="T9" i="2" s="1"/>
  <c r="U9" i="2" s="1"/>
  <c r="V9" i="2" s="1"/>
  <c r="W9" i="2" s="1"/>
  <c r="R16" i="2"/>
  <c r="S16" i="2" s="1"/>
  <c r="T16" i="2" s="1"/>
  <c r="U16" i="2" s="1"/>
  <c r="V16" i="2" s="1"/>
  <c r="W16" i="2" s="1"/>
  <c r="R17" i="2"/>
  <c r="S17" i="2" s="1"/>
  <c r="T17" i="2" s="1"/>
  <c r="U17" i="2" s="1"/>
  <c r="V17" i="2" s="1"/>
  <c r="W17" i="2" s="1"/>
  <c r="R70" i="2"/>
  <c r="S70" i="2" s="1"/>
  <c r="T70" i="2" s="1"/>
  <c r="U70" i="2" s="1"/>
  <c r="V70" i="2" s="1"/>
  <c r="W70" i="2" s="1"/>
  <c r="M29" i="2"/>
  <c r="N29" i="2"/>
  <c r="O29" i="2"/>
  <c r="L18" i="2"/>
  <c r="L19" i="2" s="1"/>
  <c r="L21" i="2" s="1"/>
  <c r="L23" i="2" s="1"/>
  <c r="L25" i="2" s="1"/>
  <c r="M18" i="2"/>
  <c r="M19" i="2" s="1"/>
  <c r="M21" i="2" s="1"/>
  <c r="M23" i="2" s="1"/>
  <c r="M25" i="2" s="1"/>
  <c r="N18" i="2"/>
  <c r="N19" i="2" s="1"/>
  <c r="N21" i="2" s="1"/>
  <c r="N23" i="2" s="1"/>
  <c r="N25" i="2" s="1"/>
  <c r="L13" i="2"/>
  <c r="M13" i="2"/>
  <c r="N13" i="2"/>
  <c r="L9" i="2"/>
  <c r="M9" i="2"/>
  <c r="M27" i="2" s="1"/>
  <c r="N9" i="2"/>
  <c r="N27" i="2" s="1"/>
  <c r="I17" i="2"/>
  <c r="J17" i="2" s="1"/>
  <c r="I16" i="2"/>
  <c r="J16" i="2" s="1"/>
  <c r="I15" i="2"/>
  <c r="J15" i="2" s="1"/>
  <c r="I24" i="2"/>
  <c r="J24" i="2" s="1"/>
  <c r="D18" i="2"/>
  <c r="E18" i="2"/>
  <c r="F18" i="2"/>
  <c r="G18" i="2"/>
  <c r="H18" i="2"/>
  <c r="C18" i="2"/>
  <c r="H36" i="2"/>
  <c r="H35" i="2"/>
  <c r="C34" i="2"/>
  <c r="D34" i="2"/>
  <c r="E34" i="2"/>
  <c r="F34" i="2"/>
  <c r="E13" i="2"/>
  <c r="F13" i="2"/>
  <c r="G13" i="2"/>
  <c r="G14" i="2" s="1"/>
  <c r="G31" i="2" s="1"/>
  <c r="H13" i="2"/>
  <c r="C13" i="2"/>
  <c r="D13" i="2"/>
  <c r="H9" i="2"/>
  <c r="H28" i="2" s="1"/>
  <c r="F9" i="2"/>
  <c r="E9" i="2"/>
  <c r="C9" i="2"/>
  <c r="G27" i="2" s="1"/>
  <c r="D9" i="2"/>
  <c r="K6" i="1"/>
  <c r="K5" i="1"/>
  <c r="P9" i="2"/>
  <c r="Q9" i="2" s="1"/>
  <c r="Q29" i="2"/>
  <c r="P29" i="2"/>
  <c r="P82" i="2"/>
  <c r="Q82" i="2"/>
  <c r="O82" i="2"/>
  <c r="P90" i="2"/>
  <c r="Q90" i="2"/>
  <c r="O90" i="2"/>
  <c r="Q61" i="2"/>
  <c r="P61" i="2"/>
  <c r="P36" i="2"/>
  <c r="Q35" i="2"/>
  <c r="P35" i="2"/>
  <c r="Q48" i="2"/>
  <c r="P48" i="2"/>
  <c r="Q36" i="2"/>
  <c r="Q20" i="2"/>
  <c r="P20" i="2"/>
  <c r="O20" i="2"/>
  <c r="P18" i="2"/>
  <c r="Q18" i="2"/>
  <c r="O18" i="2"/>
  <c r="P13" i="2"/>
  <c r="Q13" i="2"/>
  <c r="O13" i="2"/>
  <c r="O9" i="2"/>
  <c r="O27" i="2" s="1"/>
  <c r="M34" i="2"/>
  <c r="N34" i="2"/>
  <c r="O34" i="2"/>
  <c r="G36" i="2"/>
  <c r="G35" i="2"/>
  <c r="N2" i="2"/>
  <c r="O2" i="2" s="1"/>
  <c r="P2" i="2" s="1"/>
  <c r="Q2" i="2" s="1"/>
  <c r="R2" i="2" s="1"/>
  <c r="S2" i="2" s="1"/>
  <c r="T2" i="2" s="1"/>
  <c r="U2" i="2" s="1"/>
  <c r="V2" i="2" s="1"/>
  <c r="W2" i="2" s="1"/>
  <c r="K4" i="1"/>
  <c r="K7" i="1" s="1"/>
  <c r="F28" i="2" l="1"/>
  <c r="C14" i="2"/>
  <c r="C31" i="2" s="1"/>
  <c r="G28" i="2"/>
  <c r="J9" i="2"/>
  <c r="J27" i="2" s="1"/>
  <c r="H27" i="2"/>
  <c r="H34" i="2"/>
  <c r="I20" i="2" s="1"/>
  <c r="I18" i="2"/>
  <c r="J18" i="2"/>
  <c r="J28" i="2"/>
  <c r="I28" i="2"/>
  <c r="C19" i="2"/>
  <c r="C21" i="2" s="1"/>
  <c r="C23" i="2" s="1"/>
  <c r="C25" i="2" s="1"/>
  <c r="I13" i="2"/>
  <c r="I14" i="2" s="1"/>
  <c r="I19" i="2" s="1"/>
  <c r="G19" i="2"/>
  <c r="E28" i="2"/>
  <c r="H14" i="2"/>
  <c r="F14" i="2"/>
  <c r="D28" i="2"/>
  <c r="E14" i="2"/>
  <c r="D14" i="2"/>
  <c r="I27" i="2"/>
  <c r="R29" i="2"/>
  <c r="P34" i="2"/>
  <c r="W27" i="2"/>
  <c r="W13" i="2"/>
  <c r="W14" i="2" s="1"/>
  <c r="P91" i="2"/>
  <c r="Q91" i="2"/>
  <c r="Q62" i="2"/>
  <c r="Q63" i="2" s="1"/>
  <c r="P62" i="2"/>
  <c r="P63" i="2" s="1"/>
  <c r="O91" i="2"/>
  <c r="Q65" i="2"/>
  <c r="P65" i="2"/>
  <c r="O14" i="2"/>
  <c r="O31" i="2" s="1"/>
  <c r="G34" i="2"/>
  <c r="Q27" i="2"/>
  <c r="Q34" i="2"/>
  <c r="P27" i="2"/>
  <c r="R27" i="2"/>
  <c r="R13" i="2"/>
  <c r="R14" i="2" s="1"/>
  <c r="S27" i="2"/>
  <c r="S13" i="2"/>
  <c r="S14" i="2" s="1"/>
  <c r="Q14" i="2"/>
  <c r="Q31" i="2" s="1"/>
  <c r="P14" i="2"/>
  <c r="P31" i="2" s="1"/>
  <c r="J13" i="2" l="1"/>
  <c r="J14" i="2" s="1"/>
  <c r="J19" i="2" s="1"/>
  <c r="J32" i="2" s="1"/>
  <c r="E31" i="2"/>
  <c r="E19" i="2"/>
  <c r="D31" i="2"/>
  <c r="D19" i="2"/>
  <c r="C32" i="2"/>
  <c r="F31" i="2"/>
  <c r="F19" i="2"/>
  <c r="G32" i="2"/>
  <c r="G21" i="2"/>
  <c r="G23" i="2" s="1"/>
  <c r="G25" i="2" s="1"/>
  <c r="K8" i="1" s="1"/>
  <c r="H31" i="2"/>
  <c r="H19" i="2"/>
  <c r="I32" i="2"/>
  <c r="I21" i="2"/>
  <c r="I22" i="2" s="1"/>
  <c r="I23" i="2" s="1"/>
  <c r="I34" i="2" s="1"/>
  <c r="O19" i="2"/>
  <c r="O21" i="2" s="1"/>
  <c r="R15" i="2"/>
  <c r="S15" i="2" s="1"/>
  <c r="S76" i="2"/>
  <c r="R72" i="2"/>
  <c r="S72" i="2" s="1"/>
  <c r="R74" i="2"/>
  <c r="S74" i="2" s="1"/>
  <c r="R73" i="2"/>
  <c r="S73" i="2" s="1"/>
  <c r="R69" i="2"/>
  <c r="S69" i="2" s="1"/>
  <c r="S81" i="2"/>
  <c r="R80" i="2"/>
  <c r="S80" i="2" s="1"/>
  <c r="R79" i="2"/>
  <c r="S79" i="2" s="1"/>
  <c r="R78" i="2"/>
  <c r="S78" i="2" s="1"/>
  <c r="R77" i="2"/>
  <c r="S77" i="2" s="1"/>
  <c r="R75" i="2"/>
  <c r="S75" i="2" s="1"/>
  <c r="R71" i="2"/>
  <c r="S71" i="2" s="1"/>
  <c r="S90" i="2"/>
  <c r="S29" i="2"/>
  <c r="P19" i="2"/>
  <c r="Q19" i="2"/>
  <c r="R18" i="2" l="1"/>
  <c r="H32" i="2"/>
  <c r="H21" i="2"/>
  <c r="H23" i="2" s="1"/>
  <c r="H25" i="2" s="1"/>
  <c r="F21" i="2"/>
  <c r="F23" i="2" s="1"/>
  <c r="F25" i="2" s="1"/>
  <c r="F32" i="2"/>
  <c r="D21" i="2"/>
  <c r="D23" i="2" s="1"/>
  <c r="D25" i="2" s="1"/>
  <c r="D32" i="2"/>
  <c r="E21" i="2"/>
  <c r="E23" i="2" s="1"/>
  <c r="E25" i="2" s="1"/>
  <c r="E32" i="2"/>
  <c r="I25" i="2"/>
  <c r="J20" i="2"/>
  <c r="O32" i="2"/>
  <c r="R19" i="2"/>
  <c r="P21" i="2"/>
  <c r="P23" i="2" s="1"/>
  <c r="P32" i="2"/>
  <c r="O23" i="2"/>
  <c r="Q21" i="2"/>
  <c r="Q32" i="2"/>
  <c r="S18" i="2"/>
  <c r="T13" i="2"/>
  <c r="T14" i="2" s="1"/>
  <c r="T27" i="2"/>
  <c r="T69" i="2" s="1"/>
  <c r="J21" i="2" l="1"/>
  <c r="R20" i="2"/>
  <c r="J22" i="2"/>
  <c r="J23" i="2" s="1"/>
  <c r="Q23" i="2"/>
  <c r="Q25" i="2" s="1"/>
  <c r="Q67" i="2"/>
  <c r="O25" i="2"/>
  <c r="O67" i="2"/>
  <c r="P25" i="2"/>
  <c r="P67" i="2"/>
  <c r="R21" i="2"/>
  <c r="R22" i="2" s="1"/>
  <c r="R32" i="2"/>
  <c r="T77" i="2"/>
  <c r="T90" i="2"/>
  <c r="T72" i="2"/>
  <c r="T74" i="2"/>
  <c r="T75" i="2"/>
  <c r="T80" i="2"/>
  <c r="T73" i="2"/>
  <c r="T71" i="2"/>
  <c r="T81" i="2"/>
  <c r="S19" i="2"/>
  <c r="S32" i="2" s="1"/>
  <c r="T78" i="2"/>
  <c r="T79" i="2"/>
  <c r="T76" i="2"/>
  <c r="T29" i="2"/>
  <c r="T15" i="2"/>
  <c r="U27" i="2"/>
  <c r="U69" i="2" s="1"/>
  <c r="U13" i="2"/>
  <c r="U14" i="2" s="1"/>
  <c r="J25" i="2" l="1"/>
  <c r="J34" i="2"/>
  <c r="R34" i="2" s="1"/>
  <c r="U75" i="2"/>
  <c r="U74" i="2"/>
  <c r="U73" i="2"/>
  <c r="R23" i="2"/>
  <c r="U72" i="2"/>
  <c r="U77" i="2"/>
  <c r="U71" i="2"/>
  <c r="U81" i="2"/>
  <c r="U76" i="2"/>
  <c r="U79" i="2"/>
  <c r="U78" i="2"/>
  <c r="U90" i="2"/>
  <c r="U80" i="2"/>
  <c r="U15" i="2"/>
  <c r="U29" i="2"/>
  <c r="V27" i="2"/>
  <c r="V69" i="2" s="1"/>
  <c r="W69" i="2" s="1"/>
  <c r="V13" i="2"/>
  <c r="V14" i="2" s="1"/>
  <c r="T18" i="2"/>
  <c r="R67" i="2" l="1"/>
  <c r="R82" i="2" s="1"/>
  <c r="R91" i="2" s="1"/>
  <c r="S20" i="2"/>
  <c r="S21" i="2" s="1"/>
  <c r="S22" i="2" s="1"/>
  <c r="R25" i="2"/>
  <c r="V90" i="2"/>
  <c r="W90" i="2" s="1"/>
  <c r="V73" i="2"/>
  <c r="W73" i="2" s="1"/>
  <c r="V80" i="2"/>
  <c r="W80" i="2" s="1"/>
  <c r="V72" i="2"/>
  <c r="W72" i="2" s="1"/>
  <c r="V74" i="2"/>
  <c r="W74" i="2" s="1"/>
  <c r="V75" i="2"/>
  <c r="W75" i="2" s="1"/>
  <c r="V78" i="2"/>
  <c r="W78" i="2" s="1"/>
  <c r="T19" i="2"/>
  <c r="V77" i="2"/>
  <c r="W77" i="2" s="1"/>
  <c r="V81" i="2"/>
  <c r="W81" i="2" s="1"/>
  <c r="V79" i="2"/>
  <c r="W79" i="2" s="1"/>
  <c r="V76" i="2"/>
  <c r="W76" i="2" s="1"/>
  <c r="V71" i="2"/>
  <c r="W71" i="2" s="1"/>
  <c r="V15" i="2"/>
  <c r="W15" i="2" s="1"/>
  <c r="U18" i="2"/>
  <c r="S23" i="2" l="1"/>
  <c r="S67" i="2" s="1"/>
  <c r="S82" i="2" s="1"/>
  <c r="S91" i="2" s="1"/>
  <c r="W29" i="2"/>
  <c r="V29" i="2"/>
  <c r="W18" i="2"/>
  <c r="V18" i="2"/>
  <c r="V19" i="2" s="1"/>
  <c r="V32" i="2" s="1"/>
  <c r="U19" i="2"/>
  <c r="U32" i="2" s="1"/>
  <c r="T32" i="2"/>
  <c r="S34" i="2" l="1"/>
  <c r="T20" i="2" s="1"/>
  <c r="T21" i="2" s="1"/>
  <c r="T22" i="2" s="1"/>
  <c r="S25" i="2"/>
  <c r="W19" i="2"/>
  <c r="W32" i="2" s="1"/>
  <c r="T23" i="2" l="1"/>
  <c r="T67" i="2" s="1"/>
  <c r="T82" i="2" s="1"/>
  <c r="T91" i="2" s="1"/>
  <c r="T34" i="2" l="1"/>
  <c r="U20" i="2" s="1"/>
  <c r="U21" i="2" s="1"/>
  <c r="U22" i="2" s="1"/>
  <c r="U23" i="2" s="1"/>
  <c r="T25" i="2"/>
  <c r="U67" i="2" l="1"/>
  <c r="U82" i="2" s="1"/>
  <c r="U91" i="2" s="1"/>
  <c r="U34" i="2"/>
  <c r="U25" i="2"/>
  <c r="V20" i="2" l="1"/>
  <c r="V21" i="2" s="1"/>
  <c r="V22" i="2" s="1"/>
  <c r="V23" i="2" l="1"/>
  <c r="V67" i="2" l="1"/>
  <c r="V82" i="2" s="1"/>
  <c r="V91" i="2" s="1"/>
  <c r="V25" i="2"/>
  <c r="V34" i="2"/>
  <c r="W20" i="2" l="1"/>
  <c r="W21" i="2" s="1"/>
  <c r="W22" i="2" s="1"/>
  <c r="W23" i="2" l="1"/>
  <c r="W67" i="2" l="1"/>
  <c r="W82" i="2" s="1"/>
  <c r="W25" i="2"/>
  <c r="W34" i="2"/>
  <c r="W91" i="2" l="1"/>
  <c r="X91" i="2" s="1"/>
  <c r="Y91" i="2" s="1"/>
  <c r="Z91" i="2" s="1"/>
  <c r="AA91" i="2" s="1"/>
  <c r="AB91" i="2" s="1"/>
  <c r="AC91" i="2" s="1"/>
  <c r="AD91" i="2" s="1"/>
  <c r="AE91" i="2" s="1"/>
  <c r="AF91" i="2" s="1"/>
  <c r="AG91" i="2" s="1"/>
  <c r="AH91" i="2" s="1"/>
  <c r="AI91" i="2" s="1"/>
  <c r="AJ91" i="2" s="1"/>
  <c r="AK91" i="2" s="1"/>
  <c r="AL91" i="2" s="1"/>
  <c r="AM91" i="2" s="1"/>
  <c r="AN91" i="2" s="1"/>
  <c r="AO91" i="2" s="1"/>
  <c r="AP91" i="2" s="1"/>
  <c r="AQ91" i="2" s="1"/>
  <c r="AR91" i="2" s="1"/>
  <c r="AS91" i="2" s="1"/>
  <c r="AT91" i="2" s="1"/>
  <c r="AU91" i="2" s="1"/>
  <c r="AV91" i="2" s="1"/>
  <c r="AW91" i="2" s="1"/>
  <c r="AX91" i="2" s="1"/>
  <c r="AY91" i="2" s="1"/>
  <c r="AZ91" i="2" s="1"/>
  <c r="BA91" i="2" s="1"/>
  <c r="BB91" i="2" s="1"/>
  <c r="BC91" i="2" s="1"/>
  <c r="BD91" i="2" s="1"/>
  <c r="BE91" i="2" s="1"/>
  <c r="BF91" i="2" s="1"/>
  <c r="BG91" i="2" s="1"/>
  <c r="BH91" i="2" s="1"/>
  <c r="BI91" i="2" s="1"/>
  <c r="BJ91" i="2" s="1"/>
  <c r="BK91" i="2" s="1"/>
  <c r="BL91" i="2" s="1"/>
  <c r="BM91" i="2" s="1"/>
  <c r="BN91" i="2" s="1"/>
  <c r="BO91" i="2" s="1"/>
  <c r="BP91" i="2" s="1"/>
  <c r="BQ91" i="2" s="1"/>
  <c r="BR91" i="2" s="1"/>
  <c r="BS91" i="2" s="1"/>
  <c r="BT91" i="2" s="1"/>
  <c r="BU91" i="2" s="1"/>
  <c r="BV91" i="2" s="1"/>
  <c r="BW91" i="2" s="1"/>
  <c r="BX91" i="2" s="1"/>
  <c r="BY91" i="2" s="1"/>
  <c r="BZ91" i="2" s="1"/>
  <c r="CA91" i="2" s="1"/>
  <c r="CB91" i="2" s="1"/>
  <c r="CC91" i="2" s="1"/>
  <c r="CD91" i="2" s="1"/>
  <c r="CE91" i="2" s="1"/>
  <c r="CF91" i="2" s="1"/>
  <c r="CG91" i="2" s="1"/>
  <c r="CH91" i="2" s="1"/>
  <c r="CI91" i="2" s="1"/>
  <c r="CJ91" i="2" s="1"/>
  <c r="CK91" i="2" s="1"/>
  <c r="CL91" i="2" s="1"/>
  <c r="CM91" i="2" s="1"/>
  <c r="CN91" i="2" s="1"/>
  <c r="CO91" i="2" s="1"/>
  <c r="CP91" i="2" s="1"/>
  <c r="CQ91" i="2" s="1"/>
  <c r="CR91" i="2" s="1"/>
  <c r="CS91" i="2" s="1"/>
  <c r="CT91" i="2" s="1"/>
  <c r="CU91" i="2" s="1"/>
  <c r="CV91" i="2" s="1"/>
  <c r="CW91" i="2" s="1"/>
  <c r="CX91" i="2" s="1"/>
  <c r="CY91" i="2" s="1"/>
  <c r="CZ91" i="2" s="1"/>
  <c r="DA91" i="2" s="1"/>
  <c r="DB91" i="2" s="1"/>
  <c r="DC91" i="2" s="1"/>
  <c r="DD91" i="2" s="1"/>
  <c r="DE91" i="2" s="1"/>
  <c r="DF91" i="2" s="1"/>
  <c r="DG91" i="2" s="1"/>
  <c r="DH91" i="2" s="1"/>
  <c r="DI91" i="2" s="1"/>
  <c r="DJ91" i="2" s="1"/>
  <c r="DK91" i="2" s="1"/>
  <c r="Z86" i="2" s="1"/>
  <c r="Z87" i="2" s="1"/>
  <c r="Z88" i="2" l="1"/>
</calcChain>
</file>

<file path=xl/sharedStrings.xml><?xml version="1.0" encoding="utf-8"?>
<sst xmlns="http://schemas.openxmlformats.org/spreadsheetml/2006/main" count="121" uniqueCount="106">
  <si>
    <t>Price</t>
  </si>
  <si>
    <t>Shares</t>
  </si>
  <si>
    <t>MC</t>
  </si>
  <si>
    <t>Cash</t>
  </si>
  <si>
    <t>Debt</t>
  </si>
  <si>
    <t>EV</t>
  </si>
  <si>
    <t>Subscription</t>
  </si>
  <si>
    <t>Product</t>
  </si>
  <si>
    <t>Services</t>
  </si>
  <si>
    <t>Revenue</t>
  </si>
  <si>
    <t>Subscription COGS</t>
  </si>
  <si>
    <t>Product COGS</t>
  </si>
  <si>
    <t>Services COGS</t>
  </si>
  <si>
    <t>COGS</t>
  </si>
  <si>
    <t>Gross Profit</t>
  </si>
  <si>
    <t>R&amp;D</t>
  </si>
  <si>
    <t>S&amp;M</t>
  </si>
  <si>
    <t>G&amp;A</t>
  </si>
  <si>
    <t>OPEX</t>
  </si>
  <si>
    <t>Operating Income</t>
  </si>
  <si>
    <t>Pretax Income</t>
  </si>
  <si>
    <t>Tax</t>
  </si>
  <si>
    <t>Net Income</t>
  </si>
  <si>
    <t>EPS</t>
  </si>
  <si>
    <t>Gross Margin</t>
  </si>
  <si>
    <t>CFFO</t>
  </si>
  <si>
    <t>FCF</t>
  </si>
  <si>
    <t>Net Cash</t>
  </si>
  <si>
    <t>Q125</t>
  </si>
  <si>
    <t>ROIC</t>
  </si>
  <si>
    <t>Maturity</t>
  </si>
  <si>
    <t>Discount</t>
  </si>
  <si>
    <t>NPV</t>
  </si>
  <si>
    <t>Revenue y/y</t>
  </si>
  <si>
    <t>Operating Margin</t>
  </si>
  <si>
    <t>Short-term Investments</t>
  </si>
  <si>
    <t>AR</t>
  </si>
  <si>
    <t>Prepaid Expenses</t>
  </si>
  <si>
    <t>PP&amp;E</t>
  </si>
  <si>
    <t>Operating Lease Assets</t>
  </si>
  <si>
    <t>GW</t>
  </si>
  <si>
    <t>Other Intangibles</t>
  </si>
  <si>
    <t>DIT</t>
  </si>
  <si>
    <t>Other Assets</t>
  </si>
  <si>
    <t>Assets</t>
  </si>
  <si>
    <t>Trade Payables</t>
  </si>
  <si>
    <t>Accrued Expenses</t>
  </si>
  <si>
    <t>Deferred Revenue</t>
  </si>
  <si>
    <t>ITP</t>
  </si>
  <si>
    <t>Operating Lease Liabilities</t>
  </si>
  <si>
    <t>Cur. Debt</t>
  </si>
  <si>
    <t>LT Debt</t>
  </si>
  <si>
    <t>LT Deferred Revenue</t>
  </si>
  <si>
    <t>Other Liabilities</t>
  </si>
  <si>
    <t>SE</t>
  </si>
  <si>
    <t>Liabilities</t>
  </si>
  <si>
    <t>L+SE</t>
  </si>
  <si>
    <t>Main</t>
  </si>
  <si>
    <t>Q124</t>
  </si>
  <si>
    <t>Q224</t>
  </si>
  <si>
    <t>Q324</t>
  </si>
  <si>
    <t>Q425</t>
  </si>
  <si>
    <t>Q225</t>
  </si>
  <si>
    <t>Q325</t>
  </si>
  <si>
    <t>LT ITP</t>
  </si>
  <si>
    <t>DSO</t>
  </si>
  <si>
    <t>Model NI</t>
  </si>
  <si>
    <t>Reported NI</t>
  </si>
  <si>
    <t>D&amp;A</t>
  </si>
  <si>
    <t>Stock-based Comp</t>
  </si>
  <si>
    <t>Reduction of OL Assets</t>
  </si>
  <si>
    <t>Lease Asset Impairments</t>
  </si>
  <si>
    <t>Unrealized Losses on Investments</t>
  </si>
  <si>
    <t>Other Non-cash</t>
  </si>
  <si>
    <t>AP</t>
  </si>
  <si>
    <t>DR</t>
  </si>
  <si>
    <t>Maturity of ST Investments</t>
  </si>
  <si>
    <t>Purchase of ST Investments</t>
  </si>
  <si>
    <t>Sale of ST Investments</t>
  </si>
  <si>
    <t>Acquisitions</t>
  </si>
  <si>
    <t>Purchase of PP&amp;E</t>
  </si>
  <si>
    <t>Purchase LT Investments</t>
  </si>
  <si>
    <t>Sale of LT Investments</t>
  </si>
  <si>
    <t>CAPEX</t>
  </si>
  <si>
    <t>Digital Media</t>
  </si>
  <si>
    <t>Digital Experience</t>
  </si>
  <si>
    <t>SG&amp;A y/y</t>
  </si>
  <si>
    <t>Revenue q/q</t>
  </si>
  <si>
    <t>Interest Income</t>
  </si>
  <si>
    <t>CEO: Shantanu Narayen</t>
  </si>
  <si>
    <t>Digital Art Industry</t>
  </si>
  <si>
    <t>https://www.scirp.org/journal/paperinformation?paperid=110725</t>
  </si>
  <si>
    <t>Source:</t>
  </si>
  <si>
    <t>Adobe Software</t>
  </si>
  <si>
    <t>Desc.</t>
  </si>
  <si>
    <t>"The majority (66%) of artist jobs with an annual salary of over 60 K are related to digital art and come from technology sectors"</t>
  </si>
  <si>
    <t>Digital Art software is a major productivity increase worth the investment a necessary tool</t>
  </si>
  <si>
    <t>Photoshop hard to recreate complex mathematical equations</t>
  </si>
  <si>
    <t>Hard to learn and master and large set of tools makes it advantageous for customer to stay</t>
  </si>
  <si>
    <t>Questions</t>
  </si>
  <si>
    <t>What is the competitive advantage over competitors?</t>
  </si>
  <si>
    <t>How will management advance the technology as competitors "catch up" to the current software?</t>
  </si>
  <si>
    <t>Is the ecosystem sufficient and is it disadvantageous to pay lower to switch to a different software due to learning?</t>
  </si>
  <si>
    <t>Can they sell cloud side software with server side compute?</t>
  </si>
  <si>
    <t>Figma?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</si>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</sst>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9" fillId="0" borderId="0" xfId="0" applyFont="1"/>
    <xf numFmtId="0" fontId="7" fillId="0" borderId="0" xfId="0" applyFont="1"/>
    <xf numFmtId="4" fontId="7" fillId="0" borderId="0" xfId="0" applyNumberFormat="1" applyFont="1"/>
    <xf numFmtId="3" fontId="7" fillId="0" borderId="0" xfId="0" applyNumberFormat="1" applyFont="1"/>
    <xf numFmtId="3" fontId="10" fillId="0" borderId="0" xfId="1" applyNumberFormat="1" applyFont="1"/>
    <xf numFmtId="3" fontId="6" fillId="0" borderId="0" xfId="0" applyNumberFormat="1" applyFont="1"/>
    <xf numFmtId="0" fontId="6" fillId="0" borderId="0" xfId="0" applyFont="1"/>
    <xf numFmtId="1" fontId="6" fillId="0" borderId="0" xfId="0" applyNumberFormat="1" applyFont="1"/>
    <xf numFmtId="4" fontId="6" fillId="0" borderId="0" xfId="0" applyNumberFormat="1" applyFont="1"/>
    <xf numFmtId="3" fontId="9" fillId="0" borderId="0" xfId="0" applyNumberFormat="1" applyFont="1"/>
    <xf numFmtId="10" fontId="6" fillId="0" borderId="0" xfId="0" applyNumberFormat="1" applyFont="1"/>
    <xf numFmtId="9" fontId="9" fillId="0" borderId="0" xfId="0" applyNumberFormat="1" applyFont="1"/>
    <xf numFmtId="164" fontId="9" fillId="0" borderId="0" xfId="0" applyNumberFormat="1" applyFont="1"/>
    <xf numFmtId="9" fontId="6" fillId="0" borderId="0" xfId="0" applyNumberFormat="1" applyFont="1"/>
    <xf numFmtId="164" fontId="6" fillId="0" borderId="0" xfId="0" applyNumberFormat="1" applyFont="1"/>
    <xf numFmtId="0" fontId="5" fillId="0" borderId="0" xfId="0" applyFont="1"/>
    <xf numFmtId="3" fontId="5" fillId="0" borderId="0" xfId="0" applyNumberFormat="1" applyFont="1"/>
    <xf numFmtId="0" fontId="4" fillId="0" borderId="0" xfId="0" applyFont="1"/>
    <xf numFmtId="3" fontId="4" fillId="0" borderId="0" xfId="0" applyNumberFormat="1" applyFont="1"/>
    <xf numFmtId="0" fontId="3" fillId="0" borderId="0" xfId="0" applyFont="1"/>
    <xf numFmtId="0" fontId="11" fillId="0" borderId="0" xfId="0" applyFont="1"/>
    <xf numFmtId="0" fontId="8" fillId="0" borderId="0" xfId="1"/>
    <xf numFmtId="0" fontId="2" fillId="0" borderId="0" xfId="0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1</xdr:row>
      <xdr:rowOff>28575</xdr:rowOff>
    </xdr:from>
    <xdr:to>
      <xdr:col>17</xdr:col>
      <xdr:colOff>19050</xdr:colOff>
      <xdr:row>97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27E734B-78F6-25CF-AF3A-9164F515D047}"/>
            </a:ext>
          </a:extLst>
        </xdr:cNvPr>
        <xdr:cNvCxnSpPr/>
      </xdr:nvCxnSpPr>
      <xdr:spPr>
        <a:xfrm>
          <a:off x="10182225" y="28575"/>
          <a:ext cx="9525" cy="17945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632313</xdr:colOff>
      <xdr:row>1</xdr:row>
      <xdr:rowOff>0</xdr:rowOff>
    </xdr:from>
    <xdr:to>
      <xdr:col>8</xdr:col>
      <xdr:colOff>4396</xdr:colOff>
      <xdr:row>69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1F5E25C-17F0-4F8D-1774-386610D8C3FE}"/>
            </a:ext>
          </a:extLst>
        </xdr:cNvPr>
        <xdr:cNvCxnSpPr/>
      </xdr:nvCxnSpPr>
      <xdr:spPr>
        <a:xfrm flipH="1">
          <a:off x="5871063" y="0"/>
          <a:ext cx="9525" cy="1135013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A162-EAE9-4CC5-AE4B-8B686CFC5399}">
  <dimension ref="A1:L16"/>
  <sheetViews>
    <sheetView zoomScale="115" zoomScaleNormal="115" workbookViewId="0">
      <selection activeCell="B21" sqref="B21"/>
    </sheetView>
  </sheetViews>
  <sheetFormatPr defaultRowHeight="12.75" x14ac:dyDescent="0.2"/>
  <cols>
    <col min="1" max="16384" width="9.140625" style="2"/>
  </cols>
  <sheetData>
    <row r="1" spans="1:12" x14ac:dyDescent="0.2">
      <c r="A1" s="1"/>
    </row>
    <row r="2" spans="1:12" x14ac:dyDescent="0.2">
      <c r="J2" s="2" t="s">
        <v>0</v>
      </c>
      <c r="K2" s="3">
        <v>351</v>
      </c>
    </row>
    <row r="3" spans="1:12" x14ac:dyDescent="0.2">
      <c r="J3" s="2" t="s">
        <v>1</v>
      </c>
      <c r="K3" s="4">
        <v>424.2</v>
      </c>
      <c r="L3" s="16" t="s">
        <v>62</v>
      </c>
    </row>
    <row r="4" spans="1:12" x14ac:dyDescent="0.2">
      <c r="J4" s="2" t="s">
        <v>2</v>
      </c>
      <c r="K4" s="4">
        <f>K3*K2</f>
        <v>148894.19999999998</v>
      </c>
    </row>
    <row r="5" spans="1:12" x14ac:dyDescent="0.2">
      <c r="J5" s="2" t="s">
        <v>3</v>
      </c>
      <c r="K5" s="4">
        <f>4931+782</f>
        <v>5713</v>
      </c>
      <c r="L5" s="16" t="s">
        <v>62</v>
      </c>
    </row>
    <row r="6" spans="1:12" x14ac:dyDescent="0.2">
      <c r="J6" s="2" t="s">
        <v>4</v>
      </c>
      <c r="K6" s="4">
        <f>6166+114+477+323+540</f>
        <v>7620</v>
      </c>
      <c r="L6" s="16" t="s">
        <v>62</v>
      </c>
    </row>
    <row r="7" spans="1:12" x14ac:dyDescent="0.2">
      <c r="J7" s="2" t="s">
        <v>5</v>
      </c>
      <c r="K7" s="4">
        <f>K4+K6-K5</f>
        <v>150801.19999999998</v>
      </c>
    </row>
    <row r="8" spans="1:12" x14ac:dyDescent="0.2">
      <c r="K8" s="3" t="e">
        <f>K2/(1.1*4*Model!G25)</f>
        <v>#DIV/0!</v>
      </c>
    </row>
    <row r="10" spans="1:12" x14ac:dyDescent="0.2">
      <c r="F10" s="21" t="s">
        <v>99</v>
      </c>
      <c r="J10" s="18" t="s">
        <v>89</v>
      </c>
    </row>
    <row r="11" spans="1:12" x14ac:dyDescent="0.2">
      <c r="F11" s="20" t="s">
        <v>100</v>
      </c>
    </row>
    <row r="12" spans="1:12" x14ac:dyDescent="0.2">
      <c r="F12" s="20" t="s">
        <v>102</v>
      </c>
    </row>
    <row r="13" spans="1:12" x14ac:dyDescent="0.2">
      <c r="F13" s="20" t="s">
        <v>101</v>
      </c>
    </row>
    <row r="14" spans="1:12" x14ac:dyDescent="0.2">
      <c r="F14" s="20" t="s">
        <v>103</v>
      </c>
    </row>
    <row r="16" spans="1:12" x14ac:dyDescent="0.2">
      <c r="F16" s="23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5702-5366-4A93-A101-38C235480BE9}">
  <dimension ref="A1:DK93"/>
  <sheetViews>
    <sheetView tabSelected="1" zoomScale="130" zoomScaleNormal="130" workbookViewId="0">
      <pane xSplit="2" ySplit="2" topLeftCell="W65" activePane="bottomRight" state="frozen"/>
      <selection pane="topRight" activeCell="B1" sqref="B1"/>
      <selection pane="bottomLeft" activeCell="A2" sqref="A2"/>
      <selection pane="bottomRight" activeCell="Y88" sqref="Y88"/>
    </sheetView>
  </sheetViews>
  <sheetFormatPr defaultRowHeight="12.75" x14ac:dyDescent="0.2"/>
  <cols>
    <col min="1" max="1" width="5" style="6" customWidth="1"/>
    <col min="2" max="2" width="27.85546875" style="6" customWidth="1"/>
    <col min="3" max="6" width="9.140625" style="7"/>
    <col min="7" max="7" width="9.140625" style="6"/>
    <col min="8" max="8" width="9.5703125" style="7" bestFit="1" customWidth="1"/>
    <col min="9" max="11" width="9.140625" style="7"/>
    <col min="12" max="17" width="9.140625" style="6"/>
    <col min="18" max="18" width="9.5703125" style="6" bestFit="1" customWidth="1"/>
    <col min="19" max="16384" width="9.140625" style="6"/>
  </cols>
  <sheetData>
    <row r="1" spans="1:28" x14ac:dyDescent="0.2">
      <c r="A1" s="5" t="s">
        <v>57</v>
      </c>
    </row>
    <row r="2" spans="1:28" x14ac:dyDescent="0.2">
      <c r="C2" s="7" t="s">
        <v>58</v>
      </c>
      <c r="D2" s="7" t="s">
        <v>59</v>
      </c>
      <c r="E2" s="7" t="s">
        <v>60</v>
      </c>
      <c r="F2" s="7" t="s">
        <v>61</v>
      </c>
      <c r="G2" s="6" t="s">
        <v>28</v>
      </c>
      <c r="H2" s="7" t="s">
        <v>62</v>
      </c>
      <c r="I2" s="7" t="s">
        <v>63</v>
      </c>
      <c r="J2" s="7" t="s">
        <v>61</v>
      </c>
      <c r="L2" s="8">
        <v>2019</v>
      </c>
      <c r="M2" s="8">
        <v>2020</v>
      </c>
      <c r="N2" s="8">
        <f>M2+1</f>
        <v>2021</v>
      </c>
      <c r="O2" s="8">
        <f t="shared" ref="O2:V2" si="0">N2+1</f>
        <v>2022</v>
      </c>
      <c r="P2" s="8">
        <f t="shared" si="0"/>
        <v>2023</v>
      </c>
      <c r="Q2" s="8">
        <f t="shared" si="0"/>
        <v>2024</v>
      </c>
      <c r="R2" s="8">
        <f t="shared" si="0"/>
        <v>2025</v>
      </c>
      <c r="S2" s="8">
        <f t="shared" si="0"/>
        <v>2026</v>
      </c>
      <c r="T2" s="8">
        <f t="shared" si="0"/>
        <v>2027</v>
      </c>
      <c r="U2" s="8">
        <f t="shared" si="0"/>
        <v>2028</v>
      </c>
      <c r="V2" s="8">
        <f t="shared" si="0"/>
        <v>2029</v>
      </c>
      <c r="W2" s="8">
        <f t="shared" ref="W2" si="1">V2+1</f>
        <v>2030</v>
      </c>
      <c r="X2" s="8"/>
      <c r="Y2" s="8"/>
      <c r="Z2" s="8"/>
      <c r="AA2" s="8"/>
    </row>
    <row r="3" spans="1:28" x14ac:dyDescent="0.2">
      <c r="A3" s="5"/>
      <c r="B3" s="6" t="s">
        <v>84</v>
      </c>
      <c r="H3" s="6">
        <v>4300</v>
      </c>
      <c r="I3" s="6">
        <v>4400</v>
      </c>
      <c r="K3" s="6"/>
      <c r="M3" s="8"/>
      <c r="N3" s="8"/>
      <c r="O3" s="8"/>
      <c r="P3" s="8"/>
      <c r="Q3" s="8"/>
      <c r="R3" s="6">
        <v>17500</v>
      </c>
      <c r="S3" s="8"/>
      <c r="T3" s="8"/>
      <c r="U3" s="8"/>
      <c r="V3" s="8"/>
      <c r="W3" s="8"/>
      <c r="X3" s="8"/>
      <c r="Y3" s="8"/>
      <c r="Z3" s="8"/>
      <c r="AA3" s="8"/>
    </row>
    <row r="4" spans="1:28" x14ac:dyDescent="0.2">
      <c r="A4" s="5"/>
      <c r="B4" s="6" t="s">
        <v>85</v>
      </c>
      <c r="H4" s="6">
        <v>1450</v>
      </c>
      <c r="I4" s="6">
        <v>1450</v>
      </c>
      <c r="M4" s="8"/>
      <c r="N4" s="8"/>
      <c r="O4" s="8"/>
      <c r="P4" s="8"/>
      <c r="Q4" s="8"/>
      <c r="R4" s="6">
        <v>5850</v>
      </c>
      <c r="S4" s="8"/>
      <c r="T4" s="8"/>
      <c r="U4" s="8"/>
      <c r="V4" s="8"/>
      <c r="W4" s="8"/>
      <c r="X4" s="8"/>
      <c r="Y4" s="8"/>
      <c r="Z4" s="8"/>
      <c r="AA4" s="8"/>
    </row>
    <row r="5" spans="1:28" x14ac:dyDescent="0.2">
      <c r="A5" s="5"/>
      <c r="H5" s="6"/>
      <c r="I5" s="14"/>
      <c r="K5" s="6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14"/>
    </row>
    <row r="6" spans="1:28" x14ac:dyDescent="0.2">
      <c r="B6" s="6" t="s">
        <v>6</v>
      </c>
      <c r="D6" s="6">
        <v>5060</v>
      </c>
      <c r="H6" s="6">
        <v>5641</v>
      </c>
      <c r="I6" s="6"/>
      <c r="J6" s="6"/>
      <c r="K6" s="6"/>
      <c r="L6" s="6">
        <v>9634</v>
      </c>
      <c r="M6" s="6">
        <v>11626</v>
      </c>
      <c r="N6" s="6">
        <v>14573</v>
      </c>
      <c r="O6" s="6">
        <v>16388</v>
      </c>
      <c r="P6" s="6">
        <v>18284</v>
      </c>
      <c r="Q6" s="6">
        <v>20521</v>
      </c>
    </row>
    <row r="7" spans="1:28" x14ac:dyDescent="0.2">
      <c r="B7" s="6" t="s">
        <v>7</v>
      </c>
      <c r="D7" s="6">
        <v>104</v>
      </c>
      <c r="H7" s="7">
        <v>88</v>
      </c>
      <c r="L7" s="6">
        <v>648</v>
      </c>
      <c r="M7" s="6">
        <v>507</v>
      </c>
      <c r="N7" s="6">
        <v>555</v>
      </c>
      <c r="O7" s="6">
        <v>532</v>
      </c>
      <c r="P7" s="6">
        <v>460</v>
      </c>
      <c r="Q7" s="6">
        <v>386</v>
      </c>
    </row>
    <row r="8" spans="1:28" x14ac:dyDescent="0.2">
      <c r="B8" s="6" t="s">
        <v>8</v>
      </c>
      <c r="D8" s="6">
        <v>145</v>
      </c>
      <c r="H8" s="7">
        <v>144</v>
      </c>
      <c r="L8" s="6">
        <v>889</v>
      </c>
      <c r="M8" s="6">
        <v>735</v>
      </c>
      <c r="N8" s="6">
        <v>657</v>
      </c>
      <c r="O8" s="6">
        <v>686</v>
      </c>
      <c r="P8" s="6">
        <v>665</v>
      </c>
      <c r="Q8" s="6">
        <v>598</v>
      </c>
    </row>
    <row r="9" spans="1:28" s="10" customFormat="1" x14ac:dyDescent="0.2">
      <c r="B9" s="10" t="s">
        <v>9</v>
      </c>
      <c r="C9" s="10">
        <f>SUM(C6:C8)</f>
        <v>0</v>
      </c>
      <c r="D9" s="10">
        <f>SUM(D6:D8)</f>
        <v>5309</v>
      </c>
      <c r="E9" s="10">
        <f>SUM(E6:E8)</f>
        <v>0</v>
      </c>
      <c r="F9" s="10">
        <f>SUM(F6:F8)</f>
        <v>0</v>
      </c>
      <c r="G9" s="10">
        <v>5710</v>
      </c>
      <c r="H9" s="10">
        <f>SUM(H6:H8)</f>
        <v>5873</v>
      </c>
      <c r="I9" s="10">
        <v>5900</v>
      </c>
      <c r="J9" s="10">
        <f>I9*1.02</f>
        <v>6018</v>
      </c>
      <c r="L9" s="10">
        <f>SUM(L6:L8)</f>
        <v>11171</v>
      </c>
      <c r="M9" s="10">
        <f>SUM(M6:M8)</f>
        <v>12868</v>
      </c>
      <c r="N9" s="10">
        <f>SUM(N6:N8)</f>
        <v>15785</v>
      </c>
      <c r="O9" s="10">
        <f>SUM(O6:O8)</f>
        <v>17606</v>
      </c>
      <c r="P9" s="10">
        <f t="shared" ref="P9:Q9" si="2">SUM(P6:P8)</f>
        <v>19409</v>
      </c>
      <c r="Q9" s="10">
        <f t="shared" si="2"/>
        <v>21505</v>
      </c>
      <c r="R9" s="10">
        <v>23600</v>
      </c>
      <c r="S9" s="10">
        <f>R9*1.1</f>
        <v>25960.000000000004</v>
      </c>
      <c r="T9" s="10">
        <f t="shared" ref="T9:W9" si="3">S9*1.1</f>
        <v>28556.000000000007</v>
      </c>
      <c r="U9" s="10">
        <f t="shared" si="3"/>
        <v>31411.600000000009</v>
      </c>
      <c r="V9" s="10">
        <f t="shared" si="3"/>
        <v>34552.760000000017</v>
      </c>
      <c r="W9" s="10">
        <f t="shared" si="3"/>
        <v>38008.036000000022</v>
      </c>
    </row>
    <row r="10" spans="1:28" x14ac:dyDescent="0.2">
      <c r="B10" s="6" t="s">
        <v>10</v>
      </c>
      <c r="D10" s="7">
        <v>456</v>
      </c>
      <c r="H10" s="7">
        <v>505</v>
      </c>
      <c r="I10" s="6"/>
      <c r="O10" s="6">
        <v>1646</v>
      </c>
      <c r="P10" s="6">
        <v>1822</v>
      </c>
      <c r="Q10" s="6">
        <v>1799</v>
      </c>
      <c r="AA10" s="14"/>
    </row>
    <row r="11" spans="1:28" x14ac:dyDescent="0.2">
      <c r="B11" s="6" t="s">
        <v>11</v>
      </c>
      <c r="D11" s="7">
        <v>8</v>
      </c>
      <c r="H11" s="7">
        <v>6</v>
      </c>
      <c r="O11" s="6">
        <v>35</v>
      </c>
      <c r="P11" s="6">
        <v>29</v>
      </c>
      <c r="Q11" s="6">
        <v>25</v>
      </c>
      <c r="R11" s="14"/>
      <c r="S11" s="14"/>
    </row>
    <row r="12" spans="1:28" x14ac:dyDescent="0.2">
      <c r="B12" s="6" t="s">
        <v>12</v>
      </c>
      <c r="D12" s="7">
        <v>134</v>
      </c>
      <c r="H12" s="7">
        <v>127</v>
      </c>
      <c r="O12" s="6">
        <v>484</v>
      </c>
      <c r="P12" s="6">
        <v>503</v>
      </c>
      <c r="Q12" s="6">
        <v>534</v>
      </c>
    </row>
    <row r="13" spans="1:28" x14ac:dyDescent="0.2">
      <c r="B13" s="6" t="s">
        <v>13</v>
      </c>
      <c r="C13" s="7">
        <f>SUM(C10:C12)</f>
        <v>0</v>
      </c>
      <c r="D13" s="7">
        <f>SUM(D10:D12)</f>
        <v>598</v>
      </c>
      <c r="E13" s="7">
        <f t="shared" ref="E13:H13" si="4">SUM(E10:E12)</f>
        <v>0</v>
      </c>
      <c r="F13" s="7">
        <f t="shared" si="4"/>
        <v>0</v>
      </c>
      <c r="G13" s="7">
        <f t="shared" si="4"/>
        <v>0</v>
      </c>
      <c r="H13" s="7">
        <f t="shared" si="4"/>
        <v>638</v>
      </c>
      <c r="I13" s="6">
        <f>I9*(1-I31)</f>
        <v>648.99999999999989</v>
      </c>
      <c r="J13" s="6">
        <f>J9*(1-J31)</f>
        <v>661.9799999999999</v>
      </c>
      <c r="K13" s="6"/>
      <c r="L13" s="6">
        <f>SUM(L10:L12)</f>
        <v>0</v>
      </c>
      <c r="M13" s="6">
        <f>SUM(M10:M12)</f>
        <v>0</v>
      </c>
      <c r="N13" s="6">
        <f>SUM(N10:N12)</f>
        <v>0</v>
      </c>
      <c r="O13" s="6">
        <f>SUM(O10:O12)</f>
        <v>2165</v>
      </c>
      <c r="P13" s="6">
        <f t="shared" ref="P13:Q13" si="5">SUM(P10:P12)</f>
        <v>2354</v>
      </c>
      <c r="Q13" s="6">
        <f t="shared" si="5"/>
        <v>2358</v>
      </c>
      <c r="R13" s="6">
        <f t="shared" ref="R13:W13" si="6">R9*(1-R31)</f>
        <v>2595.9999999999995</v>
      </c>
      <c r="S13" s="6">
        <f t="shared" si="6"/>
        <v>2855.6</v>
      </c>
      <c r="T13" s="6">
        <f t="shared" si="6"/>
        <v>3141.1600000000003</v>
      </c>
      <c r="U13" s="6">
        <f t="shared" si="6"/>
        <v>3455.2760000000007</v>
      </c>
      <c r="V13" s="6">
        <f t="shared" si="6"/>
        <v>3800.8036000000016</v>
      </c>
      <c r="W13" s="6">
        <f t="shared" si="6"/>
        <v>4180.8839600000019</v>
      </c>
    </row>
    <row r="14" spans="1:28" x14ac:dyDescent="0.2">
      <c r="B14" s="6" t="s">
        <v>14</v>
      </c>
      <c r="C14" s="6">
        <f>C9-C13</f>
        <v>0</v>
      </c>
      <c r="D14" s="6">
        <f>D9-D13</f>
        <v>4711</v>
      </c>
      <c r="E14" s="6">
        <f t="shared" ref="E14:J14" si="7">E9-E13</f>
        <v>0</v>
      </c>
      <c r="F14" s="6">
        <f t="shared" si="7"/>
        <v>0</v>
      </c>
      <c r="G14" s="6">
        <f t="shared" si="7"/>
        <v>5710</v>
      </c>
      <c r="H14" s="6">
        <f t="shared" si="7"/>
        <v>5235</v>
      </c>
      <c r="I14" s="6">
        <f t="shared" si="7"/>
        <v>5251</v>
      </c>
      <c r="J14" s="6">
        <f t="shared" si="7"/>
        <v>5356.02</v>
      </c>
      <c r="K14" s="6"/>
      <c r="O14" s="6">
        <f>O9-O13</f>
        <v>15441</v>
      </c>
      <c r="P14" s="6">
        <f t="shared" ref="P14:Q14" si="8">P9-P13</f>
        <v>17055</v>
      </c>
      <c r="Q14" s="6">
        <f t="shared" si="8"/>
        <v>19147</v>
      </c>
      <c r="R14" s="6">
        <f t="shared" ref="R14" si="9">R9-R13</f>
        <v>21004</v>
      </c>
      <c r="S14" s="6">
        <f t="shared" ref="S14" si="10">S9-S13</f>
        <v>23104.400000000005</v>
      </c>
      <c r="T14" s="6">
        <f t="shared" ref="T14" si="11">T9-T13</f>
        <v>25414.840000000007</v>
      </c>
      <c r="U14" s="6">
        <f t="shared" ref="U14" si="12">U9-U13</f>
        <v>27956.324000000008</v>
      </c>
      <c r="V14" s="6">
        <f t="shared" ref="V14:W14" si="13">V9-V13</f>
        <v>30751.956400000014</v>
      </c>
      <c r="W14" s="6">
        <f t="shared" si="13"/>
        <v>33827.152040000023</v>
      </c>
    </row>
    <row r="15" spans="1:28" x14ac:dyDescent="0.2">
      <c r="B15" s="6" t="s">
        <v>15</v>
      </c>
      <c r="C15" s="6"/>
      <c r="D15" s="6">
        <v>984</v>
      </c>
      <c r="E15" s="6"/>
      <c r="F15" s="6"/>
      <c r="H15" s="6">
        <v>1082</v>
      </c>
      <c r="I15" s="6">
        <f t="shared" ref="I15:J17" si="14">H15*1.01</f>
        <v>1092.82</v>
      </c>
      <c r="J15" s="6">
        <f t="shared" si="14"/>
        <v>1103.7482</v>
      </c>
      <c r="K15" s="6"/>
      <c r="O15" s="6">
        <v>2987</v>
      </c>
      <c r="P15" s="6">
        <v>3473</v>
      </c>
      <c r="Q15" s="6">
        <v>3944</v>
      </c>
      <c r="R15" s="6">
        <f>Q15*(1+R27)</f>
        <v>4328.221343873518</v>
      </c>
      <c r="S15" s="6">
        <f t="shared" ref="S15:W15" si="15">R15*(1+S27)</f>
        <v>4761.04347826087</v>
      </c>
      <c r="T15" s="6">
        <f t="shared" si="15"/>
        <v>5237.1478260869571</v>
      </c>
      <c r="U15" s="6">
        <f t="shared" si="15"/>
        <v>5760.8626086956538</v>
      </c>
      <c r="V15" s="6">
        <f t="shared" si="15"/>
        <v>6336.9488695652199</v>
      </c>
      <c r="W15" s="6">
        <f t="shared" si="15"/>
        <v>6970.643756521742</v>
      </c>
    </row>
    <row r="16" spans="1:28" x14ac:dyDescent="0.2">
      <c r="B16" s="6" t="s">
        <v>16</v>
      </c>
      <c r="C16" s="6"/>
      <c r="D16" s="6">
        <v>1445</v>
      </c>
      <c r="E16" s="6"/>
      <c r="F16" s="6"/>
      <c r="H16" s="6">
        <v>1626</v>
      </c>
      <c r="I16" s="6">
        <f t="shared" si="14"/>
        <v>1642.26</v>
      </c>
      <c r="J16" s="6">
        <f t="shared" si="14"/>
        <v>1658.6826000000001</v>
      </c>
      <c r="K16" s="6"/>
      <c r="O16" s="6">
        <v>4968</v>
      </c>
      <c r="P16" s="6">
        <v>5351</v>
      </c>
      <c r="Q16" s="6">
        <v>5764</v>
      </c>
      <c r="R16" s="6">
        <f>Q16*1.08</f>
        <v>6225.1200000000008</v>
      </c>
      <c r="S16" s="6">
        <f t="shared" ref="S16:W16" si="16">R16*1.08</f>
        <v>6723.1296000000011</v>
      </c>
      <c r="T16" s="6">
        <f t="shared" si="16"/>
        <v>7260.9799680000015</v>
      </c>
      <c r="U16" s="6">
        <f t="shared" si="16"/>
        <v>7841.8583654400018</v>
      </c>
      <c r="V16" s="6">
        <f t="shared" si="16"/>
        <v>8469.2070346752025</v>
      </c>
      <c r="W16" s="6">
        <f t="shared" si="16"/>
        <v>9146.74359744922</v>
      </c>
    </row>
    <row r="17" spans="2:27" x14ac:dyDescent="0.2">
      <c r="B17" s="6" t="s">
        <v>17</v>
      </c>
      <c r="C17" s="6"/>
      <c r="D17" s="6">
        <v>355</v>
      </c>
      <c r="E17" s="6"/>
      <c r="F17" s="6"/>
      <c r="H17" s="6">
        <v>377</v>
      </c>
      <c r="I17" s="6">
        <f t="shared" si="14"/>
        <v>380.77</v>
      </c>
      <c r="J17" s="6">
        <f t="shared" si="14"/>
        <v>384.57769999999999</v>
      </c>
      <c r="K17" s="6"/>
      <c r="O17" s="6">
        <v>1219</v>
      </c>
      <c r="P17" s="6">
        <v>1413</v>
      </c>
      <c r="Q17" s="6">
        <v>1529</v>
      </c>
      <c r="R17" s="6">
        <f>Q17*1.08</f>
        <v>1651.3200000000002</v>
      </c>
      <c r="S17" s="6">
        <f t="shared" ref="S17:W17" si="17">R17*1.08</f>
        <v>1783.4256000000003</v>
      </c>
      <c r="T17" s="6">
        <f t="shared" si="17"/>
        <v>1926.0996480000003</v>
      </c>
      <c r="U17" s="6">
        <f t="shared" si="17"/>
        <v>2080.1876198400005</v>
      </c>
      <c r="V17" s="6">
        <f t="shared" si="17"/>
        <v>2246.6026294272006</v>
      </c>
      <c r="W17" s="6">
        <f t="shared" si="17"/>
        <v>2426.3308397813767</v>
      </c>
    </row>
    <row r="18" spans="2:27" x14ac:dyDescent="0.2">
      <c r="B18" s="6" t="s">
        <v>18</v>
      </c>
      <c r="C18" s="6">
        <f>SUM(C15:C17)</f>
        <v>0</v>
      </c>
      <c r="D18" s="6">
        <f t="shared" ref="D18:J18" si="18">SUM(D15:D17)</f>
        <v>2784</v>
      </c>
      <c r="E18" s="6">
        <f t="shared" si="18"/>
        <v>0</v>
      </c>
      <c r="F18" s="6">
        <f t="shared" si="18"/>
        <v>0</v>
      </c>
      <c r="G18" s="6">
        <f t="shared" si="18"/>
        <v>0</v>
      </c>
      <c r="H18" s="6">
        <f t="shared" si="18"/>
        <v>3085</v>
      </c>
      <c r="I18" s="6">
        <f t="shared" si="18"/>
        <v>3115.85</v>
      </c>
      <c r="J18" s="6">
        <f t="shared" si="18"/>
        <v>3147.0084999999999</v>
      </c>
      <c r="K18" s="6"/>
      <c r="L18" s="6">
        <f>SUM(L15:L17)</f>
        <v>0</v>
      </c>
      <c r="M18" s="6">
        <f>SUM(M15:M17)</f>
        <v>0</v>
      </c>
      <c r="N18" s="6">
        <f>SUM(N15:N17)</f>
        <v>0</v>
      </c>
      <c r="O18" s="6">
        <f>SUM(O15:O17)</f>
        <v>9174</v>
      </c>
      <c r="P18" s="6">
        <f t="shared" ref="P18:V18" si="19">SUM(P15:P17)</f>
        <v>10237</v>
      </c>
      <c r="Q18" s="6">
        <f t="shared" si="19"/>
        <v>11237</v>
      </c>
      <c r="R18" s="6">
        <f t="shared" si="19"/>
        <v>12204.661343873518</v>
      </c>
      <c r="S18" s="6">
        <f t="shared" si="19"/>
        <v>13267.598678260872</v>
      </c>
      <c r="T18" s="6">
        <f t="shared" si="19"/>
        <v>14424.227442086958</v>
      </c>
      <c r="U18" s="6">
        <f t="shared" si="19"/>
        <v>15682.908593975657</v>
      </c>
      <c r="V18" s="6">
        <f t="shared" si="19"/>
        <v>17052.758533667624</v>
      </c>
      <c r="W18" s="6">
        <f t="shared" ref="W18" si="20">SUM(W15:W17)</f>
        <v>18543.718193752338</v>
      </c>
    </row>
    <row r="19" spans="2:27" x14ac:dyDescent="0.2">
      <c r="B19" s="6" t="s">
        <v>19</v>
      </c>
      <c r="C19" s="6">
        <f>C14-C18</f>
        <v>0</v>
      </c>
      <c r="D19" s="6">
        <f t="shared" ref="D19:J19" si="21">D14-D18</f>
        <v>1927</v>
      </c>
      <c r="E19" s="6">
        <f t="shared" si="21"/>
        <v>0</v>
      </c>
      <c r="F19" s="6">
        <f t="shared" si="21"/>
        <v>0</v>
      </c>
      <c r="G19" s="6">
        <f t="shared" si="21"/>
        <v>5710</v>
      </c>
      <c r="H19" s="6">
        <f t="shared" si="21"/>
        <v>2150</v>
      </c>
      <c r="I19" s="6">
        <f t="shared" si="21"/>
        <v>2135.15</v>
      </c>
      <c r="J19" s="6">
        <f t="shared" si="21"/>
        <v>2209.0115000000005</v>
      </c>
      <c r="K19" s="6"/>
      <c r="L19" s="6">
        <f>L14-L18</f>
        <v>0</v>
      </c>
      <c r="M19" s="6">
        <f>M14-M18</f>
        <v>0</v>
      </c>
      <c r="N19" s="6">
        <f>N14-N18</f>
        <v>0</v>
      </c>
      <c r="O19" s="6">
        <f>O14-O18</f>
        <v>6267</v>
      </c>
      <c r="P19" s="6">
        <f t="shared" ref="P19:V19" si="22">P14-P18</f>
        <v>6818</v>
      </c>
      <c r="Q19" s="6">
        <f t="shared" si="22"/>
        <v>7910</v>
      </c>
      <c r="R19" s="6">
        <f t="shared" si="22"/>
        <v>8799.3386561264815</v>
      </c>
      <c r="S19" s="6">
        <f t="shared" si="22"/>
        <v>9836.8013217391326</v>
      </c>
      <c r="T19" s="6">
        <f t="shared" si="22"/>
        <v>10990.612557913049</v>
      </c>
      <c r="U19" s="6">
        <f t="shared" si="22"/>
        <v>12273.415406024351</v>
      </c>
      <c r="V19" s="6">
        <f t="shared" si="22"/>
        <v>13699.19786633239</v>
      </c>
      <c r="W19" s="6">
        <f t="shared" ref="W19" si="23">W14-W18</f>
        <v>15283.433846247684</v>
      </c>
    </row>
    <row r="20" spans="2:27" x14ac:dyDescent="0.2">
      <c r="B20" s="17" t="s">
        <v>88</v>
      </c>
      <c r="I20" s="6">
        <f>H34*$Z$83/4</f>
        <v>-9.5350000000000001</v>
      </c>
      <c r="J20" s="6">
        <f>I34*$Z$83/4</f>
        <v>-1.0325399999999991</v>
      </c>
      <c r="K20" s="6"/>
      <c r="O20" s="6">
        <f>-112-19</f>
        <v>-131</v>
      </c>
      <c r="P20" s="6">
        <f>-113+16</f>
        <v>-97</v>
      </c>
      <c r="Q20" s="6">
        <f>-169+48</f>
        <v>-121</v>
      </c>
      <c r="R20" s="6">
        <f>SUM(G20:J20)</f>
        <v>-10.567539999999999</v>
      </c>
      <c r="S20" s="6">
        <f>R34*$Z$83</f>
        <v>31.19750336000001</v>
      </c>
      <c r="T20" s="6">
        <f>S34*$Z$83</f>
        <v>195.00628385664561</v>
      </c>
      <c r="U20" s="6">
        <f>T34*$Z$83</f>
        <v>380.68755663002258</v>
      </c>
      <c r="V20" s="6">
        <f>U34*$Z$83</f>
        <v>590.74566581008526</v>
      </c>
      <c r="W20" s="6">
        <f>V34*$Z$83</f>
        <v>827.95872844365033</v>
      </c>
    </row>
    <row r="21" spans="2:27" x14ac:dyDescent="0.2">
      <c r="B21" s="6" t="s">
        <v>20</v>
      </c>
      <c r="C21" s="6">
        <f>C19+C20</f>
        <v>0</v>
      </c>
      <c r="D21" s="6">
        <f t="shared" ref="D21:J21" si="24">D19+D20</f>
        <v>1927</v>
      </c>
      <c r="E21" s="6">
        <f t="shared" si="24"/>
        <v>0</v>
      </c>
      <c r="F21" s="6">
        <f t="shared" si="24"/>
        <v>0</v>
      </c>
      <c r="G21" s="6">
        <f t="shared" si="24"/>
        <v>5710</v>
      </c>
      <c r="H21" s="6">
        <f t="shared" si="24"/>
        <v>2150</v>
      </c>
      <c r="I21" s="6">
        <f t="shared" si="24"/>
        <v>2125.6150000000002</v>
      </c>
      <c r="J21" s="6">
        <f t="shared" si="24"/>
        <v>2207.9789600000004</v>
      </c>
      <c r="K21" s="6"/>
      <c r="L21" s="6">
        <f>L19+L20</f>
        <v>0</v>
      </c>
      <c r="M21" s="6">
        <f>M19+M20</f>
        <v>0</v>
      </c>
      <c r="N21" s="6">
        <f>N19+N20</f>
        <v>0</v>
      </c>
      <c r="O21" s="6">
        <f>O19+O20</f>
        <v>6136</v>
      </c>
      <c r="P21" s="6">
        <f t="shared" ref="P21:V21" si="25">P19+P20</f>
        <v>6721</v>
      </c>
      <c r="Q21" s="6">
        <f t="shared" si="25"/>
        <v>7789</v>
      </c>
      <c r="R21" s="6">
        <f t="shared" si="25"/>
        <v>8788.7711161264815</v>
      </c>
      <c r="S21" s="6">
        <f t="shared" si="25"/>
        <v>9867.9988250991319</v>
      </c>
      <c r="T21" s="6">
        <f t="shared" si="25"/>
        <v>11185.618841769696</v>
      </c>
      <c r="U21" s="6">
        <f t="shared" si="25"/>
        <v>12654.102962654373</v>
      </c>
      <c r="V21" s="6">
        <f t="shared" si="25"/>
        <v>14289.943532142475</v>
      </c>
      <c r="W21" s="6">
        <f t="shared" ref="W21" si="26">W19+W20</f>
        <v>16111.392574691336</v>
      </c>
    </row>
    <row r="22" spans="2:27" x14ac:dyDescent="0.2">
      <c r="B22" s="6" t="s">
        <v>21</v>
      </c>
      <c r="I22" s="6">
        <f>I21*0.2</f>
        <v>425.12300000000005</v>
      </c>
      <c r="J22" s="6">
        <f>J21*0.2</f>
        <v>441.59579200000007</v>
      </c>
      <c r="K22" s="6"/>
      <c r="L22" s="14"/>
      <c r="M22" s="14"/>
      <c r="N22" s="14"/>
      <c r="O22" s="6">
        <v>1252</v>
      </c>
      <c r="P22" s="6">
        <v>1371</v>
      </c>
      <c r="Q22" s="6">
        <v>1371</v>
      </c>
      <c r="R22" s="6">
        <f>R21*0.17</f>
        <v>1494.0910897415019</v>
      </c>
      <c r="S22" s="6">
        <f t="shared" ref="S22:W22" si="27">S21*0.17</f>
        <v>1677.5598002668526</v>
      </c>
      <c r="T22" s="6">
        <f t="shared" si="27"/>
        <v>1901.5552031008485</v>
      </c>
      <c r="U22" s="6">
        <f t="shared" si="27"/>
        <v>2151.1975036512436</v>
      </c>
      <c r="V22" s="6">
        <f t="shared" si="27"/>
        <v>2429.290400464221</v>
      </c>
      <c r="W22" s="6">
        <f t="shared" si="27"/>
        <v>2738.9367376975274</v>
      </c>
    </row>
    <row r="23" spans="2:27" s="10" customFormat="1" x14ac:dyDescent="0.2">
      <c r="B23" s="10" t="s">
        <v>22</v>
      </c>
      <c r="C23" s="10">
        <f>C21-C22</f>
        <v>0</v>
      </c>
      <c r="D23" s="10">
        <f t="shared" ref="D23:J23" si="28">D21-D22</f>
        <v>1927</v>
      </c>
      <c r="E23" s="10">
        <f t="shared" si="28"/>
        <v>0</v>
      </c>
      <c r="F23" s="10">
        <f t="shared" si="28"/>
        <v>0</v>
      </c>
      <c r="G23" s="10">
        <f t="shared" si="28"/>
        <v>5710</v>
      </c>
      <c r="H23" s="10">
        <f t="shared" si="28"/>
        <v>2150</v>
      </c>
      <c r="I23" s="10">
        <f t="shared" si="28"/>
        <v>1700.4920000000002</v>
      </c>
      <c r="J23" s="10">
        <f t="shared" si="28"/>
        <v>1766.3831680000003</v>
      </c>
      <c r="L23" s="10">
        <f>L21-L22</f>
        <v>0</v>
      </c>
      <c r="M23" s="10">
        <f>M21-M22</f>
        <v>0</v>
      </c>
      <c r="N23" s="10">
        <f>N21-N22</f>
        <v>0</v>
      </c>
      <c r="O23" s="10">
        <f>O21-O22</f>
        <v>4884</v>
      </c>
      <c r="P23" s="10">
        <f t="shared" ref="P23:Q23" si="29">P21-P22</f>
        <v>5350</v>
      </c>
      <c r="Q23" s="10">
        <f t="shared" si="29"/>
        <v>6418</v>
      </c>
      <c r="R23" s="10">
        <f t="shared" ref="R23" si="30">R21-R22</f>
        <v>7294.68002638498</v>
      </c>
      <c r="S23" s="10">
        <f t="shared" ref="S23" si="31">S21-S22</f>
        <v>8190.4390248322798</v>
      </c>
      <c r="T23" s="10">
        <f t="shared" ref="T23" si="32">T21-T22</f>
        <v>9284.0636386688475</v>
      </c>
      <c r="U23" s="10">
        <f t="shared" ref="U23" si="33">U21-U22</f>
        <v>10502.90545900313</v>
      </c>
      <c r="V23" s="10">
        <f t="shared" ref="V23:W23" si="34">V21-V22</f>
        <v>11860.653131678255</v>
      </c>
      <c r="W23" s="10">
        <f t="shared" si="34"/>
        <v>13372.455836993808</v>
      </c>
    </row>
    <row r="24" spans="2:27" x14ac:dyDescent="0.2">
      <c r="B24" s="6" t="s">
        <v>1</v>
      </c>
      <c r="H24" s="4">
        <v>424.2</v>
      </c>
      <c r="I24" s="6">
        <f>H24*1</f>
        <v>424.2</v>
      </c>
      <c r="J24" s="6">
        <f>I24*1</f>
        <v>424.2</v>
      </c>
      <c r="K24" s="6"/>
      <c r="O24" s="6">
        <v>471</v>
      </c>
      <c r="P24" s="6">
        <v>459</v>
      </c>
      <c r="Q24" s="6">
        <v>450</v>
      </c>
      <c r="R24" s="6">
        <v>450</v>
      </c>
      <c r="S24" s="6">
        <v>450</v>
      </c>
      <c r="T24" s="6">
        <v>450</v>
      </c>
      <c r="U24" s="6">
        <v>450</v>
      </c>
      <c r="V24" s="6">
        <v>450</v>
      </c>
      <c r="W24" s="6">
        <v>450</v>
      </c>
    </row>
    <row r="25" spans="2:27" x14ac:dyDescent="0.2">
      <c r="B25" s="6" t="s">
        <v>23</v>
      </c>
      <c r="C25" s="9" t="e">
        <f t="shared" ref="C25:J25" si="35">C23/C24</f>
        <v>#DIV/0!</v>
      </c>
      <c r="D25" s="9" t="e">
        <f t="shared" si="35"/>
        <v>#DIV/0!</v>
      </c>
      <c r="E25" s="9" t="e">
        <f t="shared" si="35"/>
        <v>#DIV/0!</v>
      </c>
      <c r="F25" s="9" t="e">
        <f t="shared" si="35"/>
        <v>#DIV/0!</v>
      </c>
      <c r="G25" s="9" t="e">
        <f t="shared" si="35"/>
        <v>#DIV/0!</v>
      </c>
      <c r="H25" s="9">
        <f t="shared" si="35"/>
        <v>5.0683639792550688</v>
      </c>
      <c r="I25" s="9">
        <f t="shared" si="35"/>
        <v>4.0087034417727496</v>
      </c>
      <c r="J25" s="9">
        <f t="shared" si="35"/>
        <v>4.1640338708156541</v>
      </c>
      <c r="K25" s="9"/>
      <c r="L25" s="9" t="e">
        <f>L23/L24</f>
        <v>#DIV/0!</v>
      </c>
      <c r="M25" s="9" t="e">
        <f>M23/M24</f>
        <v>#DIV/0!</v>
      </c>
      <c r="N25" s="9" t="e">
        <f>N23/N24</f>
        <v>#DIV/0!</v>
      </c>
      <c r="O25" s="9">
        <f>O23/O24</f>
        <v>10.369426751592357</v>
      </c>
      <c r="P25" s="9">
        <f t="shared" ref="P25:V25" si="36">P23/P24</f>
        <v>11.655773420479303</v>
      </c>
      <c r="Q25" s="9">
        <f t="shared" si="36"/>
        <v>14.262222222222222</v>
      </c>
      <c r="R25" s="9">
        <f t="shared" si="36"/>
        <v>16.21040005863329</v>
      </c>
      <c r="S25" s="9">
        <f t="shared" si="36"/>
        <v>18.2009756107384</v>
      </c>
      <c r="T25" s="9">
        <f t="shared" si="36"/>
        <v>20.631252530375217</v>
      </c>
      <c r="U25" s="9">
        <f t="shared" si="36"/>
        <v>23.339789908895845</v>
      </c>
      <c r="V25" s="9">
        <f t="shared" si="36"/>
        <v>26.357006959285009</v>
      </c>
      <c r="W25" s="9">
        <f t="shared" ref="W25" si="37">W23/W24</f>
        <v>29.716568526652907</v>
      </c>
      <c r="X25" s="9"/>
      <c r="Y25" s="9"/>
      <c r="Z25" s="9"/>
      <c r="AA25" s="9"/>
    </row>
    <row r="26" spans="2:27" x14ac:dyDescent="0.2">
      <c r="N26" s="11"/>
    </row>
    <row r="27" spans="2:27" s="10" customFormat="1" x14ac:dyDescent="0.2">
      <c r="B27" s="10" t="s">
        <v>33</v>
      </c>
      <c r="E27" s="12"/>
      <c r="F27" s="12"/>
      <c r="G27" s="12" t="e">
        <f>G9/C9-1</f>
        <v>#DIV/0!</v>
      </c>
      <c r="H27" s="12">
        <f>H9/D9-1</f>
        <v>0.10623469579958567</v>
      </c>
      <c r="I27" s="12" t="e">
        <f>I9/E9-1</f>
        <v>#DIV/0!</v>
      </c>
      <c r="J27" s="12" t="e">
        <f>J9/F9-1</f>
        <v>#DIV/0!</v>
      </c>
      <c r="K27" s="12"/>
      <c r="L27" s="12"/>
      <c r="M27" s="12">
        <f>M9/L9-1</f>
        <v>0.151911198639334</v>
      </c>
      <c r="N27" s="12">
        <f>N9/M9-1</f>
        <v>0.22668635374572577</v>
      </c>
      <c r="O27" s="12">
        <f>O9/N9-1</f>
        <v>0.11536268609439349</v>
      </c>
      <c r="P27" s="12">
        <f>P9/O9-1</f>
        <v>0.10240826990798602</v>
      </c>
      <c r="Q27" s="12">
        <f>Q9/P9-1</f>
        <v>0.10799113813179462</v>
      </c>
      <c r="R27" s="12">
        <f t="shared" ref="R27:W27" si="38">R9/Q9-1</f>
        <v>9.7419204836084683E-2</v>
      </c>
      <c r="S27" s="12">
        <f t="shared" si="38"/>
        <v>0.10000000000000009</v>
      </c>
      <c r="T27" s="12">
        <f t="shared" si="38"/>
        <v>0.10000000000000009</v>
      </c>
      <c r="U27" s="12">
        <f t="shared" si="38"/>
        <v>0.10000000000000009</v>
      </c>
      <c r="V27" s="12">
        <f t="shared" si="38"/>
        <v>0.10000000000000009</v>
      </c>
      <c r="W27" s="12">
        <f t="shared" si="38"/>
        <v>0.10000000000000009</v>
      </c>
      <c r="X27" s="12"/>
      <c r="Y27" s="12"/>
      <c r="Z27" s="12"/>
      <c r="AA27" s="12"/>
    </row>
    <row r="28" spans="2:27" s="10" customFormat="1" x14ac:dyDescent="0.2">
      <c r="B28" s="17" t="s">
        <v>87</v>
      </c>
      <c r="C28" s="12"/>
      <c r="D28" s="12" t="e">
        <f t="shared" ref="D28:J28" si="39">D9/C9-1</f>
        <v>#DIV/0!</v>
      </c>
      <c r="E28" s="12">
        <f t="shared" si="39"/>
        <v>-1</v>
      </c>
      <c r="F28" s="12" t="e">
        <f t="shared" si="39"/>
        <v>#DIV/0!</v>
      </c>
      <c r="G28" s="12" t="e">
        <f t="shared" si="39"/>
        <v>#DIV/0!</v>
      </c>
      <c r="H28" s="12">
        <f t="shared" si="39"/>
        <v>2.8546409807355566E-2</v>
      </c>
      <c r="I28" s="12">
        <f t="shared" si="39"/>
        <v>4.5973097224587534E-3</v>
      </c>
      <c r="J28" s="12">
        <f t="shared" si="39"/>
        <v>2.0000000000000018E-2</v>
      </c>
      <c r="K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2:27" s="10" customFormat="1" x14ac:dyDescent="0.2">
      <c r="B29" s="6" t="s">
        <v>86</v>
      </c>
      <c r="M29" s="12" t="e">
        <f t="shared" ref="M29:R29" si="40">SUM(M16:M17)/SUM(L16:L17)-1</f>
        <v>#DIV/0!</v>
      </c>
      <c r="N29" s="12" t="e">
        <f t="shared" si="40"/>
        <v>#DIV/0!</v>
      </c>
      <c r="O29" s="12" t="e">
        <f t="shared" si="40"/>
        <v>#DIV/0!</v>
      </c>
      <c r="P29" s="12">
        <f t="shared" si="40"/>
        <v>9.326006141910459E-2</v>
      </c>
      <c r="Q29" s="12">
        <f t="shared" si="40"/>
        <v>7.820816085156701E-2</v>
      </c>
      <c r="R29" s="12">
        <f t="shared" si="40"/>
        <v>8.0000000000000071E-2</v>
      </c>
      <c r="S29" s="12">
        <f t="shared" ref="S29:W29" si="41">SUM(S16:S17)/SUM(R16:R17)-1</f>
        <v>8.0000000000000071E-2</v>
      </c>
      <c r="T29" s="12">
        <f t="shared" si="41"/>
        <v>8.0000000000000293E-2</v>
      </c>
      <c r="U29" s="12">
        <f t="shared" si="41"/>
        <v>7.9999999999999849E-2</v>
      </c>
      <c r="V29" s="12">
        <f t="shared" si="41"/>
        <v>8.0000000000000071E-2</v>
      </c>
      <c r="W29" s="12">
        <f t="shared" si="41"/>
        <v>8.0000000000000071E-2</v>
      </c>
      <c r="X29" s="12"/>
      <c r="Y29" s="12"/>
      <c r="Z29" s="12"/>
      <c r="AA29" s="12"/>
    </row>
    <row r="31" spans="2:27" s="10" customFormat="1" x14ac:dyDescent="0.2">
      <c r="B31" s="10" t="s">
        <v>24</v>
      </c>
      <c r="C31" s="13" t="e">
        <f>C14/C9</f>
        <v>#DIV/0!</v>
      </c>
      <c r="D31" s="13">
        <f t="shared" ref="D31:H31" si="42">D14/D9</f>
        <v>0.88736108495008481</v>
      </c>
      <c r="E31" s="13" t="e">
        <f t="shared" si="42"/>
        <v>#DIV/0!</v>
      </c>
      <c r="F31" s="13" t="e">
        <f t="shared" si="42"/>
        <v>#DIV/0!</v>
      </c>
      <c r="G31" s="13">
        <f t="shared" si="42"/>
        <v>1</v>
      </c>
      <c r="H31" s="13">
        <f t="shared" si="42"/>
        <v>0.89136727396560533</v>
      </c>
      <c r="I31" s="13">
        <v>0.89</v>
      </c>
      <c r="J31" s="13">
        <v>0.89</v>
      </c>
      <c r="K31" s="13"/>
      <c r="O31" s="13">
        <f>O14/O9</f>
        <v>0.87703055776439853</v>
      </c>
      <c r="P31" s="13">
        <f>P14/P9</f>
        <v>0.87871605955999799</v>
      </c>
      <c r="Q31" s="13">
        <f>Q14/Q9</f>
        <v>0.89035108114392003</v>
      </c>
      <c r="R31" s="13">
        <v>0.89</v>
      </c>
      <c r="S31" s="13">
        <v>0.89</v>
      </c>
      <c r="T31" s="13">
        <v>0.89</v>
      </c>
      <c r="U31" s="13">
        <v>0.89</v>
      </c>
      <c r="V31" s="13">
        <v>0.89</v>
      </c>
      <c r="W31" s="13">
        <v>0.89</v>
      </c>
      <c r="X31" s="13"/>
      <c r="Y31" s="13"/>
      <c r="Z31" s="13"/>
      <c r="AA31" s="13"/>
    </row>
    <row r="32" spans="2:27" s="10" customFormat="1" x14ac:dyDescent="0.2">
      <c r="B32" s="6" t="s">
        <v>34</v>
      </c>
      <c r="C32" s="14" t="e">
        <f t="shared" ref="C32:J32" si="43">C19/C9</f>
        <v>#DIV/0!</v>
      </c>
      <c r="D32" s="14">
        <f t="shared" si="43"/>
        <v>0.36296854398191752</v>
      </c>
      <c r="E32" s="14" t="e">
        <f t="shared" si="43"/>
        <v>#DIV/0!</v>
      </c>
      <c r="F32" s="14" t="e">
        <f t="shared" si="43"/>
        <v>#DIV/0!</v>
      </c>
      <c r="G32" s="14">
        <f t="shared" si="43"/>
        <v>1</v>
      </c>
      <c r="H32" s="14">
        <f t="shared" si="43"/>
        <v>0.36608207049208241</v>
      </c>
      <c r="I32" s="14">
        <f t="shared" si="43"/>
        <v>0.36188983050847462</v>
      </c>
      <c r="J32" s="14">
        <f t="shared" si="43"/>
        <v>0.36706738118976412</v>
      </c>
      <c r="K32" s="14"/>
      <c r="O32" s="14">
        <f t="shared" ref="O32:W32" si="44">O19/O9</f>
        <v>0.35595819606952173</v>
      </c>
      <c r="P32" s="14">
        <f t="shared" si="44"/>
        <v>0.35128033386573237</v>
      </c>
      <c r="Q32" s="14">
        <f t="shared" si="44"/>
        <v>0.36782143687514529</v>
      </c>
      <c r="R32" s="14">
        <f t="shared" si="44"/>
        <v>0.37285333288671529</v>
      </c>
      <c r="S32" s="14">
        <f t="shared" si="44"/>
        <v>0.37892146847993574</v>
      </c>
      <c r="T32" s="14">
        <f t="shared" si="44"/>
        <v>0.38487927433509761</v>
      </c>
      <c r="U32" s="14">
        <f t="shared" si="44"/>
        <v>0.3907287564474381</v>
      </c>
      <c r="V32" s="14">
        <f t="shared" si="44"/>
        <v>0.39647188433955444</v>
      </c>
      <c r="W32" s="14">
        <f t="shared" si="44"/>
        <v>0.4021105917245415</v>
      </c>
      <c r="X32" s="14"/>
      <c r="Y32" s="14"/>
      <c r="Z32" s="14"/>
      <c r="AA32" s="14"/>
    </row>
    <row r="34" spans="2:23" x14ac:dyDescent="0.2">
      <c r="B34" s="6" t="s">
        <v>27</v>
      </c>
      <c r="C34" s="6">
        <f t="shared" ref="C34:H34" si="45">C35-C36</f>
        <v>0</v>
      </c>
      <c r="D34" s="6">
        <f t="shared" si="45"/>
        <v>0</v>
      </c>
      <c r="E34" s="6">
        <f t="shared" si="45"/>
        <v>0</v>
      </c>
      <c r="F34" s="6">
        <f t="shared" si="45"/>
        <v>0</v>
      </c>
      <c r="G34" s="6">
        <f t="shared" si="45"/>
        <v>-262</v>
      </c>
      <c r="H34" s="6">
        <f t="shared" si="45"/>
        <v>-1907</v>
      </c>
      <c r="I34" s="6">
        <f>H34+I23</f>
        <v>-206.50799999999981</v>
      </c>
      <c r="J34" s="6">
        <f>I34+J23</f>
        <v>1559.8751680000005</v>
      </c>
      <c r="K34" s="6"/>
      <c r="M34" s="6">
        <f>M35-M36</f>
        <v>0</v>
      </c>
      <c r="N34" s="6">
        <f>N35-N36</f>
        <v>0</v>
      </c>
      <c r="O34" s="6">
        <f>O35-O36</f>
        <v>0</v>
      </c>
      <c r="P34" s="6">
        <f>P35-P36</f>
        <v>2832</v>
      </c>
      <c r="Q34" s="6">
        <f>Q35-Q36</f>
        <v>189</v>
      </c>
      <c r="R34" s="6">
        <f>J34</f>
        <v>1559.8751680000005</v>
      </c>
      <c r="S34" s="6">
        <f>R34+S23</f>
        <v>9750.3141928322802</v>
      </c>
      <c r="T34" s="6">
        <f>S34+T23</f>
        <v>19034.37783150113</v>
      </c>
      <c r="U34" s="6">
        <f>T34+U23</f>
        <v>29537.28329050426</v>
      </c>
      <c r="V34" s="6">
        <f>U34+V23</f>
        <v>41397.936422182516</v>
      </c>
      <c r="W34" s="6">
        <f>V34+W23</f>
        <v>54770.392259176326</v>
      </c>
    </row>
    <row r="35" spans="2:23" x14ac:dyDescent="0.2">
      <c r="B35" s="6" t="s">
        <v>3</v>
      </c>
      <c r="G35" s="6">
        <f>6758+677</f>
        <v>7435</v>
      </c>
      <c r="H35" s="4">
        <f>4931+782</f>
        <v>5713</v>
      </c>
      <c r="P35" s="6">
        <f>P38+P39</f>
        <v>7842</v>
      </c>
      <c r="Q35" s="6">
        <f>Q38+Q39</f>
        <v>7886</v>
      </c>
    </row>
    <row r="36" spans="2:23" x14ac:dyDescent="0.2">
      <c r="B36" s="6" t="s">
        <v>4</v>
      </c>
      <c r="G36" s="6">
        <f>6155+143+567+334+498</f>
        <v>7697</v>
      </c>
      <c r="H36" s="4">
        <f>6166+114+477+323+540</f>
        <v>7620</v>
      </c>
      <c r="P36" s="6">
        <f>SUM(P56:P60)</f>
        <v>5010</v>
      </c>
      <c r="Q36" s="6">
        <f>6155+143+567+334+498</f>
        <v>7697</v>
      </c>
    </row>
    <row r="38" spans="2:23" x14ac:dyDescent="0.2">
      <c r="B38" s="6" t="s">
        <v>3</v>
      </c>
      <c r="P38" s="6">
        <v>7141</v>
      </c>
      <c r="Q38" s="6">
        <v>7613</v>
      </c>
    </row>
    <row r="39" spans="2:23" x14ac:dyDescent="0.2">
      <c r="B39" s="6" t="s">
        <v>35</v>
      </c>
      <c r="P39" s="6">
        <v>701</v>
      </c>
      <c r="Q39" s="6">
        <v>273</v>
      </c>
    </row>
    <row r="40" spans="2:23" x14ac:dyDescent="0.2">
      <c r="B40" s="6" t="s">
        <v>36</v>
      </c>
      <c r="P40" s="6">
        <v>2224</v>
      </c>
      <c r="Q40" s="6">
        <v>2072</v>
      </c>
    </row>
    <row r="41" spans="2:23" x14ac:dyDescent="0.2">
      <c r="B41" s="6" t="s">
        <v>37</v>
      </c>
      <c r="P41" s="6">
        <v>1018</v>
      </c>
      <c r="Q41" s="6">
        <v>1274</v>
      </c>
    </row>
    <row r="42" spans="2:23" x14ac:dyDescent="0.2">
      <c r="B42" s="6" t="s">
        <v>38</v>
      </c>
      <c r="P42" s="6">
        <v>2030</v>
      </c>
      <c r="Q42" s="6">
        <v>1936</v>
      </c>
    </row>
    <row r="43" spans="2:23" x14ac:dyDescent="0.2">
      <c r="B43" s="6" t="s">
        <v>39</v>
      </c>
      <c r="P43" s="6">
        <v>358</v>
      </c>
      <c r="Q43" s="6">
        <v>281</v>
      </c>
    </row>
    <row r="44" spans="2:23" x14ac:dyDescent="0.2">
      <c r="B44" s="6" t="s">
        <v>40</v>
      </c>
      <c r="P44" s="6">
        <v>12805</v>
      </c>
      <c r="Q44" s="6">
        <v>12788</v>
      </c>
    </row>
    <row r="45" spans="2:23" x14ac:dyDescent="0.2">
      <c r="B45" s="6" t="s">
        <v>41</v>
      </c>
      <c r="P45" s="6">
        <v>1088</v>
      </c>
      <c r="Q45" s="6">
        <v>782</v>
      </c>
    </row>
    <row r="46" spans="2:23" x14ac:dyDescent="0.2">
      <c r="B46" s="6" t="s">
        <v>42</v>
      </c>
      <c r="P46" s="6">
        <v>1191</v>
      </c>
      <c r="Q46" s="6">
        <v>1657</v>
      </c>
    </row>
    <row r="47" spans="2:23" x14ac:dyDescent="0.2">
      <c r="B47" s="6" t="s">
        <v>43</v>
      </c>
      <c r="P47" s="6">
        <v>1223</v>
      </c>
      <c r="Q47" s="6">
        <v>1554</v>
      </c>
    </row>
    <row r="48" spans="2:23" x14ac:dyDescent="0.2">
      <c r="B48" s="6" t="s">
        <v>44</v>
      </c>
      <c r="P48" s="6">
        <f>SUM(P38:P47)</f>
        <v>29779</v>
      </c>
      <c r="Q48" s="6">
        <f>SUM(Q38:Q47)</f>
        <v>30230</v>
      </c>
    </row>
    <row r="50" spans="2:17" x14ac:dyDescent="0.2">
      <c r="B50" s="6" t="s">
        <v>45</v>
      </c>
      <c r="P50" s="6">
        <v>314</v>
      </c>
      <c r="Q50" s="6">
        <v>361</v>
      </c>
    </row>
    <row r="51" spans="2:17" x14ac:dyDescent="0.2">
      <c r="B51" s="6" t="s">
        <v>46</v>
      </c>
      <c r="P51" s="6">
        <v>1942</v>
      </c>
      <c r="Q51" s="6">
        <v>2336</v>
      </c>
    </row>
    <row r="52" spans="2:17" x14ac:dyDescent="0.2">
      <c r="B52" s="6" t="s">
        <v>50</v>
      </c>
      <c r="P52" s="6">
        <v>0</v>
      </c>
      <c r="Q52" s="6">
        <v>1499</v>
      </c>
    </row>
    <row r="53" spans="2:17" x14ac:dyDescent="0.2">
      <c r="B53" s="6" t="s">
        <v>47</v>
      </c>
      <c r="P53" s="6">
        <v>5837</v>
      </c>
      <c r="Q53" s="6">
        <v>6131</v>
      </c>
    </row>
    <row r="54" spans="2:17" x14ac:dyDescent="0.2">
      <c r="B54" s="6" t="s">
        <v>48</v>
      </c>
      <c r="P54" s="6">
        <v>85</v>
      </c>
      <c r="Q54" s="6">
        <v>119</v>
      </c>
    </row>
    <row r="55" spans="2:17" x14ac:dyDescent="0.2">
      <c r="B55" s="6" t="s">
        <v>49</v>
      </c>
      <c r="P55" s="6">
        <v>73</v>
      </c>
      <c r="Q55" s="6">
        <v>75</v>
      </c>
    </row>
    <row r="56" spans="2:17" x14ac:dyDescent="0.2">
      <c r="B56" s="6" t="s">
        <v>51</v>
      </c>
      <c r="P56" s="6">
        <v>3634</v>
      </c>
      <c r="Q56" s="6">
        <v>4129</v>
      </c>
    </row>
    <row r="57" spans="2:17" x14ac:dyDescent="0.2">
      <c r="B57" s="6" t="s">
        <v>52</v>
      </c>
      <c r="P57" s="6">
        <v>113</v>
      </c>
      <c r="Q57" s="6">
        <v>128</v>
      </c>
    </row>
    <row r="58" spans="2:17" x14ac:dyDescent="0.2">
      <c r="B58" s="6" t="s">
        <v>64</v>
      </c>
      <c r="P58" s="6">
        <v>514</v>
      </c>
      <c r="Q58" s="6">
        <v>548</v>
      </c>
    </row>
    <row r="59" spans="2:17" x14ac:dyDescent="0.2">
      <c r="B59" s="6" t="s">
        <v>49</v>
      </c>
      <c r="P59" s="6">
        <v>373</v>
      </c>
      <c r="Q59" s="6">
        <v>353</v>
      </c>
    </row>
    <row r="60" spans="2:17" x14ac:dyDescent="0.2">
      <c r="B60" s="6" t="s">
        <v>53</v>
      </c>
      <c r="P60" s="6">
        <v>376</v>
      </c>
      <c r="Q60" s="6">
        <v>446</v>
      </c>
    </row>
    <row r="61" spans="2:17" x14ac:dyDescent="0.2">
      <c r="B61" s="6" t="s">
        <v>55</v>
      </c>
      <c r="P61" s="6">
        <f>SUM(P50:P60)</f>
        <v>13261</v>
      </c>
      <c r="Q61" s="6">
        <f>SUM(Q50:Q60)</f>
        <v>16125</v>
      </c>
    </row>
    <row r="62" spans="2:17" x14ac:dyDescent="0.2">
      <c r="B62" s="6" t="s">
        <v>54</v>
      </c>
      <c r="P62" s="6">
        <f>P48-P61</f>
        <v>16518</v>
      </c>
      <c r="Q62" s="6">
        <f>Q48-Q61</f>
        <v>14105</v>
      </c>
    </row>
    <row r="63" spans="2:17" x14ac:dyDescent="0.2">
      <c r="B63" s="6" t="s">
        <v>56</v>
      </c>
      <c r="P63" s="6">
        <f>P62+P61</f>
        <v>29779</v>
      </c>
      <c r="Q63" s="6">
        <f>Q62+Q61</f>
        <v>30230</v>
      </c>
    </row>
    <row r="65" spans="2:29" x14ac:dyDescent="0.2">
      <c r="B65" s="6" t="s">
        <v>65</v>
      </c>
      <c r="P65" s="6">
        <f>P40/P9*360</f>
        <v>41.250966046679373</v>
      </c>
      <c r="Q65" s="6">
        <f>Q40/Q9*360</f>
        <v>34.68588700302255</v>
      </c>
    </row>
    <row r="66" spans="2:29" x14ac:dyDescent="0.2">
      <c r="Q66" s="14"/>
      <c r="R66" s="14"/>
      <c r="S66" s="14"/>
    </row>
    <row r="67" spans="2:29" s="10" customFormat="1" x14ac:dyDescent="0.2">
      <c r="B67" s="6" t="s">
        <v>66</v>
      </c>
      <c r="O67" s="10">
        <f t="shared" ref="O67:W67" si="46">O23</f>
        <v>4884</v>
      </c>
      <c r="P67" s="10">
        <f t="shared" si="46"/>
        <v>5350</v>
      </c>
      <c r="Q67" s="10">
        <f t="shared" si="46"/>
        <v>6418</v>
      </c>
      <c r="R67" s="10">
        <f t="shared" si="46"/>
        <v>7294.68002638498</v>
      </c>
      <c r="S67" s="10">
        <f t="shared" si="46"/>
        <v>8190.4390248322798</v>
      </c>
      <c r="T67" s="10">
        <f t="shared" si="46"/>
        <v>9284.0636386688475</v>
      </c>
      <c r="U67" s="10">
        <f t="shared" si="46"/>
        <v>10502.90545900313</v>
      </c>
      <c r="V67" s="10">
        <f t="shared" si="46"/>
        <v>11860.653131678255</v>
      </c>
      <c r="W67" s="10">
        <f t="shared" si="46"/>
        <v>13372.455836993808</v>
      </c>
    </row>
    <row r="68" spans="2:29" x14ac:dyDescent="0.2">
      <c r="B68" s="6" t="s">
        <v>67</v>
      </c>
      <c r="O68" s="6">
        <v>4756</v>
      </c>
      <c r="P68" s="6">
        <v>5428</v>
      </c>
      <c r="Q68" s="6">
        <v>5560</v>
      </c>
      <c r="R68" s="14"/>
    </row>
    <row r="69" spans="2:29" x14ac:dyDescent="0.2">
      <c r="B69" s="6" t="s">
        <v>68</v>
      </c>
      <c r="O69" s="6">
        <v>856</v>
      </c>
      <c r="P69" s="6">
        <v>872</v>
      </c>
      <c r="Q69" s="6">
        <v>857</v>
      </c>
      <c r="R69" s="6">
        <f t="shared" ref="R69:W69" si="47">Q69*(1+R27)</f>
        <v>940.48825854452457</v>
      </c>
      <c r="S69" s="6">
        <f t="shared" si="47"/>
        <v>1034.5370843989772</v>
      </c>
      <c r="T69" s="6">
        <f t="shared" si="47"/>
        <v>1137.990792838875</v>
      </c>
      <c r="U69" s="6">
        <f t="shared" si="47"/>
        <v>1251.7898721227625</v>
      </c>
      <c r="V69" s="6">
        <f t="shared" si="47"/>
        <v>1376.9688593350388</v>
      </c>
      <c r="W69" s="6">
        <f t="shared" si="47"/>
        <v>1514.6657452685429</v>
      </c>
    </row>
    <row r="70" spans="2:29" x14ac:dyDescent="0.2">
      <c r="B70" s="6" t="s">
        <v>69</v>
      </c>
      <c r="O70" s="6">
        <v>1440</v>
      </c>
      <c r="P70" s="6">
        <v>1718</v>
      </c>
      <c r="Q70" s="6">
        <v>1833</v>
      </c>
      <c r="R70" s="6">
        <f t="shared" ref="R70:W70" si="48">Q70*1.1</f>
        <v>2016.3000000000002</v>
      </c>
      <c r="S70" s="6">
        <f t="shared" si="48"/>
        <v>2217.9300000000003</v>
      </c>
      <c r="T70" s="6">
        <f t="shared" si="48"/>
        <v>2439.7230000000004</v>
      </c>
      <c r="U70" s="6">
        <f t="shared" si="48"/>
        <v>2683.6953000000008</v>
      </c>
      <c r="V70" s="6">
        <f t="shared" si="48"/>
        <v>2952.0648300000012</v>
      </c>
      <c r="W70" s="6">
        <f t="shared" si="48"/>
        <v>3247.2713130000016</v>
      </c>
    </row>
    <row r="71" spans="2:29" x14ac:dyDescent="0.2">
      <c r="B71" s="6" t="s">
        <v>70</v>
      </c>
      <c r="O71" s="6">
        <v>83</v>
      </c>
      <c r="P71" s="6">
        <v>72</v>
      </c>
      <c r="Q71" s="6">
        <v>77</v>
      </c>
      <c r="R71" s="6">
        <f t="shared" ref="R71:W71" si="49">Q71*(1+R27)</f>
        <v>84.501278772378527</v>
      </c>
      <c r="S71" s="6">
        <f t="shared" si="49"/>
        <v>92.951406649616388</v>
      </c>
      <c r="T71" s="6">
        <f t="shared" si="49"/>
        <v>102.24654731457804</v>
      </c>
      <c r="U71" s="6">
        <f t="shared" si="49"/>
        <v>112.47120204603586</v>
      </c>
      <c r="V71" s="6">
        <f t="shared" si="49"/>
        <v>123.71832225063945</v>
      </c>
      <c r="W71" s="6">
        <f t="shared" si="49"/>
        <v>136.0901544757034</v>
      </c>
    </row>
    <row r="72" spans="2:29" x14ac:dyDescent="0.2">
      <c r="B72" s="6" t="s">
        <v>71</v>
      </c>
      <c r="O72" s="6">
        <v>0</v>
      </c>
      <c r="P72" s="6">
        <v>0</v>
      </c>
      <c r="Q72" s="6">
        <v>78</v>
      </c>
      <c r="R72" s="6">
        <f t="shared" ref="R72:W72" si="50">Q72*(1+R27)</f>
        <v>85.598697977214599</v>
      </c>
      <c r="S72" s="6">
        <f t="shared" si="50"/>
        <v>94.15856777493606</v>
      </c>
      <c r="T72" s="6">
        <f t="shared" si="50"/>
        <v>103.57442455242968</v>
      </c>
      <c r="U72" s="6">
        <f t="shared" si="50"/>
        <v>113.93186700767265</v>
      </c>
      <c r="V72" s="6">
        <f t="shared" si="50"/>
        <v>125.32505370843992</v>
      </c>
      <c r="W72" s="6">
        <f t="shared" si="50"/>
        <v>137.85755907928393</v>
      </c>
    </row>
    <row r="73" spans="2:29" x14ac:dyDescent="0.2">
      <c r="B73" s="6" t="s">
        <v>42</v>
      </c>
      <c r="O73" s="6">
        <v>328</v>
      </c>
      <c r="P73" s="6">
        <v>-426</v>
      </c>
      <c r="Q73" s="6">
        <v>-468</v>
      </c>
      <c r="R73" s="6">
        <f t="shared" ref="R73:W73" si="51">Q73*(1+R27)</f>
        <v>-513.59218786328768</v>
      </c>
      <c r="S73" s="6">
        <f t="shared" si="51"/>
        <v>-564.9514066496165</v>
      </c>
      <c r="T73" s="6">
        <f t="shared" si="51"/>
        <v>-621.4465473145782</v>
      </c>
      <c r="U73" s="6">
        <f t="shared" si="51"/>
        <v>-683.59120204603607</v>
      </c>
      <c r="V73" s="6">
        <f t="shared" si="51"/>
        <v>-751.95032225063972</v>
      </c>
      <c r="W73" s="6">
        <f t="shared" si="51"/>
        <v>-827.1453544757037</v>
      </c>
    </row>
    <row r="74" spans="2:29" x14ac:dyDescent="0.2">
      <c r="B74" s="6" t="s">
        <v>72</v>
      </c>
      <c r="O74" s="6">
        <v>29</v>
      </c>
      <c r="P74" s="6">
        <v>-10</v>
      </c>
      <c r="Q74" s="6">
        <v>-35</v>
      </c>
      <c r="R74" s="6">
        <f t="shared" ref="R74:W74" si="52">Q74*(1+R27)</f>
        <v>-38.409672169262961</v>
      </c>
      <c r="S74" s="6">
        <f t="shared" si="52"/>
        <v>-42.250639386189263</v>
      </c>
      <c r="T74" s="6">
        <f t="shared" si="52"/>
        <v>-46.475703324808194</v>
      </c>
      <c r="U74" s="6">
        <f t="shared" si="52"/>
        <v>-51.123273657289019</v>
      </c>
      <c r="V74" s="6">
        <f t="shared" si="52"/>
        <v>-56.235601023017928</v>
      </c>
      <c r="W74" s="6">
        <f t="shared" si="52"/>
        <v>-61.859161125319723</v>
      </c>
      <c r="AC74" s="19"/>
    </row>
    <row r="75" spans="2:29" x14ac:dyDescent="0.2">
      <c r="B75" s="6" t="s">
        <v>73</v>
      </c>
      <c r="O75" s="6">
        <v>10</v>
      </c>
      <c r="P75" s="6">
        <v>3</v>
      </c>
      <c r="Q75" s="6">
        <v>10</v>
      </c>
      <c r="R75" s="6">
        <f t="shared" ref="R75:W75" si="53">Q75*(1+R27)</f>
        <v>10.974192048360846</v>
      </c>
      <c r="S75" s="6">
        <f t="shared" si="53"/>
        <v>12.071611253196933</v>
      </c>
      <c r="T75" s="6">
        <f t="shared" si="53"/>
        <v>13.278772378516628</v>
      </c>
      <c r="U75" s="6">
        <f t="shared" si="53"/>
        <v>14.606649616368292</v>
      </c>
      <c r="V75" s="6">
        <f t="shared" si="53"/>
        <v>16.067314578005124</v>
      </c>
      <c r="W75" s="6">
        <f t="shared" si="53"/>
        <v>17.674046035805638</v>
      </c>
      <c r="AC75" s="19"/>
    </row>
    <row r="76" spans="2:29" x14ac:dyDescent="0.2">
      <c r="B76" s="6" t="s">
        <v>36</v>
      </c>
      <c r="O76" s="6">
        <v>-198</v>
      </c>
      <c r="P76" s="6">
        <v>-159</v>
      </c>
      <c r="Q76" s="6">
        <v>143</v>
      </c>
      <c r="R76" s="6">
        <v>0</v>
      </c>
      <c r="S76" s="6">
        <f>R76*(1+S27)</f>
        <v>0</v>
      </c>
      <c r="T76" s="6">
        <f>S76*(1+T27)</f>
        <v>0</v>
      </c>
      <c r="U76" s="6">
        <f>T76*(1+U27)</f>
        <v>0</v>
      </c>
      <c r="V76" s="6">
        <f>U76*(1+V27)</f>
        <v>0</v>
      </c>
      <c r="W76" s="6">
        <f>V76*(1+W27)</f>
        <v>0</v>
      </c>
      <c r="AC76" s="19"/>
    </row>
    <row r="77" spans="2:29" x14ac:dyDescent="0.2">
      <c r="B77" s="6" t="s">
        <v>37</v>
      </c>
      <c r="O77" s="6">
        <v>-94</v>
      </c>
      <c r="P77" s="6">
        <v>-818</v>
      </c>
      <c r="Q77" s="6">
        <v>-616</v>
      </c>
      <c r="R77" s="6">
        <f t="shared" ref="R77:W77" si="54">Q77*(1+R27)</f>
        <v>-676.01023017902821</v>
      </c>
      <c r="S77" s="6">
        <f t="shared" si="54"/>
        <v>-743.6112531969311</v>
      </c>
      <c r="T77" s="6">
        <f t="shared" si="54"/>
        <v>-817.9723785166243</v>
      </c>
      <c r="U77" s="6">
        <f t="shared" si="54"/>
        <v>-899.76961636828685</v>
      </c>
      <c r="V77" s="6">
        <f t="shared" si="54"/>
        <v>-989.74657800511557</v>
      </c>
      <c r="W77" s="6">
        <f t="shared" si="54"/>
        <v>-1088.7212358056272</v>
      </c>
      <c r="AC77" s="19"/>
    </row>
    <row r="78" spans="2:29" x14ac:dyDescent="0.2">
      <c r="B78" s="6" t="s">
        <v>74</v>
      </c>
      <c r="O78" s="6">
        <v>66</v>
      </c>
      <c r="P78" s="6">
        <v>-49</v>
      </c>
      <c r="Q78" s="6">
        <v>44</v>
      </c>
      <c r="R78" s="6">
        <f t="shared" ref="R78:W78" si="55">Q78*(1+R27)</f>
        <v>48.286445012787723</v>
      </c>
      <c r="S78" s="6">
        <f t="shared" si="55"/>
        <v>53.115089514066497</v>
      </c>
      <c r="T78" s="6">
        <f t="shared" si="55"/>
        <v>58.426598465473148</v>
      </c>
      <c r="U78" s="6">
        <f t="shared" si="55"/>
        <v>64.269258312020469</v>
      </c>
      <c r="V78" s="6">
        <f t="shared" si="55"/>
        <v>70.696184143222524</v>
      </c>
      <c r="W78" s="6">
        <f t="shared" si="55"/>
        <v>77.765802557544788</v>
      </c>
      <c r="AC78" s="19"/>
    </row>
    <row r="79" spans="2:29" x14ac:dyDescent="0.2">
      <c r="B79" s="6" t="s">
        <v>46</v>
      </c>
      <c r="O79" s="6">
        <v>7</v>
      </c>
      <c r="P79" s="6">
        <v>146</v>
      </c>
      <c r="Q79" s="6">
        <v>196</v>
      </c>
      <c r="R79" s="6">
        <f t="shared" ref="R79:W79" si="56">Q79*(1+R27)</f>
        <v>215.09416414787259</v>
      </c>
      <c r="S79" s="6">
        <f t="shared" si="56"/>
        <v>236.60358056265986</v>
      </c>
      <c r="T79" s="6">
        <f t="shared" si="56"/>
        <v>260.26393861892586</v>
      </c>
      <c r="U79" s="6">
        <f t="shared" si="56"/>
        <v>286.29033248081845</v>
      </c>
      <c r="V79" s="6">
        <f t="shared" si="56"/>
        <v>314.91936572890035</v>
      </c>
      <c r="W79" s="6">
        <f t="shared" si="56"/>
        <v>346.41130230179039</v>
      </c>
    </row>
    <row r="80" spans="2:29" x14ac:dyDescent="0.2">
      <c r="B80" s="6" t="s">
        <v>48</v>
      </c>
      <c r="O80" s="6">
        <v>19</v>
      </c>
      <c r="P80" s="6">
        <v>-11</v>
      </c>
      <c r="Q80" s="6">
        <v>68</v>
      </c>
      <c r="R80" s="6">
        <f t="shared" ref="R80:W80" si="57">Q80*(1+R27)</f>
        <v>74.624505928853765</v>
      </c>
      <c r="S80" s="6">
        <f t="shared" si="57"/>
        <v>82.086956521739154</v>
      </c>
      <c r="T80" s="6">
        <f t="shared" si="57"/>
        <v>90.295652173913084</v>
      </c>
      <c r="U80" s="6">
        <f t="shared" si="57"/>
        <v>99.325217391304406</v>
      </c>
      <c r="V80" s="6">
        <f t="shared" si="57"/>
        <v>109.25773913043486</v>
      </c>
      <c r="W80" s="6">
        <f t="shared" si="57"/>
        <v>120.18351304347836</v>
      </c>
    </row>
    <row r="81" spans="1:115" x14ac:dyDescent="0.2">
      <c r="B81" s="6" t="s">
        <v>75</v>
      </c>
      <c r="O81" s="6">
        <v>536</v>
      </c>
      <c r="P81" s="6">
        <v>536</v>
      </c>
      <c r="Q81" s="6">
        <v>309</v>
      </c>
      <c r="R81" s="6">
        <v>0</v>
      </c>
      <c r="S81" s="6">
        <f>R81*(1+S27)</f>
        <v>0</v>
      </c>
      <c r="T81" s="6">
        <f>S81*(1+T27)</f>
        <v>0</v>
      </c>
      <c r="U81" s="6">
        <f>T81*(1+U27)</f>
        <v>0</v>
      </c>
      <c r="V81" s="6">
        <f>U81*(1+V27)</f>
        <v>0</v>
      </c>
      <c r="W81" s="6">
        <f>V81*(1+W27)</f>
        <v>0</v>
      </c>
    </row>
    <row r="82" spans="1:115" s="10" customFormat="1" x14ac:dyDescent="0.2">
      <c r="A82" s="6"/>
      <c r="B82" s="10" t="s">
        <v>25</v>
      </c>
      <c r="C82" s="1"/>
      <c r="D82" s="1"/>
      <c r="E82" s="1"/>
      <c r="F82" s="1"/>
      <c r="H82" s="1"/>
      <c r="I82" s="1"/>
      <c r="J82" s="1"/>
      <c r="K82" s="1"/>
      <c r="O82" s="10">
        <f>SUM(O68:O81)</f>
        <v>7838</v>
      </c>
      <c r="P82" s="10">
        <f t="shared" ref="P82:Q82" si="58">SUM(P68:P81)</f>
        <v>7302</v>
      </c>
      <c r="Q82" s="10">
        <f t="shared" si="58"/>
        <v>8056</v>
      </c>
      <c r="R82" s="10">
        <f>SUM(R67:R81)</f>
        <v>9542.5354786053977</v>
      </c>
      <c r="S82" s="10">
        <f t="shared" ref="S82:V82" si="59">SUM(S67:S81)</f>
        <v>10663.080022274735</v>
      </c>
      <c r="T82" s="10">
        <f t="shared" si="59"/>
        <v>12003.968735855549</v>
      </c>
      <c r="U82" s="10">
        <f t="shared" si="59"/>
        <v>13494.801065908499</v>
      </c>
      <c r="V82" s="10">
        <f t="shared" si="59"/>
        <v>15151.738299274164</v>
      </c>
      <c r="W82" s="10">
        <f t="shared" ref="W82" si="60">SUM(W67:W81)</f>
        <v>16992.649521349304</v>
      </c>
    </row>
    <row r="83" spans="1:115" x14ac:dyDescent="0.2">
      <c r="B83" s="6" t="s">
        <v>77</v>
      </c>
      <c r="O83" s="6">
        <v>-909</v>
      </c>
      <c r="P83" s="6">
        <v>0</v>
      </c>
      <c r="Q83" s="6">
        <v>-59</v>
      </c>
      <c r="Y83" s="6" t="s">
        <v>29</v>
      </c>
      <c r="Z83" s="14">
        <v>0.02</v>
      </c>
    </row>
    <row r="84" spans="1:115" x14ac:dyDescent="0.2">
      <c r="B84" s="6" t="s">
        <v>76</v>
      </c>
      <c r="O84" s="6">
        <v>683</v>
      </c>
      <c r="P84" s="6">
        <v>965</v>
      </c>
      <c r="Q84" s="6">
        <v>486</v>
      </c>
      <c r="Y84" s="6" t="s">
        <v>30</v>
      </c>
      <c r="Z84" s="14">
        <v>0.01</v>
      </c>
    </row>
    <row r="85" spans="1:115" x14ac:dyDescent="0.2">
      <c r="B85" s="6" t="s">
        <v>78</v>
      </c>
      <c r="O85" s="6">
        <v>270</v>
      </c>
      <c r="P85" s="6">
        <v>223</v>
      </c>
      <c r="Q85" s="6">
        <v>11</v>
      </c>
      <c r="Y85" s="6" t="s">
        <v>31</v>
      </c>
      <c r="Z85" s="15">
        <v>8.5000000000000006E-2</v>
      </c>
    </row>
    <row r="86" spans="1:115" x14ac:dyDescent="0.2">
      <c r="B86" s="6" t="s">
        <v>79</v>
      </c>
      <c r="O86" s="6">
        <v>-126</v>
      </c>
      <c r="P86" s="6">
        <v>0</v>
      </c>
      <c r="Q86" s="6">
        <v>0</v>
      </c>
      <c r="Y86" s="6" t="s">
        <v>32</v>
      </c>
      <c r="Z86" s="10">
        <f>NPV(Z85,R91:DK91)+Main!K5-Main!K6</f>
        <v>189943.56809548015</v>
      </c>
    </row>
    <row r="87" spans="1:115" x14ac:dyDescent="0.2">
      <c r="B87" s="6" t="s">
        <v>80</v>
      </c>
      <c r="O87" s="6">
        <v>-442</v>
      </c>
      <c r="P87" s="6">
        <v>-360</v>
      </c>
      <c r="Q87" s="6">
        <v>-183</v>
      </c>
      <c r="Y87" s="24" t="s">
        <v>105</v>
      </c>
      <c r="Z87" s="9">
        <f>Z86/Main!K3</f>
        <v>447.76890168665761</v>
      </c>
    </row>
    <row r="88" spans="1:115" x14ac:dyDescent="0.2">
      <c r="B88" s="6" t="s">
        <v>81</v>
      </c>
      <c r="O88" s="6">
        <v>-46</v>
      </c>
      <c r="P88" s="6">
        <v>-53</v>
      </c>
      <c r="Q88" s="6">
        <v>-108</v>
      </c>
      <c r="Z88" s="14">
        <f>Z87/Main!K2-1</f>
        <v>0.27569487660016412</v>
      </c>
    </row>
    <row r="89" spans="1:115" x14ac:dyDescent="0.2">
      <c r="B89" s="6" t="s">
        <v>82</v>
      </c>
      <c r="O89" s="6">
        <v>0</v>
      </c>
      <c r="P89" s="6">
        <v>1</v>
      </c>
      <c r="Q89" s="6">
        <v>2</v>
      </c>
    </row>
    <row r="90" spans="1:115" s="10" customFormat="1" x14ac:dyDescent="0.2">
      <c r="A90" s="6"/>
      <c r="B90" s="10" t="s">
        <v>83</v>
      </c>
      <c r="C90" s="1"/>
      <c r="D90" s="1"/>
      <c r="E90" s="1"/>
      <c r="F90" s="1"/>
      <c r="H90" s="1"/>
      <c r="I90" s="1"/>
      <c r="J90" s="1"/>
      <c r="K90" s="1"/>
      <c r="O90" s="10">
        <f>O87+O86</f>
        <v>-568</v>
      </c>
      <c r="P90" s="10">
        <f t="shared" ref="P90:Q90" si="61">P87+P86</f>
        <v>-360</v>
      </c>
      <c r="Q90" s="10">
        <f t="shared" si="61"/>
        <v>-183</v>
      </c>
      <c r="R90" s="10">
        <v>-300</v>
      </c>
      <c r="S90" s="10">
        <f>R90*(1+S27)</f>
        <v>-330</v>
      </c>
      <c r="T90" s="10">
        <f>S90*(1+T27)</f>
        <v>-363.00000000000006</v>
      </c>
      <c r="U90" s="10">
        <f>T90*(1+U27)</f>
        <v>-399.30000000000007</v>
      </c>
      <c r="V90" s="10">
        <f>U90*(1+V27)</f>
        <v>-439.23000000000013</v>
      </c>
      <c r="W90" s="10">
        <f>V90*(1+W27)</f>
        <v>-483.15300000000019</v>
      </c>
    </row>
    <row r="91" spans="1:115" s="10" customFormat="1" x14ac:dyDescent="0.2">
      <c r="A91" s="6"/>
      <c r="B91" s="10" t="s">
        <v>26</v>
      </c>
      <c r="C91" s="1"/>
      <c r="D91" s="1"/>
      <c r="E91" s="1"/>
      <c r="F91" s="1"/>
      <c r="H91" s="1"/>
      <c r="I91" s="1"/>
      <c r="J91" s="1"/>
      <c r="K91" s="1"/>
      <c r="O91" s="10">
        <f>O82+O90</f>
        <v>7270</v>
      </c>
      <c r="P91" s="10">
        <f t="shared" ref="P91:V91" si="62">P82+P90</f>
        <v>6942</v>
      </c>
      <c r="Q91" s="10">
        <f t="shared" si="62"/>
        <v>7873</v>
      </c>
      <c r="R91" s="10">
        <f t="shared" si="62"/>
        <v>9242.5354786053977</v>
      </c>
      <c r="S91" s="10">
        <f t="shared" si="62"/>
        <v>10333.080022274735</v>
      </c>
      <c r="T91" s="10">
        <f t="shared" si="62"/>
        <v>11640.968735855549</v>
      </c>
      <c r="U91" s="10">
        <f t="shared" si="62"/>
        <v>13095.5010659085</v>
      </c>
      <c r="V91" s="10">
        <f t="shared" si="62"/>
        <v>14712.508299274165</v>
      </c>
      <c r="W91" s="10">
        <f t="shared" ref="W91" si="63">W82+W90</f>
        <v>16509.496521349305</v>
      </c>
      <c r="X91" s="10">
        <f t="shared" ref="X91:BC91" si="64">W91*(1+$Z$84)</f>
        <v>16674.5914865628</v>
      </c>
      <c r="Y91" s="10">
        <f t="shared" si="64"/>
        <v>16841.337401428427</v>
      </c>
      <c r="Z91" s="10">
        <f t="shared" si="64"/>
        <v>17009.750775442713</v>
      </c>
      <c r="AA91" s="10">
        <f t="shared" si="64"/>
        <v>17179.848283197141</v>
      </c>
      <c r="AB91" s="10">
        <f t="shared" si="64"/>
        <v>17351.646766029113</v>
      </c>
      <c r="AC91" s="10">
        <f t="shared" si="64"/>
        <v>17525.163233689404</v>
      </c>
      <c r="AD91" s="10">
        <f t="shared" si="64"/>
        <v>17700.414866026298</v>
      </c>
      <c r="AE91" s="10">
        <f t="shared" si="64"/>
        <v>17877.419014686562</v>
      </c>
      <c r="AF91" s="10">
        <f t="shared" si="64"/>
        <v>18056.193204833427</v>
      </c>
      <c r="AG91" s="10">
        <f t="shared" si="64"/>
        <v>18236.755136881762</v>
      </c>
      <c r="AH91" s="10">
        <f t="shared" si="64"/>
        <v>18419.12268825058</v>
      </c>
      <c r="AI91" s="10">
        <f t="shared" si="64"/>
        <v>18603.313915133087</v>
      </c>
      <c r="AJ91" s="10">
        <f t="shared" si="64"/>
        <v>18789.347054284419</v>
      </c>
      <c r="AK91" s="10">
        <f t="shared" si="64"/>
        <v>18977.240524827263</v>
      </c>
      <c r="AL91" s="10">
        <f t="shared" si="64"/>
        <v>19167.012930075536</v>
      </c>
      <c r="AM91" s="10">
        <f t="shared" si="64"/>
        <v>19358.683059376293</v>
      </c>
      <c r="AN91" s="10">
        <f t="shared" si="64"/>
        <v>19552.269889970055</v>
      </c>
      <c r="AO91" s="10">
        <f t="shared" si="64"/>
        <v>19747.792588869757</v>
      </c>
      <c r="AP91" s="10">
        <f t="shared" si="64"/>
        <v>19945.270514758457</v>
      </c>
      <c r="AQ91" s="10">
        <f t="shared" si="64"/>
        <v>20144.723219906042</v>
      </c>
      <c r="AR91" s="10">
        <f t="shared" si="64"/>
        <v>20346.170452105103</v>
      </c>
      <c r="AS91" s="10">
        <f t="shared" si="64"/>
        <v>20549.632156626154</v>
      </c>
      <c r="AT91" s="10">
        <f t="shared" si="64"/>
        <v>20755.128478192415</v>
      </c>
      <c r="AU91" s="10">
        <f t="shared" si="64"/>
        <v>20962.679762974338</v>
      </c>
      <c r="AV91" s="10">
        <f t="shared" si="64"/>
        <v>21172.30656060408</v>
      </c>
      <c r="AW91" s="10">
        <f t="shared" si="64"/>
        <v>21384.029626210122</v>
      </c>
      <c r="AX91" s="10">
        <f t="shared" si="64"/>
        <v>21597.869922472222</v>
      </c>
      <c r="AY91" s="10">
        <f t="shared" si="64"/>
        <v>21813.848621696943</v>
      </c>
      <c r="AZ91" s="10">
        <f t="shared" si="64"/>
        <v>22031.987107913912</v>
      </c>
      <c r="BA91" s="10">
        <f t="shared" si="64"/>
        <v>22252.306978993052</v>
      </c>
      <c r="BB91" s="10">
        <f t="shared" si="64"/>
        <v>22474.830048782984</v>
      </c>
      <c r="BC91" s="10">
        <f t="shared" si="64"/>
        <v>22699.578349270814</v>
      </c>
      <c r="BD91" s="10">
        <f t="shared" ref="BD91:CI91" si="65">BC91*(1+$Z$84)</f>
        <v>22926.574132763522</v>
      </c>
      <c r="BE91" s="10">
        <f t="shared" si="65"/>
        <v>23155.839874091158</v>
      </c>
      <c r="BF91" s="10">
        <f t="shared" si="65"/>
        <v>23387.39827283207</v>
      </c>
      <c r="BG91" s="10">
        <f t="shared" si="65"/>
        <v>23621.27225556039</v>
      </c>
      <c r="BH91" s="10">
        <f t="shared" si="65"/>
        <v>23857.484978115994</v>
      </c>
      <c r="BI91" s="10">
        <f t="shared" si="65"/>
        <v>24096.059827897156</v>
      </c>
      <c r="BJ91" s="10">
        <f t="shared" si="65"/>
        <v>24337.020426176128</v>
      </c>
      <c r="BK91" s="10">
        <f t="shared" si="65"/>
        <v>24580.390630437891</v>
      </c>
      <c r="BL91" s="10">
        <f t="shared" si="65"/>
        <v>24826.19453674227</v>
      </c>
      <c r="BM91" s="10">
        <f t="shared" si="65"/>
        <v>25074.456482109694</v>
      </c>
      <c r="BN91" s="10">
        <f t="shared" si="65"/>
        <v>25325.20104693079</v>
      </c>
      <c r="BO91" s="10">
        <f t="shared" si="65"/>
        <v>25578.453057400096</v>
      </c>
      <c r="BP91" s="10">
        <f t="shared" si="65"/>
        <v>25834.237587974098</v>
      </c>
      <c r="BQ91" s="10">
        <f t="shared" si="65"/>
        <v>26092.579963853837</v>
      </c>
      <c r="BR91" s="10">
        <f t="shared" si="65"/>
        <v>26353.505763492376</v>
      </c>
      <c r="BS91" s="10">
        <f t="shared" si="65"/>
        <v>26617.040821127299</v>
      </c>
      <c r="BT91" s="10">
        <f t="shared" si="65"/>
        <v>26883.211229338573</v>
      </c>
      <c r="BU91" s="10">
        <f t="shared" si="65"/>
        <v>27152.043341631957</v>
      </c>
      <c r="BV91" s="10">
        <f t="shared" si="65"/>
        <v>27423.563775048278</v>
      </c>
      <c r="BW91" s="10">
        <f t="shared" si="65"/>
        <v>27697.799412798762</v>
      </c>
      <c r="BX91" s="10">
        <f t="shared" si="65"/>
        <v>27974.777406926751</v>
      </c>
      <c r="BY91" s="10">
        <f t="shared" si="65"/>
        <v>28254.525180996017</v>
      </c>
      <c r="BZ91" s="10">
        <f t="shared" si="65"/>
        <v>28537.070432805976</v>
      </c>
      <c r="CA91" s="10">
        <f t="shared" si="65"/>
        <v>28822.441137134036</v>
      </c>
      <c r="CB91" s="10">
        <f t="shared" si="65"/>
        <v>29110.665548505378</v>
      </c>
      <c r="CC91" s="10">
        <f t="shared" si="65"/>
        <v>29401.772203990433</v>
      </c>
      <c r="CD91" s="10">
        <f t="shared" si="65"/>
        <v>29695.789926030338</v>
      </c>
      <c r="CE91" s="10">
        <f t="shared" si="65"/>
        <v>29992.74782529064</v>
      </c>
      <c r="CF91" s="10">
        <f t="shared" si="65"/>
        <v>30292.675303543547</v>
      </c>
      <c r="CG91" s="10">
        <f t="shared" si="65"/>
        <v>30595.602056578984</v>
      </c>
      <c r="CH91" s="10">
        <f t="shared" si="65"/>
        <v>30901.558077144775</v>
      </c>
      <c r="CI91" s="10">
        <f t="shared" si="65"/>
        <v>31210.573657916222</v>
      </c>
      <c r="CJ91" s="10">
        <f t="shared" ref="CJ91:DK91" si="66">CI91*(1+$Z$84)</f>
        <v>31522.679394495386</v>
      </c>
      <c r="CK91" s="10">
        <f t="shared" si="66"/>
        <v>31837.906188440342</v>
      </c>
      <c r="CL91" s="10">
        <f t="shared" si="66"/>
        <v>32156.285250324745</v>
      </c>
      <c r="CM91" s="10">
        <f t="shared" si="66"/>
        <v>32477.848102827993</v>
      </c>
      <c r="CN91" s="10">
        <f t="shared" si="66"/>
        <v>32802.626583856276</v>
      </c>
      <c r="CO91" s="10">
        <f t="shared" si="66"/>
        <v>33130.652849694838</v>
      </c>
      <c r="CP91" s="10">
        <f t="shared" si="66"/>
        <v>33461.959378191787</v>
      </c>
      <c r="CQ91" s="10">
        <f t="shared" si="66"/>
        <v>33796.578971973708</v>
      </c>
      <c r="CR91" s="10">
        <f t="shared" si="66"/>
        <v>34134.544761693447</v>
      </c>
      <c r="CS91" s="10">
        <f t="shared" si="66"/>
        <v>34475.890209310382</v>
      </c>
      <c r="CT91" s="10">
        <f t="shared" si="66"/>
        <v>34820.649111403487</v>
      </c>
      <c r="CU91" s="10">
        <f t="shared" si="66"/>
        <v>35168.85560251752</v>
      </c>
      <c r="CV91" s="10">
        <f t="shared" si="66"/>
        <v>35520.544158542696</v>
      </c>
      <c r="CW91" s="10">
        <f t="shared" si="66"/>
        <v>35875.749600128125</v>
      </c>
      <c r="CX91" s="10">
        <f t="shared" si="66"/>
        <v>36234.507096129404</v>
      </c>
      <c r="CY91" s="10">
        <f t="shared" si="66"/>
        <v>36596.852167090699</v>
      </c>
      <c r="CZ91" s="10">
        <f t="shared" si="66"/>
        <v>36962.820688761603</v>
      </c>
      <c r="DA91" s="10">
        <f t="shared" si="66"/>
        <v>37332.448895649221</v>
      </c>
      <c r="DB91" s="10">
        <f t="shared" si="66"/>
        <v>37705.773384605716</v>
      </c>
      <c r="DC91" s="10">
        <f t="shared" si="66"/>
        <v>38082.831118451773</v>
      </c>
      <c r="DD91" s="10">
        <f t="shared" si="66"/>
        <v>38463.659429636289</v>
      </c>
      <c r="DE91" s="10">
        <f t="shared" si="66"/>
        <v>38848.296023932649</v>
      </c>
      <c r="DF91" s="10">
        <f t="shared" si="66"/>
        <v>39236.778984171979</v>
      </c>
      <c r="DG91" s="10">
        <f t="shared" si="66"/>
        <v>39629.146774013701</v>
      </c>
      <c r="DH91" s="10">
        <f t="shared" si="66"/>
        <v>40025.438241753836</v>
      </c>
      <c r="DI91" s="10">
        <f t="shared" si="66"/>
        <v>40425.692624171374</v>
      </c>
      <c r="DJ91" s="10">
        <f t="shared" si="66"/>
        <v>40829.94955041309</v>
      </c>
      <c r="DK91" s="10">
        <f t="shared" si="66"/>
        <v>41238.249045917219</v>
      </c>
    </row>
    <row r="92" spans="1:115" x14ac:dyDescent="0.2">
      <c r="O92" s="14"/>
      <c r="P92" s="14"/>
      <c r="Q92" s="14"/>
    </row>
    <row r="93" spans="1:115" x14ac:dyDescent="0.2">
      <c r="Q93" s="14"/>
      <c r="R93" s="14"/>
      <c r="S93" s="14"/>
      <c r="T93" s="14"/>
      <c r="U93" s="14"/>
      <c r="V93" s="14"/>
      <c r="W93" s="14"/>
    </row>
  </sheetData>
  <hyperlinks>
    <hyperlink ref="A1" location="Sheet1!A1" display="Main" xr:uid="{23B09628-C10F-428D-B1F6-3DB7F50BA868}"/>
  </hyperlink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055F-E604-4755-AF20-EEFE8F06FE88}">
  <dimension ref="A1:D9"/>
  <sheetViews>
    <sheetView zoomScale="130" zoomScaleNormal="130" workbookViewId="0">
      <selection activeCell="A2" sqref="A2"/>
    </sheetView>
  </sheetViews>
  <sheetFormatPr defaultRowHeight="12.75" x14ac:dyDescent="0.2"/>
  <cols>
    <col min="1" max="1" width="5" style="20" bestFit="1" customWidth="1"/>
    <col min="2" max="16384" width="9.140625" style="20"/>
  </cols>
  <sheetData>
    <row r="1" spans="1:4" ht="15" x14ac:dyDescent="0.25">
      <c r="A1" s="22" t="s">
        <v>57</v>
      </c>
    </row>
    <row r="2" spans="1:4" x14ac:dyDescent="0.2">
      <c r="B2" s="21" t="s">
        <v>90</v>
      </c>
    </row>
    <row r="3" spans="1:4" x14ac:dyDescent="0.2">
      <c r="B3" s="20" t="s">
        <v>92</v>
      </c>
      <c r="D3" s="20" t="s">
        <v>94</v>
      </c>
    </row>
    <row r="4" spans="1:4" x14ac:dyDescent="0.2">
      <c r="B4" s="1" t="s">
        <v>91</v>
      </c>
      <c r="D4" s="20" t="s">
        <v>95</v>
      </c>
    </row>
    <row r="5" spans="1:4" x14ac:dyDescent="0.2">
      <c r="B5" s="20" t="s">
        <v>96</v>
      </c>
    </row>
    <row r="7" spans="1:4" x14ac:dyDescent="0.2">
      <c r="B7" s="21" t="s">
        <v>93</v>
      </c>
    </row>
    <row r="8" spans="1:4" x14ac:dyDescent="0.2">
      <c r="B8" s="20" t="s">
        <v>97</v>
      </c>
    </row>
    <row r="9" spans="1:4" x14ac:dyDescent="0.2">
      <c r="B9" s="20" t="s">
        <v>98</v>
      </c>
    </row>
  </sheetData>
  <hyperlinks>
    <hyperlink ref="A1" location="Main!A1" display="Main" xr:uid="{57CC344B-77FC-4721-A491-E9AD202E5F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2025-04-18T01:52:05Z</dcterms:created>
  <dcterms:modified xsi:type="dcterms:W3CDTF">2025-08-16T07:30:39Z</dcterms:modified>
</cp:coreProperties>
</file>