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76D5534-6963-4D0B-9906-EFB4FF90D7D7}" xr6:coauthVersionLast="47" xr6:coauthVersionMax="47" xr10:uidLastSave="{00000000-0000-0000-0000-000000000000}"/>
  <bookViews>
    <workbookView xWindow="14295" yWindow="0" windowWidth="14610" windowHeight="15585" activeTab="1" xr2:uid="{8238CC19-5C58-4680-92E0-526DD4D782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R3" i="2" s="1"/>
  <c r="Q4" i="2"/>
  <c r="Q5" i="2" s="1"/>
  <c r="Q21" i="2" s="1"/>
  <c r="O34" i="2"/>
  <c r="O35" i="2" s="1"/>
  <c r="P34" i="2"/>
  <c r="P35" i="2" s="1"/>
  <c r="N34" i="2"/>
  <c r="N35" i="2" s="1"/>
  <c r="Q22" i="2"/>
  <c r="Q23" i="2"/>
  <c r="O23" i="2"/>
  <c r="P23" i="2"/>
  <c r="O22" i="2"/>
  <c r="P22" i="2"/>
  <c r="Q14" i="2"/>
  <c r="H40" i="2"/>
  <c r="H38" i="2"/>
  <c r="H36" i="2" s="1"/>
  <c r="I36" i="2" s="1"/>
  <c r="J36" i="2" s="1"/>
  <c r="Q36" i="2" s="1"/>
  <c r="R14" i="2" s="1"/>
  <c r="O12" i="2"/>
  <c r="P12" i="2"/>
  <c r="N12" i="2"/>
  <c r="O28" i="2"/>
  <c r="P28" i="2"/>
  <c r="Q28" i="2" s="1"/>
  <c r="N28" i="2"/>
  <c r="O27" i="2"/>
  <c r="P27" i="2"/>
  <c r="Q27" i="2" s="1"/>
  <c r="N27" i="2"/>
  <c r="O5" i="2"/>
  <c r="O8" i="2" s="1"/>
  <c r="O26" i="2" s="1"/>
  <c r="P5" i="2"/>
  <c r="P8" i="2" s="1"/>
  <c r="P26" i="2" s="1"/>
  <c r="N5" i="2"/>
  <c r="N8" i="2" s="1"/>
  <c r="M2" i="2"/>
  <c r="N2" i="2" s="1"/>
  <c r="O2" i="2" s="1"/>
  <c r="P2" i="2" s="1"/>
  <c r="Q2" i="2" s="1"/>
  <c r="R2" i="2" s="1"/>
  <c r="S2" i="2" s="1"/>
  <c r="T2" i="2" s="1"/>
  <c r="U2" i="2" s="1"/>
  <c r="I7" i="1"/>
  <c r="I6" i="1"/>
  <c r="I5" i="1"/>
  <c r="I8" i="1" s="1"/>
  <c r="P21" i="2" l="1"/>
  <c r="R4" i="2"/>
  <c r="O13" i="2"/>
  <c r="O15" i="2"/>
  <c r="O17" i="2" s="1"/>
  <c r="O29" i="2"/>
  <c r="S3" i="2"/>
  <c r="R5" i="2"/>
  <c r="R21" i="2" s="1"/>
  <c r="R22" i="2"/>
  <c r="P13" i="2"/>
  <c r="O21" i="2"/>
  <c r="N13" i="2"/>
  <c r="S22" i="2"/>
  <c r="Q12" i="2"/>
  <c r="R12" i="2" s="1"/>
  <c r="Q33" i="2"/>
  <c r="R33" i="2" s="1"/>
  <c r="Q6" i="2"/>
  <c r="R27" i="2"/>
  <c r="Q7" i="2"/>
  <c r="R28" i="2"/>
  <c r="N26" i="2"/>
  <c r="O24" i="2" l="1"/>
  <c r="S4" i="2"/>
  <c r="R23" i="2"/>
  <c r="N15" i="2"/>
  <c r="N29" i="2"/>
  <c r="P15" i="2"/>
  <c r="P29" i="2"/>
  <c r="T3" i="2"/>
  <c r="S5" i="2"/>
  <c r="S21" i="2" s="1"/>
  <c r="S33" i="2" s="1"/>
  <c r="O19" i="2"/>
  <c r="O31" i="2"/>
  <c r="T22" i="2"/>
  <c r="Q8" i="2"/>
  <c r="Q26" i="2" s="1"/>
  <c r="S28" i="2"/>
  <c r="R7" i="2"/>
  <c r="S27" i="2"/>
  <c r="R6" i="2"/>
  <c r="R8" i="2" l="1"/>
  <c r="T4" i="2"/>
  <c r="S23" i="2"/>
  <c r="U3" i="2"/>
  <c r="T5" i="2"/>
  <c r="T21" i="2" s="1"/>
  <c r="T33" i="2" s="1"/>
  <c r="S12" i="2"/>
  <c r="P17" i="2"/>
  <c r="P24" i="2"/>
  <c r="N24" i="2"/>
  <c r="N17" i="2"/>
  <c r="Q13" i="2"/>
  <c r="T27" i="2"/>
  <c r="S6" i="2"/>
  <c r="R26" i="2"/>
  <c r="R13" i="2"/>
  <c r="T28" i="2"/>
  <c r="S7" i="2"/>
  <c r="U4" i="2" l="1"/>
  <c r="U23" i="2" s="1"/>
  <c r="T23" i="2"/>
  <c r="T12" i="2"/>
  <c r="U22" i="2"/>
  <c r="U5" i="2"/>
  <c r="U21" i="2" s="1"/>
  <c r="U33" i="2" s="1"/>
  <c r="N19" i="2"/>
  <c r="N31" i="2"/>
  <c r="P19" i="2"/>
  <c r="P31" i="2"/>
  <c r="Q31" i="2" s="1"/>
  <c r="R31" i="2" s="1"/>
  <c r="S31" i="2" s="1"/>
  <c r="T31" i="2" s="1"/>
  <c r="U31" i="2" s="1"/>
  <c r="Q15" i="2"/>
  <c r="Q16" i="2" s="1"/>
  <c r="Q17" i="2" s="1"/>
  <c r="Q32" i="2" s="1"/>
  <c r="Q34" i="2" s="1"/>
  <c r="Q35" i="2" s="1"/>
  <c r="Q29" i="2"/>
  <c r="R15" i="2"/>
  <c r="R16" i="2" s="1"/>
  <c r="R17" i="2" s="1"/>
  <c r="R32" i="2" s="1"/>
  <c r="R34" i="2" s="1"/>
  <c r="R35" i="2" s="1"/>
  <c r="R29" i="2"/>
  <c r="R19" i="2"/>
  <c r="R36" i="2"/>
  <c r="Q19" i="2"/>
  <c r="S8" i="2"/>
  <c r="U28" i="2"/>
  <c r="U7" i="2" s="1"/>
  <c r="T7" i="2"/>
  <c r="U27" i="2"/>
  <c r="U6" i="2" s="1"/>
  <c r="T6" i="2"/>
  <c r="U12" i="2" l="1"/>
  <c r="U8" i="2"/>
  <c r="T8" i="2"/>
  <c r="S14" i="2"/>
  <c r="T26" i="2"/>
  <c r="T13" i="2"/>
  <c r="T29" i="2" s="1"/>
  <c r="S26" i="2"/>
  <c r="S13" i="2"/>
  <c r="U26" i="2"/>
  <c r="U13" i="2"/>
  <c r="U29" i="2" s="1"/>
  <c r="S15" i="2" l="1"/>
  <c r="S29" i="2"/>
  <c r="S16" i="2"/>
  <c r="S17" i="2"/>
  <c r="S36" i="2" l="1"/>
  <c r="T14" i="2" s="1"/>
  <c r="T15" i="2" s="1"/>
  <c r="T16" i="2" s="1"/>
  <c r="T17" i="2" s="1"/>
  <c r="S32" i="2"/>
  <c r="S34" i="2" s="1"/>
  <c r="T36" i="2"/>
  <c r="U14" i="2"/>
  <c r="U15" i="2" s="1"/>
  <c r="U16" i="2" s="1"/>
  <c r="U17" i="2" s="1"/>
  <c r="U32" i="2" s="1"/>
  <c r="U34" i="2" s="1"/>
  <c r="S19" i="2"/>
  <c r="U35" i="2" l="1"/>
  <c r="V34" i="2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S35" i="2"/>
  <c r="T19" i="2"/>
  <c r="T32" i="2"/>
  <c r="T34" i="2" s="1"/>
  <c r="T35" i="2" s="1"/>
  <c r="U19" i="2"/>
  <c r="V17" i="2"/>
  <c r="U36" i="2"/>
  <c r="X23" i="2" l="1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X24" i="2" l="1"/>
  <c r="X25" i="2" s="1"/>
</calcChain>
</file>

<file path=xl/sharedStrings.xml><?xml version="1.0" encoding="utf-8"?>
<sst xmlns="http://schemas.openxmlformats.org/spreadsheetml/2006/main" count="56" uniqueCount="49">
  <si>
    <t>Price</t>
  </si>
  <si>
    <t>Shares</t>
  </si>
  <si>
    <t>MC</t>
  </si>
  <si>
    <t>Cash</t>
  </si>
  <si>
    <t>Debt</t>
  </si>
  <si>
    <t>EV</t>
  </si>
  <si>
    <t>Q225</t>
  </si>
  <si>
    <t>Product</t>
  </si>
  <si>
    <t>Service</t>
  </si>
  <si>
    <t>Revenue</t>
  </si>
  <si>
    <t>Gross Profit</t>
  </si>
  <si>
    <t>Product COGS</t>
  </si>
  <si>
    <t>Service COGS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</si>
  <si>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</si>
  <si>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</si>
  <si>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</si>
  <si>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</si>
  <si>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</si>
  <si>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</si>
  <si>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</si>
  <si>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</si>
  <si>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Interest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</si>
  <si>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</si>
  <si>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</si>
  <si>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</si>
  <si>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</si>
  <si>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</si>
  <si>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</si>
  <si>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</si>
  <si>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</si>
  <si>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</si>
  <si>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</si>
  <si>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</si>
  <si>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</si>
  <si>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</si>
  <si>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</si>
  <si>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</si>
  <si>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Q325</t>
  </si>
  <si>
    <t>Q425</t>
  </si>
  <si>
    <t>Product GM</t>
  </si>
  <si>
    <t>Service GM</t>
  </si>
  <si>
    <t>ROIC</t>
  </si>
  <si>
    <t>Maturity</t>
  </si>
  <si>
    <t>Discount</t>
  </si>
  <si>
    <t>NPV</t>
  </si>
  <si>
    <t>Diff</t>
  </si>
  <si>
    <t>Product Growth</t>
  </si>
  <si>
    <t>Service Growth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</si>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</sst>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3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28575</xdr:rowOff>
    </xdr:from>
    <xdr:to>
      <xdr:col>8</xdr:col>
      <xdr:colOff>9525</xdr:colOff>
      <xdr:row>41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EB0B72-FAA9-1790-D553-E73B2C1D5E3A}"/>
            </a:ext>
          </a:extLst>
        </xdr:cNvPr>
        <xdr:cNvCxnSpPr/>
      </xdr:nvCxnSpPr>
      <xdr:spPr>
        <a:xfrm>
          <a:off x="4800600" y="28575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9525</xdr:colOff>
      <xdr:row>40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80F9C07-3C4C-4592-A37D-78BA95D2433D}"/>
            </a:ext>
          </a:extLst>
        </xdr:cNvPr>
        <xdr:cNvCxnSpPr/>
      </xdr:nvCxnSpPr>
      <xdr:spPr>
        <a:xfrm>
          <a:off x="9677400" y="0"/>
          <a:ext cx="9525" cy="6829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6702-02DD-4E96-B0C3-B680F054E789}">
  <dimension ref="A1:J8"/>
  <sheetViews>
    <sheetView zoomScale="115" zoomScaleNormal="115" workbookViewId="0">
      <selection activeCell="G9" sqref="G9"/>
    </sheetView>
  </sheetViews>
  <sheetFormatPr defaultRowHeight="12.75" x14ac:dyDescent="0.2"/>
  <cols>
    <col min="1" max="3" width="9.140625" style="3"/>
    <col min="4" max="4" width="10.28515625" style="3" bestFit="1" customWidth="1"/>
    <col min="5" max="8" width="9.140625" style="3"/>
    <col min="9" max="9" width="10.140625" style="3" bestFit="1" customWidth="1"/>
    <col min="10" max="16384" width="9.140625" style="3"/>
  </cols>
  <sheetData>
    <row r="1" spans="1:10" x14ac:dyDescent="0.2">
      <c r="A1" s="2"/>
    </row>
    <row r="3" spans="1:10" x14ac:dyDescent="0.2">
      <c r="H3" s="3" t="s">
        <v>0</v>
      </c>
      <c r="I3" s="4">
        <v>544</v>
      </c>
    </row>
    <row r="4" spans="1:10" x14ac:dyDescent="0.2">
      <c r="H4" s="3" t="s">
        <v>1</v>
      </c>
      <c r="I4" s="1">
        <v>7433.982</v>
      </c>
      <c r="J4" s="3" t="s">
        <v>6</v>
      </c>
    </row>
    <row r="5" spans="1:10" x14ac:dyDescent="0.2">
      <c r="H5" s="3" t="s">
        <v>2</v>
      </c>
      <c r="I5" s="1">
        <f>I4*I3</f>
        <v>4044086.2080000001</v>
      </c>
    </row>
    <row r="6" spans="1:10" x14ac:dyDescent="0.2">
      <c r="H6" s="3" t="s">
        <v>3</v>
      </c>
      <c r="I6" s="1">
        <f>17482+54073</f>
        <v>71555</v>
      </c>
      <c r="J6" s="3" t="s">
        <v>6</v>
      </c>
    </row>
    <row r="7" spans="1:10" x14ac:dyDescent="0.2">
      <c r="H7" s="3" t="s">
        <v>4</v>
      </c>
      <c r="I7" s="1">
        <f>39722+24389+2537+2513+17254+35906</f>
        <v>122321</v>
      </c>
      <c r="J7" s="3" t="s">
        <v>6</v>
      </c>
    </row>
    <row r="8" spans="1:10" x14ac:dyDescent="0.2">
      <c r="H8" s="3" t="s">
        <v>5</v>
      </c>
      <c r="I8" s="1">
        <f>I5+I7-I6</f>
        <v>4094852.2080000001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64C4-4E59-4C6E-9629-E824C7D3CAE2}">
  <dimension ref="A1:DT40"/>
  <sheetViews>
    <sheetView tabSelected="1" workbookViewId="0">
      <pane xSplit="2" ySplit="2" topLeftCell="N3" activePane="bottomRight" state="frozen"/>
      <selection pane="topRight" activeCell="B1" sqref="B1"/>
      <selection pane="bottomLeft" activeCell="A2" sqref="A2"/>
      <selection pane="bottomRight" activeCell="W31" sqref="W31"/>
    </sheetView>
  </sheetViews>
  <sheetFormatPr defaultRowHeight="12.75" x14ac:dyDescent="0.2"/>
  <cols>
    <col min="1" max="1" width="5" style="1" bestFit="1" customWidth="1"/>
    <col min="2" max="2" width="16.85546875" style="1" customWidth="1"/>
    <col min="3" max="3" width="9.42578125" style="1" customWidth="1"/>
    <col min="4" max="7" width="9.140625" style="1"/>
    <col min="8" max="10" width="9.28515625" style="1" bestFit="1" customWidth="1"/>
    <col min="11" max="11" width="9.140625" style="1"/>
    <col min="12" max="23" width="9.28515625" style="1" bestFit="1" customWidth="1"/>
    <col min="24" max="24" width="10.140625" style="1" bestFit="1" customWidth="1"/>
    <col min="25" max="124" width="9.28515625" style="1" bestFit="1" customWidth="1"/>
    <col min="125" max="16384" width="9.140625" style="1"/>
  </cols>
  <sheetData>
    <row r="1" spans="1:21" ht="15" x14ac:dyDescent="0.25">
      <c r="A1" s="10" t="s">
        <v>48</v>
      </c>
    </row>
    <row r="2" spans="1:21" x14ac:dyDescent="0.2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6</v>
      </c>
      <c r="I2" s="1" t="s">
        <v>37</v>
      </c>
      <c r="J2" s="1" t="s">
        <v>38</v>
      </c>
      <c r="L2" s="5">
        <v>2020</v>
      </c>
      <c r="M2" s="5">
        <f>L2+1</f>
        <v>2021</v>
      </c>
      <c r="N2" s="5">
        <f t="shared" ref="N2:U2" si="0">M2+1</f>
        <v>2022</v>
      </c>
      <c r="O2" s="5">
        <f t="shared" si="0"/>
        <v>2023</v>
      </c>
      <c r="P2" s="5">
        <f t="shared" si="0"/>
        <v>2024</v>
      </c>
      <c r="Q2" s="5">
        <f t="shared" si="0"/>
        <v>2025</v>
      </c>
      <c r="R2" s="5">
        <f t="shared" si="0"/>
        <v>2026</v>
      </c>
      <c r="S2" s="5">
        <f t="shared" si="0"/>
        <v>2027</v>
      </c>
      <c r="T2" s="5">
        <f t="shared" si="0"/>
        <v>2028</v>
      </c>
      <c r="U2" s="5">
        <f t="shared" si="0"/>
        <v>2029</v>
      </c>
    </row>
    <row r="3" spans="1:21" x14ac:dyDescent="0.2">
      <c r="B3" s="1" t="s">
        <v>7</v>
      </c>
      <c r="N3" s="1">
        <v>72732</v>
      </c>
      <c r="O3" s="1">
        <v>64699</v>
      </c>
      <c r="P3" s="1">
        <v>64773</v>
      </c>
      <c r="Q3" s="1">
        <f>AVERAGE(N3:P3)</f>
        <v>67401.333333333328</v>
      </c>
      <c r="R3" s="1">
        <f>Q3*1.05</f>
        <v>70771.399999999994</v>
      </c>
      <c r="S3" s="1">
        <f t="shared" ref="S3:U3" si="1">R3*1.05</f>
        <v>74309.97</v>
      </c>
      <c r="T3" s="1">
        <f t="shared" si="1"/>
        <v>78025.468500000003</v>
      </c>
      <c r="U3" s="1">
        <f t="shared" si="1"/>
        <v>81926.741925000009</v>
      </c>
    </row>
    <row r="4" spans="1:21" x14ac:dyDescent="0.2">
      <c r="B4" s="1" t="s">
        <v>8</v>
      </c>
      <c r="N4" s="1">
        <v>125538</v>
      </c>
      <c r="O4" s="1">
        <v>147216</v>
      </c>
      <c r="P4" s="1">
        <v>180349</v>
      </c>
      <c r="Q4" s="1">
        <f>P4*1.25</f>
        <v>225436.25</v>
      </c>
      <c r="R4" s="1">
        <f t="shared" ref="R4:U4" si="2">Q4*1.25</f>
        <v>281795.3125</v>
      </c>
      <c r="S4" s="1">
        <f t="shared" si="2"/>
        <v>352244.140625</v>
      </c>
      <c r="T4" s="1">
        <f t="shared" si="2"/>
        <v>440305.17578125</v>
      </c>
      <c r="U4" s="1">
        <f t="shared" si="2"/>
        <v>550381.4697265625</v>
      </c>
    </row>
    <row r="5" spans="1:21" s="6" customFormat="1" x14ac:dyDescent="0.2">
      <c r="B5" s="6" t="s">
        <v>9</v>
      </c>
      <c r="N5" s="6">
        <f>SUM(N3:N4)</f>
        <v>198270</v>
      </c>
      <c r="O5" s="6">
        <f t="shared" ref="O5:U5" si="3">SUM(O3:O4)</f>
        <v>211915</v>
      </c>
      <c r="P5" s="6">
        <f t="shared" si="3"/>
        <v>245122</v>
      </c>
      <c r="Q5" s="6">
        <f t="shared" si="3"/>
        <v>292837.58333333331</v>
      </c>
      <c r="R5" s="6">
        <f t="shared" si="3"/>
        <v>352566.71250000002</v>
      </c>
      <c r="S5" s="6">
        <f t="shared" si="3"/>
        <v>426554.11062499997</v>
      </c>
      <c r="T5" s="6">
        <f t="shared" si="3"/>
        <v>518330.64428125002</v>
      </c>
      <c r="U5" s="6">
        <f t="shared" si="3"/>
        <v>632308.21165156248</v>
      </c>
    </row>
    <row r="6" spans="1:21" x14ac:dyDescent="0.2">
      <c r="B6" s="1" t="s">
        <v>11</v>
      </c>
      <c r="N6" s="1">
        <v>19064</v>
      </c>
      <c r="O6" s="1">
        <v>17804</v>
      </c>
      <c r="P6" s="1">
        <v>15272</v>
      </c>
      <c r="Q6" s="1">
        <f>Q3*(1-Q27)</f>
        <v>15634.153052352063</v>
      </c>
      <c r="R6" s="1">
        <f t="shared" ref="R6:U6" si="4">R3*(1-R27)</f>
        <v>16144.083008494525</v>
      </c>
      <c r="S6" s="1">
        <f t="shared" si="4"/>
        <v>16664.493744713855</v>
      </c>
      <c r="T6" s="1">
        <f t="shared" si="4"/>
        <v>17195.079681609299</v>
      </c>
      <c r="U6" s="1">
        <f t="shared" si="4"/>
        <v>17735.474124393215</v>
      </c>
    </row>
    <row r="7" spans="1:21" x14ac:dyDescent="0.2">
      <c r="B7" s="1" t="s">
        <v>12</v>
      </c>
      <c r="N7" s="1">
        <v>43586</v>
      </c>
      <c r="O7" s="1">
        <v>48059</v>
      </c>
      <c r="P7" s="1">
        <v>58842</v>
      </c>
      <c r="Q7" s="1">
        <f>Q4*(1-Q28)</f>
        <v>72793.081250000032</v>
      </c>
      <c r="R7" s="1">
        <f t="shared" ref="R7:U7" si="5">R4*(1-R28)</f>
        <v>90037.331757812557</v>
      </c>
      <c r="S7" s="1">
        <f t="shared" si="5"/>
        <v>111348.17731762705</v>
      </c>
      <c r="T7" s="1">
        <f t="shared" si="5"/>
        <v>137679.62187636274</v>
      </c>
      <c r="U7" s="1">
        <f t="shared" si="5"/>
        <v>170208.11763354792</v>
      </c>
    </row>
    <row r="8" spans="1:21" x14ac:dyDescent="0.2">
      <c r="B8" s="1" t="s">
        <v>10</v>
      </c>
      <c r="N8" s="1">
        <f>N5-SUM(N6:N7)</f>
        <v>135620</v>
      </c>
      <c r="O8" s="1">
        <f t="shared" ref="O8:P8" si="6">O5-SUM(O6:O7)</f>
        <v>146052</v>
      </c>
      <c r="P8" s="1">
        <f t="shared" si="6"/>
        <v>171008</v>
      </c>
      <c r="Q8" s="1">
        <f t="shared" ref="Q8" si="7">Q5-SUM(Q6:Q7)</f>
        <v>204410.34903098122</v>
      </c>
      <c r="R8" s="1">
        <f t="shared" ref="R8" si="8">R5-SUM(R6:R7)</f>
        <v>246385.29773369295</v>
      </c>
      <c r="S8" s="1">
        <f t="shared" ref="S8" si="9">S5-SUM(S6:S7)</f>
        <v>298541.43956265907</v>
      </c>
      <c r="T8" s="1">
        <f t="shared" ref="T8" si="10">T5-SUM(T6:T7)</f>
        <v>363455.94272327796</v>
      </c>
      <c r="U8" s="1">
        <f t="shared" ref="U8" si="11">U5-SUM(U6:U7)</f>
        <v>444364.6198936213</v>
      </c>
    </row>
    <row r="9" spans="1:21" x14ac:dyDescent="0.2">
      <c r="B9" s="1" t="s">
        <v>13</v>
      </c>
      <c r="N9" s="1">
        <v>24512</v>
      </c>
      <c r="O9" s="1">
        <v>27195</v>
      </c>
      <c r="P9" s="1">
        <v>29510</v>
      </c>
    </row>
    <row r="10" spans="1:21" x14ac:dyDescent="0.2">
      <c r="B10" s="1" t="s">
        <v>14</v>
      </c>
      <c r="N10" s="1">
        <v>21825</v>
      </c>
      <c r="O10" s="1">
        <v>22759</v>
      </c>
      <c r="P10" s="1">
        <v>24456</v>
      </c>
    </row>
    <row r="11" spans="1:21" x14ac:dyDescent="0.2">
      <c r="B11" s="1" t="s">
        <v>15</v>
      </c>
      <c r="N11" s="1">
        <v>5900</v>
      </c>
      <c r="O11" s="1">
        <v>7575</v>
      </c>
      <c r="P11" s="1">
        <v>7609</v>
      </c>
    </row>
    <row r="12" spans="1:21" x14ac:dyDescent="0.2">
      <c r="B12" s="1" t="s">
        <v>16</v>
      </c>
      <c r="N12" s="1">
        <f>SUM(N9:N11)</f>
        <v>52237</v>
      </c>
      <c r="O12" s="1">
        <f t="shared" ref="O12:P12" si="12">SUM(O9:O11)</f>
        <v>57529</v>
      </c>
      <c r="P12" s="1">
        <f t="shared" si="12"/>
        <v>61575</v>
      </c>
      <c r="Q12" s="1">
        <f>P12*(1+Q21)</f>
        <v>73561.223365303798</v>
      </c>
      <c r="R12" s="1">
        <f t="shared" ref="R12:U12" si="13">Q12*(1+R21)</f>
        <v>88565.266774045158</v>
      </c>
      <c r="S12" s="1">
        <f t="shared" si="13"/>
        <v>107151.0079133426</v>
      </c>
      <c r="T12" s="1">
        <f t="shared" si="13"/>
        <v>130205.40555975375</v>
      </c>
      <c r="U12" s="1">
        <f t="shared" si="13"/>
        <v>158836.73490117144</v>
      </c>
    </row>
    <row r="13" spans="1:21" x14ac:dyDescent="0.2">
      <c r="B13" s="1" t="s">
        <v>17</v>
      </c>
      <c r="N13" s="1">
        <f>N8-N12</f>
        <v>83383</v>
      </c>
      <c r="O13" s="1">
        <f t="shared" ref="O13:U13" si="14">O8-O12</f>
        <v>88523</v>
      </c>
      <c r="P13" s="1">
        <f t="shared" si="14"/>
        <v>109433</v>
      </c>
      <c r="Q13" s="1">
        <f t="shared" si="14"/>
        <v>130849.12566567742</v>
      </c>
      <c r="R13" s="1">
        <f t="shared" si="14"/>
        <v>157820.03095964779</v>
      </c>
      <c r="S13" s="1">
        <f t="shared" si="14"/>
        <v>191390.43164931645</v>
      </c>
      <c r="T13" s="1">
        <f t="shared" si="14"/>
        <v>233250.53716352419</v>
      </c>
      <c r="U13" s="1">
        <f t="shared" si="14"/>
        <v>285527.88499244989</v>
      </c>
    </row>
    <row r="14" spans="1:21" x14ac:dyDescent="0.2">
      <c r="B14" s="1" t="s">
        <v>21</v>
      </c>
      <c r="N14" s="1">
        <v>333</v>
      </c>
      <c r="O14" s="1">
        <v>788</v>
      </c>
      <c r="P14" s="1">
        <v>-1646</v>
      </c>
      <c r="Q14" s="1">
        <f>SUM(G14:J14)</f>
        <v>0</v>
      </c>
      <c r="R14" s="1">
        <f>Q36*$X$20</f>
        <v>-2030.64</v>
      </c>
      <c r="S14" s="1">
        <f>R36*$X$20</f>
        <v>3016.9362670925875</v>
      </c>
      <c r="T14" s="1">
        <f>S36*$X$20</f>
        <v>9315.734987584241</v>
      </c>
      <c r="U14" s="1">
        <f>T36*$X$20</f>
        <v>17174.882205280155</v>
      </c>
    </row>
    <row r="15" spans="1:21" x14ac:dyDescent="0.2">
      <c r="B15" s="1" t="s">
        <v>18</v>
      </c>
      <c r="N15" s="1">
        <f>N13+N14</f>
        <v>83716</v>
      </c>
      <c r="O15" s="1">
        <f t="shared" ref="O15:U15" si="15">O13+O14</f>
        <v>89311</v>
      </c>
      <c r="P15" s="1">
        <f t="shared" si="15"/>
        <v>107787</v>
      </c>
      <c r="Q15" s="1">
        <f t="shared" si="15"/>
        <v>130849.12566567742</v>
      </c>
      <c r="R15" s="1">
        <f t="shared" si="15"/>
        <v>155789.39095964778</v>
      </c>
      <c r="S15" s="1">
        <f t="shared" si="15"/>
        <v>194407.36791640904</v>
      </c>
      <c r="T15" s="1">
        <f t="shared" si="15"/>
        <v>242566.27215110842</v>
      </c>
      <c r="U15" s="1">
        <f t="shared" si="15"/>
        <v>302702.76719773002</v>
      </c>
    </row>
    <row r="16" spans="1:21" x14ac:dyDescent="0.2">
      <c r="B16" s="1" t="s">
        <v>19</v>
      </c>
      <c r="N16" s="1">
        <v>10978</v>
      </c>
      <c r="O16" s="1">
        <v>16950</v>
      </c>
      <c r="P16" s="1">
        <v>19651</v>
      </c>
      <c r="Q16" s="1">
        <f>Q15*Q24</f>
        <v>24861.333876478711</v>
      </c>
      <c r="R16" s="1">
        <f t="shared" ref="R16:U16" si="16">R15*R24</f>
        <v>29599.984282333076</v>
      </c>
      <c r="S16" s="1">
        <f t="shared" si="16"/>
        <v>36937.399904117716</v>
      </c>
      <c r="T16" s="1">
        <f t="shared" si="16"/>
        <v>46087.591708710599</v>
      </c>
      <c r="U16" s="1">
        <f t="shared" si="16"/>
        <v>57513.525767568703</v>
      </c>
    </row>
    <row r="17" spans="2:118" s="6" customFormat="1" x14ac:dyDescent="0.2">
      <c r="B17" s="6" t="s">
        <v>20</v>
      </c>
      <c r="N17" s="6">
        <f>N15-N16</f>
        <v>72738</v>
      </c>
      <c r="O17" s="6">
        <f t="shared" ref="O17:U17" si="17">O15-O16</f>
        <v>72361</v>
      </c>
      <c r="P17" s="6">
        <f t="shared" si="17"/>
        <v>88136</v>
      </c>
      <c r="Q17" s="6">
        <f t="shared" si="17"/>
        <v>105987.7917891987</v>
      </c>
      <c r="R17" s="6">
        <f t="shared" si="17"/>
        <v>126189.40667731469</v>
      </c>
      <c r="S17" s="6">
        <f t="shared" si="17"/>
        <v>157469.96801229133</v>
      </c>
      <c r="T17" s="6">
        <f t="shared" si="17"/>
        <v>196478.68044239783</v>
      </c>
      <c r="U17" s="6">
        <f t="shared" si="17"/>
        <v>245189.24143016132</v>
      </c>
      <c r="V17" s="6">
        <f t="shared" ref="V17:BA17" si="18">U17*(1+$X$21)</f>
        <v>250093.02625876456</v>
      </c>
      <c r="W17" s="6">
        <f t="shared" si="18"/>
        <v>255094.88678393984</v>
      </c>
      <c r="X17" s="6">
        <f t="shared" si="18"/>
        <v>260196.78451961864</v>
      </c>
      <c r="Y17" s="6">
        <f t="shared" si="18"/>
        <v>265400.720210011</v>
      </c>
      <c r="Z17" s="6">
        <f t="shared" si="18"/>
        <v>270708.73461421125</v>
      </c>
      <c r="AA17" s="6">
        <f t="shared" si="18"/>
        <v>276122.90930649551</v>
      </c>
      <c r="AB17" s="6">
        <f t="shared" si="18"/>
        <v>281645.36749262543</v>
      </c>
      <c r="AC17" s="6">
        <f t="shared" si="18"/>
        <v>287278.27484247793</v>
      </c>
      <c r="AD17" s="6">
        <f t="shared" si="18"/>
        <v>293023.84033932746</v>
      </c>
      <c r="AE17" s="6">
        <f t="shared" si="18"/>
        <v>298884.31714611402</v>
      </c>
      <c r="AF17" s="6">
        <f t="shared" si="18"/>
        <v>304862.00348903629</v>
      </c>
      <c r="AG17" s="6">
        <f t="shared" si="18"/>
        <v>310959.24355881702</v>
      </c>
      <c r="AH17" s="6">
        <f t="shared" si="18"/>
        <v>317178.42842999339</v>
      </c>
      <c r="AI17" s="6">
        <f t="shared" si="18"/>
        <v>323521.99699859327</v>
      </c>
      <c r="AJ17" s="6">
        <f t="shared" si="18"/>
        <v>329992.43693856517</v>
      </c>
      <c r="AK17" s="6">
        <f t="shared" si="18"/>
        <v>336592.28567733645</v>
      </c>
      <c r="AL17" s="6">
        <f t="shared" si="18"/>
        <v>343324.13139088318</v>
      </c>
      <c r="AM17" s="6">
        <f t="shared" si="18"/>
        <v>350190.61401870084</v>
      </c>
      <c r="AN17" s="6">
        <f t="shared" si="18"/>
        <v>357194.42629907484</v>
      </c>
      <c r="AO17" s="6">
        <f t="shared" si="18"/>
        <v>364338.31482505635</v>
      </c>
      <c r="AP17" s="6">
        <f t="shared" si="18"/>
        <v>371625.08112155751</v>
      </c>
      <c r="AQ17" s="6">
        <f t="shared" si="18"/>
        <v>379057.58274398866</v>
      </c>
      <c r="AR17" s="6">
        <f t="shared" si="18"/>
        <v>386638.73439886846</v>
      </c>
      <c r="AS17" s="6">
        <f t="shared" si="18"/>
        <v>394371.50908684585</v>
      </c>
      <c r="AT17" s="6">
        <f t="shared" si="18"/>
        <v>402258.93926858279</v>
      </c>
      <c r="AU17" s="6">
        <f t="shared" si="18"/>
        <v>410304.11805395444</v>
      </c>
      <c r="AV17" s="6">
        <f t="shared" si="18"/>
        <v>418510.20041503356</v>
      </c>
      <c r="AW17" s="6">
        <f t="shared" si="18"/>
        <v>426880.40442333423</v>
      </c>
      <c r="AX17" s="6">
        <f t="shared" si="18"/>
        <v>435418.01251180092</v>
      </c>
      <c r="AY17" s="6">
        <f t="shared" si="18"/>
        <v>444126.37276203692</v>
      </c>
      <c r="AZ17" s="6">
        <f t="shared" si="18"/>
        <v>453008.90021727764</v>
      </c>
      <c r="BA17" s="6">
        <f t="shared" si="18"/>
        <v>462069.0782216232</v>
      </c>
      <c r="BB17" s="6">
        <f t="shared" ref="BB17:CG17" si="19">BA17*(1+$X$21)</f>
        <v>471310.45978605567</v>
      </c>
      <c r="BC17" s="6">
        <f t="shared" si="19"/>
        <v>480736.66898177681</v>
      </c>
      <c r="BD17" s="6">
        <f t="shared" si="19"/>
        <v>490351.40236141236</v>
      </c>
      <c r="BE17" s="6">
        <f t="shared" si="19"/>
        <v>500158.43040864059</v>
      </c>
      <c r="BF17" s="6">
        <f t="shared" si="19"/>
        <v>510161.59901681339</v>
      </c>
      <c r="BG17" s="6">
        <f t="shared" si="19"/>
        <v>520364.83099714963</v>
      </c>
      <c r="BH17" s="6">
        <f t="shared" si="19"/>
        <v>530772.12761709269</v>
      </c>
      <c r="BI17" s="6">
        <f t="shared" si="19"/>
        <v>541387.57016943453</v>
      </c>
      <c r="BJ17" s="6">
        <f t="shared" si="19"/>
        <v>552215.32157282322</v>
      </c>
      <c r="BK17" s="6">
        <f t="shared" si="19"/>
        <v>563259.62800427969</v>
      </c>
      <c r="BL17" s="6">
        <f t="shared" si="19"/>
        <v>574524.82056436525</v>
      </c>
      <c r="BM17" s="6">
        <f t="shared" si="19"/>
        <v>586015.31697565259</v>
      </c>
      <c r="BN17" s="6">
        <f t="shared" si="19"/>
        <v>597735.62331516563</v>
      </c>
      <c r="BO17" s="6">
        <f t="shared" si="19"/>
        <v>609690.33578146901</v>
      </c>
      <c r="BP17" s="6">
        <f t="shared" si="19"/>
        <v>621884.14249709842</v>
      </c>
      <c r="BQ17" s="6">
        <f t="shared" si="19"/>
        <v>634321.82534704043</v>
      </c>
      <c r="BR17" s="6">
        <f t="shared" si="19"/>
        <v>647008.2618539813</v>
      </c>
      <c r="BS17" s="6">
        <f t="shared" si="19"/>
        <v>659948.4270910609</v>
      </c>
      <c r="BT17" s="6">
        <f t="shared" si="19"/>
        <v>673147.39563288214</v>
      </c>
      <c r="BU17" s="6">
        <f t="shared" si="19"/>
        <v>686610.34354553977</v>
      </c>
      <c r="BV17" s="6">
        <f t="shared" si="19"/>
        <v>700342.5504164506</v>
      </c>
      <c r="BW17" s="6">
        <f t="shared" si="19"/>
        <v>714349.40142477967</v>
      </c>
      <c r="BX17" s="6">
        <f t="shared" si="19"/>
        <v>728636.38945327525</v>
      </c>
      <c r="BY17" s="6">
        <f t="shared" si="19"/>
        <v>743209.11724234081</v>
      </c>
      <c r="BZ17" s="6">
        <f t="shared" si="19"/>
        <v>758073.29958718759</v>
      </c>
      <c r="CA17" s="6">
        <f t="shared" si="19"/>
        <v>773234.76557893131</v>
      </c>
      <c r="CB17" s="6">
        <f t="shared" si="19"/>
        <v>788699.46089051</v>
      </c>
      <c r="CC17" s="6">
        <f t="shared" si="19"/>
        <v>804473.45010832022</v>
      </c>
      <c r="CD17" s="6">
        <f t="shared" si="19"/>
        <v>820562.91911048663</v>
      </c>
      <c r="CE17" s="6">
        <f t="shared" si="19"/>
        <v>836974.17749269633</v>
      </c>
      <c r="CF17" s="6">
        <f t="shared" si="19"/>
        <v>853713.66104255023</v>
      </c>
      <c r="CG17" s="6">
        <f t="shared" si="19"/>
        <v>870787.9342634012</v>
      </c>
      <c r="CH17" s="6">
        <f t="shared" ref="CH17:DN17" si="20">CG17*(1+$X$21)</f>
        <v>888203.6929486692</v>
      </c>
      <c r="CI17" s="6">
        <f t="shared" si="20"/>
        <v>905967.76680764265</v>
      </c>
      <c r="CJ17" s="6">
        <f t="shared" si="20"/>
        <v>924087.12214379548</v>
      </c>
      <c r="CK17" s="6">
        <f t="shared" si="20"/>
        <v>942568.86458667147</v>
      </c>
      <c r="CL17" s="6">
        <f t="shared" si="20"/>
        <v>961420.24187840486</v>
      </c>
      <c r="CM17" s="6">
        <f t="shared" si="20"/>
        <v>980648.64671597292</v>
      </c>
      <c r="CN17" s="6">
        <f t="shared" si="20"/>
        <v>1000261.6196502924</v>
      </c>
      <c r="CO17" s="6">
        <f t="shared" si="20"/>
        <v>1020266.8520432983</v>
      </c>
      <c r="CP17" s="6">
        <f t="shared" si="20"/>
        <v>1040672.1890841643</v>
      </c>
      <c r="CQ17" s="6">
        <f t="shared" si="20"/>
        <v>1061485.6328658476</v>
      </c>
      <c r="CR17" s="6">
        <f t="shared" si="20"/>
        <v>1082715.3455231646</v>
      </c>
      <c r="CS17" s="6">
        <f t="shared" si="20"/>
        <v>1104369.652433628</v>
      </c>
      <c r="CT17" s="6">
        <f t="shared" si="20"/>
        <v>1126457.0454823005</v>
      </c>
      <c r="CU17" s="6">
        <f t="shared" si="20"/>
        <v>1148986.1863919464</v>
      </c>
      <c r="CV17" s="6">
        <f t="shared" si="20"/>
        <v>1171965.9101197852</v>
      </c>
      <c r="CW17" s="6">
        <f t="shared" si="20"/>
        <v>1195405.2283221809</v>
      </c>
      <c r="CX17" s="6">
        <f t="shared" si="20"/>
        <v>1219313.3328886246</v>
      </c>
      <c r="CY17" s="6">
        <f t="shared" si="20"/>
        <v>1243699.5995463971</v>
      </c>
      <c r="CZ17" s="6">
        <f t="shared" si="20"/>
        <v>1268573.5915373252</v>
      </c>
      <c r="DA17" s="6">
        <f t="shared" si="20"/>
        <v>1293945.0633680718</v>
      </c>
      <c r="DB17" s="6">
        <f t="shared" si="20"/>
        <v>1319823.9646354332</v>
      </c>
      <c r="DC17" s="6">
        <f t="shared" si="20"/>
        <v>1346220.4439281418</v>
      </c>
      <c r="DD17" s="6">
        <f t="shared" si="20"/>
        <v>1373144.8528067048</v>
      </c>
      <c r="DE17" s="6">
        <f t="shared" si="20"/>
        <v>1400607.749862839</v>
      </c>
      <c r="DF17" s="6">
        <f t="shared" si="20"/>
        <v>1428619.9048600958</v>
      </c>
      <c r="DG17" s="6">
        <f t="shared" si="20"/>
        <v>1457192.3029572978</v>
      </c>
      <c r="DH17" s="6">
        <f t="shared" si="20"/>
        <v>1486336.1490164436</v>
      </c>
      <c r="DI17" s="6">
        <f t="shared" si="20"/>
        <v>1516062.8719967725</v>
      </c>
      <c r="DJ17" s="6">
        <f t="shared" si="20"/>
        <v>1546384.1294367081</v>
      </c>
      <c r="DK17" s="6">
        <f t="shared" si="20"/>
        <v>1577311.8120254423</v>
      </c>
      <c r="DL17" s="6">
        <f t="shared" si="20"/>
        <v>1608858.0482659512</v>
      </c>
      <c r="DM17" s="6">
        <f t="shared" si="20"/>
        <v>1641035.2092312702</v>
      </c>
      <c r="DN17" s="6">
        <f t="shared" si="20"/>
        <v>1673855.9134158958</v>
      </c>
    </row>
    <row r="18" spans="2:118" x14ac:dyDescent="0.2">
      <c r="B18" s="1" t="s">
        <v>1</v>
      </c>
      <c r="N18" s="1">
        <v>7540</v>
      </c>
      <c r="O18" s="1">
        <v>7472</v>
      </c>
      <c r="P18" s="1">
        <v>7469</v>
      </c>
      <c r="Q18" s="1">
        <v>7469</v>
      </c>
      <c r="R18" s="1">
        <v>7469</v>
      </c>
      <c r="S18" s="1">
        <v>7469</v>
      </c>
      <c r="T18" s="1">
        <v>7469</v>
      </c>
      <c r="U18" s="1">
        <v>7469</v>
      </c>
    </row>
    <row r="19" spans="2:118" x14ac:dyDescent="0.2">
      <c r="B19" s="1" t="s">
        <v>22</v>
      </c>
      <c r="N19" s="4">
        <f>N17/N18</f>
        <v>9.6469496021220156</v>
      </c>
      <c r="O19" s="4">
        <f t="shared" ref="O19:U19" si="21">O17/O18</f>
        <v>9.6842880085653107</v>
      </c>
      <c r="P19" s="4">
        <f t="shared" si="21"/>
        <v>11.800240996117285</v>
      </c>
      <c r="Q19" s="4">
        <f t="shared" si="21"/>
        <v>14.190359055991257</v>
      </c>
      <c r="R19" s="4">
        <f t="shared" si="21"/>
        <v>16.895087250945867</v>
      </c>
      <c r="S19" s="4">
        <f t="shared" si="21"/>
        <v>21.083139377733474</v>
      </c>
      <c r="T19" s="4">
        <f t="shared" si="21"/>
        <v>26.305888397696858</v>
      </c>
      <c r="U19" s="4">
        <f t="shared" si="21"/>
        <v>32.827586213704819</v>
      </c>
    </row>
    <row r="20" spans="2:118" x14ac:dyDescent="0.2">
      <c r="W20" s="1" t="s">
        <v>41</v>
      </c>
      <c r="X20" s="7">
        <v>0.04</v>
      </c>
    </row>
    <row r="21" spans="2:118" s="6" customFormat="1" x14ac:dyDescent="0.2">
      <c r="B21" s="6" t="s">
        <v>23</v>
      </c>
      <c r="O21" s="8">
        <f t="shared" ref="O21:U21" si="22">O5/N5-1</f>
        <v>6.8820295556564215E-2</v>
      </c>
      <c r="P21" s="8">
        <f t="shared" si="22"/>
        <v>0.1566996201307127</v>
      </c>
      <c r="Q21" s="8">
        <f t="shared" si="22"/>
        <v>0.19466054998463345</v>
      </c>
      <c r="R21" s="8">
        <f t="shared" si="22"/>
        <v>0.2039667466408428</v>
      </c>
      <c r="S21" s="8">
        <f t="shared" si="22"/>
        <v>0.20985361210185127</v>
      </c>
      <c r="T21" s="8">
        <f t="shared" si="22"/>
        <v>0.2151580101332895</v>
      </c>
      <c r="U21" s="8">
        <f t="shared" si="22"/>
        <v>0.2198935537148512</v>
      </c>
      <c r="W21" s="1" t="s">
        <v>42</v>
      </c>
      <c r="X21" s="7">
        <v>0.02</v>
      </c>
    </row>
    <row r="22" spans="2:118" s="6" customFormat="1" x14ac:dyDescent="0.2">
      <c r="B22" s="1" t="s">
        <v>46</v>
      </c>
      <c r="O22" s="8">
        <f>O3/N3-1</f>
        <v>-0.11044657097288679</v>
      </c>
      <c r="P22" s="8">
        <f>P3/O3-1</f>
        <v>1.1437580178983442E-3</v>
      </c>
      <c r="Q22" s="8">
        <f t="shared" ref="Q22:U22" si="23">Q3/P3-1</f>
        <v>4.0577606924695919E-2</v>
      </c>
      <c r="R22" s="8">
        <f t="shared" si="23"/>
        <v>5.0000000000000044E-2</v>
      </c>
      <c r="S22" s="8">
        <f t="shared" si="23"/>
        <v>5.0000000000000044E-2</v>
      </c>
      <c r="T22" s="8">
        <f t="shared" si="23"/>
        <v>5.0000000000000044E-2</v>
      </c>
      <c r="U22" s="8">
        <f t="shared" si="23"/>
        <v>5.0000000000000044E-2</v>
      </c>
      <c r="W22" s="1" t="s">
        <v>43</v>
      </c>
      <c r="X22" s="7">
        <v>0.08</v>
      </c>
    </row>
    <row r="23" spans="2:118" s="6" customFormat="1" x14ac:dyDescent="0.2">
      <c r="B23" s="1" t="s">
        <v>47</v>
      </c>
      <c r="N23" s="8"/>
      <c r="O23" s="8">
        <f>O4/N4-1</f>
        <v>0.17268078191463943</v>
      </c>
      <c r="P23" s="8">
        <f>P4/O4-1</f>
        <v>0.2250638517552439</v>
      </c>
      <c r="Q23" s="8">
        <f t="shared" ref="Q23:U23" si="24">Q4/P4-1</f>
        <v>0.25</v>
      </c>
      <c r="R23" s="8">
        <f t="shared" si="24"/>
        <v>0.25</v>
      </c>
      <c r="S23" s="8">
        <f t="shared" si="24"/>
        <v>0.25</v>
      </c>
      <c r="T23" s="8">
        <f t="shared" si="24"/>
        <v>0.25</v>
      </c>
      <c r="U23" s="8">
        <f t="shared" si="24"/>
        <v>0.25</v>
      </c>
      <c r="W23" s="1" t="s">
        <v>44</v>
      </c>
      <c r="X23" s="6">
        <f>NPV(X22,Q34:XFD34)+Main!I6-Main!I7</f>
        <v>3092560.6900336547</v>
      </c>
    </row>
    <row r="24" spans="2:118" x14ac:dyDescent="0.2">
      <c r="B24" s="1" t="s">
        <v>24</v>
      </c>
      <c r="N24" s="9">
        <f>N16/N15</f>
        <v>0.13113383343685794</v>
      </c>
      <c r="O24" s="9">
        <f t="shared" ref="O24:P24" si="25">O16/O15</f>
        <v>0.18978625253328257</v>
      </c>
      <c r="P24" s="9">
        <f t="shared" si="25"/>
        <v>0.18231326597827197</v>
      </c>
      <c r="Q24" s="9">
        <v>0.19</v>
      </c>
      <c r="R24" s="9">
        <v>0.19</v>
      </c>
      <c r="S24" s="9">
        <v>0.19</v>
      </c>
      <c r="T24" s="9">
        <v>0.19</v>
      </c>
      <c r="U24" s="9">
        <v>0.19</v>
      </c>
      <c r="W24" s="1" t="s">
        <v>0</v>
      </c>
      <c r="X24" s="1">
        <f>X23/Main!I4</f>
        <v>416.00325236645108</v>
      </c>
    </row>
    <row r="25" spans="2:118" x14ac:dyDescent="0.2">
      <c r="W25" s="1" t="s">
        <v>45</v>
      </c>
      <c r="X25" s="9">
        <f>X24/Main!I3-1</f>
        <v>-0.23528813903225909</v>
      </c>
    </row>
    <row r="26" spans="2:118" s="6" customFormat="1" x14ac:dyDescent="0.2">
      <c r="B26" s="6" t="s">
        <v>25</v>
      </c>
      <c r="N26" s="8">
        <f>N8/N5</f>
        <v>0.68401674484289099</v>
      </c>
      <c r="O26" s="8">
        <f t="shared" ref="O26:U26" si="26">O8/O5</f>
        <v>0.68920085883491022</v>
      </c>
      <c r="P26" s="8">
        <f t="shared" si="26"/>
        <v>0.69764443827971379</v>
      </c>
      <c r="Q26" s="8">
        <f t="shared" si="26"/>
        <v>0.69803317833798506</v>
      </c>
      <c r="R26" s="8">
        <f t="shared" si="26"/>
        <v>0.69883312575543532</v>
      </c>
      <c r="S26" s="8">
        <f t="shared" si="26"/>
        <v>0.69989113251124724</v>
      </c>
      <c r="T26" s="8">
        <f t="shared" si="26"/>
        <v>0.70120481343963159</v>
      </c>
      <c r="U26" s="8">
        <f t="shared" si="26"/>
        <v>0.70276585327424357</v>
      </c>
    </row>
    <row r="27" spans="2:118" s="6" customFormat="1" x14ac:dyDescent="0.2">
      <c r="B27" s="1" t="s">
        <v>39</v>
      </c>
      <c r="N27" s="9">
        <f>1-N6/N3</f>
        <v>0.73788703734257277</v>
      </c>
      <c r="O27" s="9">
        <f t="shared" ref="O27:P27" si="27">1-O6/O3</f>
        <v>0.72481800336944935</v>
      </c>
      <c r="P27" s="9">
        <f t="shared" si="27"/>
        <v>0.76422274713229277</v>
      </c>
      <c r="Q27" s="9">
        <f>P27*1.005</f>
        <v>0.76804386086795418</v>
      </c>
      <c r="R27" s="9">
        <f t="shared" ref="R27:U27" si="28">Q27*1.005</f>
        <v>0.77188408017229382</v>
      </c>
      <c r="S27" s="9">
        <f t="shared" si="28"/>
        <v>0.77574350057315522</v>
      </c>
      <c r="T27" s="9">
        <f t="shared" si="28"/>
        <v>0.77962221807602095</v>
      </c>
      <c r="U27" s="9">
        <f t="shared" si="28"/>
        <v>0.78352032916640102</v>
      </c>
    </row>
    <row r="28" spans="2:118" s="6" customFormat="1" x14ac:dyDescent="0.2">
      <c r="B28" s="1" t="s">
        <v>40</v>
      </c>
      <c r="N28" s="9">
        <f>1-N7/N4</f>
        <v>0.65280632159186858</v>
      </c>
      <c r="O28" s="9">
        <f t="shared" ref="O28:P28" si="29">1-O7/O4</f>
        <v>0.67354771220519516</v>
      </c>
      <c r="P28" s="9">
        <f t="shared" si="29"/>
        <v>0.67373259624394921</v>
      </c>
      <c r="Q28" s="9">
        <f>P28*1.005</f>
        <v>0.67710125922516884</v>
      </c>
      <c r="R28" s="9">
        <f t="shared" ref="R28:U28" si="30">Q28*1.005</f>
        <v>0.68048676552129461</v>
      </c>
      <c r="S28" s="9">
        <f t="shared" si="30"/>
        <v>0.68388919934890102</v>
      </c>
      <c r="T28" s="9">
        <f t="shared" si="30"/>
        <v>0.68730864534564551</v>
      </c>
      <c r="U28" s="9">
        <f t="shared" si="30"/>
        <v>0.69074518857237366</v>
      </c>
    </row>
    <row r="29" spans="2:118" x14ac:dyDescent="0.2">
      <c r="B29" s="1" t="s">
        <v>26</v>
      </c>
      <c r="N29" s="9">
        <f>N13/N5</f>
        <v>0.4205527815604983</v>
      </c>
      <c r="O29" s="9">
        <f t="shared" ref="O29:U29" si="31">O13/O5</f>
        <v>0.41772880636104098</v>
      </c>
      <c r="P29" s="9">
        <f t="shared" si="31"/>
        <v>0.44644299573273716</v>
      </c>
      <c r="Q29" s="9">
        <f t="shared" si="31"/>
        <v>0.44683173579100849</v>
      </c>
      <c r="R29" s="9">
        <f t="shared" si="31"/>
        <v>0.44763168320845881</v>
      </c>
      <c r="S29" s="9">
        <f t="shared" si="31"/>
        <v>0.44868968996427067</v>
      </c>
      <c r="T29" s="9">
        <f t="shared" si="31"/>
        <v>0.45000337089265502</v>
      </c>
      <c r="U29" s="9">
        <f t="shared" si="31"/>
        <v>0.45156441072726711</v>
      </c>
    </row>
    <row r="30" spans="2:118" x14ac:dyDescent="0.2">
      <c r="B30" s="1" t="s">
        <v>27</v>
      </c>
    </row>
    <row r="31" spans="2:118" x14ac:dyDescent="0.2">
      <c r="N31" s="9">
        <f>N32/N17</f>
        <v>1.224050702521378</v>
      </c>
      <c r="O31" s="9">
        <f>O32/O17</f>
        <v>1.2103481156976825</v>
      </c>
      <c r="P31" s="9">
        <f>P32/P17</f>
        <v>1.3450576381955159</v>
      </c>
      <c r="Q31" s="9">
        <f>P31*1.005</f>
        <v>1.3517829263864933</v>
      </c>
      <c r="R31" s="9">
        <f t="shared" ref="R31:U31" si="32">Q31*1.005</f>
        <v>1.3585418410184256</v>
      </c>
      <c r="S31" s="9">
        <f t="shared" si="32"/>
        <v>1.3653345502235175</v>
      </c>
      <c r="T31" s="9">
        <f t="shared" si="32"/>
        <v>1.3721612229746349</v>
      </c>
      <c r="U31" s="9">
        <f t="shared" si="32"/>
        <v>1.3790220290895079</v>
      </c>
    </row>
    <row r="32" spans="2:118" x14ac:dyDescent="0.2">
      <c r="B32" s="1" t="s">
        <v>28</v>
      </c>
      <c r="N32" s="1">
        <v>89035</v>
      </c>
      <c r="O32" s="1">
        <v>87582</v>
      </c>
      <c r="P32" s="1">
        <v>118548</v>
      </c>
      <c r="Q32" s="1">
        <f>Q31*Q17</f>
        <v>143272.48734604538</v>
      </c>
      <c r="R32" s="1">
        <f t="shared" ref="R32:U32" si="33">R31*R17</f>
        <v>171433.58886442191</v>
      </c>
      <c r="S32" s="1">
        <f t="shared" si="33"/>
        <v>214999.18794977345</v>
      </c>
      <c r="T32" s="1">
        <f t="shared" si="33"/>
        <v>269600.4264442831</v>
      </c>
      <c r="U32" s="1">
        <f t="shared" si="33"/>
        <v>338121.36522793828</v>
      </c>
    </row>
    <row r="33" spans="2:124" x14ac:dyDescent="0.2">
      <c r="B33" s="1" t="s">
        <v>29</v>
      </c>
      <c r="N33" s="1">
        <v>23886</v>
      </c>
      <c r="O33" s="1">
        <v>28107</v>
      </c>
      <c r="P33" s="1">
        <v>44477</v>
      </c>
      <c r="Q33" s="1">
        <f>P33*(1+Q21)</f>
        <v>53134.917281666545</v>
      </c>
      <c r="R33" s="1">
        <f t="shared" ref="R33:U33" si="34">Q33*(1+R21)</f>
        <v>63972.673492638365</v>
      </c>
      <c r="S33" s="1">
        <f t="shared" si="34"/>
        <v>77397.570100880883</v>
      </c>
      <c r="T33" s="1">
        <f t="shared" si="34"/>
        <v>94050.277272938198</v>
      </c>
      <c r="U33" s="1">
        <f t="shared" si="34"/>
        <v>114731.32697035169</v>
      </c>
    </row>
    <row r="34" spans="2:124" s="6" customFormat="1" x14ac:dyDescent="0.2">
      <c r="B34" s="6" t="s">
        <v>30</v>
      </c>
      <c r="N34" s="6">
        <f>N32-N33</f>
        <v>65149</v>
      </c>
      <c r="O34" s="6">
        <f t="shared" ref="O34:P34" si="35">O32-O33</f>
        <v>59475</v>
      </c>
      <c r="P34" s="6">
        <f t="shared" si="35"/>
        <v>74071</v>
      </c>
      <c r="Q34" s="6">
        <f t="shared" ref="Q34" si="36">Q32-Q33</f>
        <v>90137.570064378844</v>
      </c>
      <c r="R34" s="6">
        <f t="shared" ref="R34" si="37">R32-R33</f>
        <v>107460.91537178354</v>
      </c>
      <c r="S34" s="6">
        <f t="shared" ref="S34" si="38">S32-S33</f>
        <v>137601.61784889258</v>
      </c>
      <c r="T34" s="6">
        <f t="shared" ref="T34" si="39">T32-T33</f>
        <v>175550.14917134491</v>
      </c>
      <c r="U34" s="6">
        <f t="shared" ref="U34" si="40">U32-U33</f>
        <v>223390.0382575866</v>
      </c>
      <c r="V34" s="6">
        <f t="shared" ref="V34:BA34" si="41">U34*(1+$X$21)</f>
        <v>227857.83902273834</v>
      </c>
      <c r="W34" s="6">
        <f t="shared" si="41"/>
        <v>232414.9958031931</v>
      </c>
      <c r="X34" s="6">
        <f t="shared" si="41"/>
        <v>237063.29571925697</v>
      </c>
      <c r="Y34" s="6">
        <f t="shared" si="41"/>
        <v>241804.56163364212</v>
      </c>
      <c r="Z34" s="6">
        <f t="shared" si="41"/>
        <v>246640.65286631498</v>
      </c>
      <c r="AA34" s="6">
        <f t="shared" si="41"/>
        <v>251573.46592364128</v>
      </c>
      <c r="AB34" s="6">
        <f t="shared" si="41"/>
        <v>256604.93524211412</v>
      </c>
      <c r="AC34" s="6">
        <f t="shared" si="41"/>
        <v>261737.03394695642</v>
      </c>
      <c r="AD34" s="6">
        <f t="shared" si="41"/>
        <v>266971.77462589554</v>
      </c>
      <c r="AE34" s="6">
        <f t="shared" si="41"/>
        <v>272311.21011841344</v>
      </c>
      <c r="AF34" s="6">
        <f t="shared" si="41"/>
        <v>277757.43432078173</v>
      </c>
      <c r="AG34" s="6">
        <f t="shared" si="41"/>
        <v>283312.58300719736</v>
      </c>
      <c r="AH34" s="6">
        <f t="shared" si="41"/>
        <v>288978.83466734132</v>
      </c>
      <c r="AI34" s="6">
        <f t="shared" si="41"/>
        <v>294758.41136068816</v>
      </c>
      <c r="AJ34" s="6">
        <f t="shared" si="41"/>
        <v>300653.57958790194</v>
      </c>
      <c r="AK34" s="6">
        <f t="shared" si="41"/>
        <v>306666.65117966</v>
      </c>
      <c r="AL34" s="6">
        <f t="shared" si="41"/>
        <v>312799.98420325317</v>
      </c>
      <c r="AM34" s="6">
        <f t="shared" si="41"/>
        <v>319055.98388731823</v>
      </c>
      <c r="AN34" s="6">
        <f t="shared" si="41"/>
        <v>325437.10356506461</v>
      </c>
      <c r="AO34" s="6">
        <f t="shared" si="41"/>
        <v>331945.84563636588</v>
      </c>
      <c r="AP34" s="6">
        <f t="shared" si="41"/>
        <v>338584.76254909323</v>
      </c>
      <c r="AQ34" s="6">
        <f t="shared" si="41"/>
        <v>345356.45780007512</v>
      </c>
      <c r="AR34" s="6">
        <f t="shared" si="41"/>
        <v>352263.58695607662</v>
      </c>
      <c r="AS34" s="6">
        <f t="shared" si="41"/>
        <v>359308.85869519814</v>
      </c>
      <c r="AT34" s="6">
        <f t="shared" si="41"/>
        <v>366495.03586910211</v>
      </c>
      <c r="AU34" s="6">
        <f t="shared" si="41"/>
        <v>373824.93658648414</v>
      </c>
      <c r="AV34" s="6">
        <f t="shared" si="41"/>
        <v>381301.43531821383</v>
      </c>
      <c r="AW34" s="6">
        <f t="shared" si="41"/>
        <v>388927.4640245781</v>
      </c>
      <c r="AX34" s="6">
        <f t="shared" si="41"/>
        <v>396706.01330506965</v>
      </c>
      <c r="AY34" s="6">
        <f t="shared" si="41"/>
        <v>404640.13357117103</v>
      </c>
      <c r="AZ34" s="6">
        <f t="shared" si="41"/>
        <v>412732.93624259444</v>
      </c>
      <c r="BA34" s="6">
        <f t="shared" si="41"/>
        <v>420987.59496744635</v>
      </c>
      <c r="BB34" s="6">
        <f t="shared" ref="BB34:CG34" si="42">BA34*(1+$X$21)</f>
        <v>429407.34686679527</v>
      </c>
      <c r="BC34" s="6">
        <f t="shared" si="42"/>
        <v>437995.49380413117</v>
      </c>
      <c r="BD34" s="6">
        <f t="shared" si="42"/>
        <v>446755.40368021379</v>
      </c>
      <c r="BE34" s="6">
        <f t="shared" si="42"/>
        <v>455690.51175381808</v>
      </c>
      <c r="BF34" s="6">
        <f t="shared" si="42"/>
        <v>464804.32198889443</v>
      </c>
      <c r="BG34" s="6">
        <f t="shared" si="42"/>
        <v>474100.40842867235</v>
      </c>
      <c r="BH34" s="6">
        <f t="shared" si="42"/>
        <v>483582.41659724578</v>
      </c>
      <c r="BI34" s="6">
        <f t="shared" si="42"/>
        <v>493254.06492919073</v>
      </c>
      <c r="BJ34" s="6">
        <f t="shared" si="42"/>
        <v>503119.14622777456</v>
      </c>
      <c r="BK34" s="6">
        <f t="shared" si="42"/>
        <v>513181.52915233007</v>
      </c>
      <c r="BL34" s="6">
        <f t="shared" si="42"/>
        <v>523445.15973537666</v>
      </c>
      <c r="BM34" s="6">
        <f t="shared" si="42"/>
        <v>533914.06293008418</v>
      </c>
      <c r="BN34" s="6">
        <f t="shared" si="42"/>
        <v>544592.34418868588</v>
      </c>
      <c r="BO34" s="6">
        <f t="shared" si="42"/>
        <v>555484.19107245957</v>
      </c>
      <c r="BP34" s="6">
        <f t="shared" si="42"/>
        <v>566593.87489390874</v>
      </c>
      <c r="BQ34" s="6">
        <f t="shared" si="42"/>
        <v>577925.7523917869</v>
      </c>
      <c r="BR34" s="6">
        <f t="shared" si="42"/>
        <v>589484.26743962266</v>
      </c>
      <c r="BS34" s="6">
        <f t="shared" si="42"/>
        <v>601273.95278841513</v>
      </c>
      <c r="BT34" s="6">
        <f t="shared" si="42"/>
        <v>613299.43184418348</v>
      </c>
      <c r="BU34" s="6">
        <f t="shared" si="42"/>
        <v>625565.42048106715</v>
      </c>
      <c r="BV34" s="6">
        <f t="shared" si="42"/>
        <v>638076.72889068851</v>
      </c>
      <c r="BW34" s="6">
        <f t="shared" si="42"/>
        <v>650838.26346850232</v>
      </c>
      <c r="BX34" s="6">
        <f t="shared" si="42"/>
        <v>663855.02873787237</v>
      </c>
      <c r="BY34" s="6">
        <f t="shared" si="42"/>
        <v>677132.12931262981</v>
      </c>
      <c r="BZ34" s="6">
        <f t="shared" si="42"/>
        <v>690674.77189888246</v>
      </c>
      <c r="CA34" s="6">
        <f t="shared" si="42"/>
        <v>704488.26733686018</v>
      </c>
      <c r="CB34" s="6">
        <f t="shared" si="42"/>
        <v>718578.03268359741</v>
      </c>
      <c r="CC34" s="6">
        <f t="shared" si="42"/>
        <v>732949.59333726938</v>
      </c>
      <c r="CD34" s="6">
        <f t="shared" si="42"/>
        <v>747608.58520401479</v>
      </c>
      <c r="CE34" s="6">
        <f t="shared" si="42"/>
        <v>762560.75690809509</v>
      </c>
      <c r="CF34" s="6">
        <f t="shared" si="42"/>
        <v>777811.972046257</v>
      </c>
      <c r="CG34" s="6">
        <f t="shared" si="42"/>
        <v>793368.21148718218</v>
      </c>
      <c r="CH34" s="6">
        <f t="shared" ref="CH34:DM34" si="43">CG34*(1+$X$21)</f>
        <v>809235.57571692578</v>
      </c>
      <c r="CI34" s="6">
        <f t="shared" si="43"/>
        <v>825420.28723126429</v>
      </c>
      <c r="CJ34" s="6">
        <f t="shared" si="43"/>
        <v>841928.69297588954</v>
      </c>
      <c r="CK34" s="6">
        <f t="shared" si="43"/>
        <v>858767.26683540735</v>
      </c>
      <c r="CL34" s="6">
        <f t="shared" si="43"/>
        <v>875942.61217211548</v>
      </c>
      <c r="CM34" s="6">
        <f t="shared" si="43"/>
        <v>893461.4644155578</v>
      </c>
      <c r="CN34" s="6">
        <f t="shared" si="43"/>
        <v>911330.69370386901</v>
      </c>
      <c r="CO34" s="6">
        <f t="shared" si="43"/>
        <v>929557.30757794646</v>
      </c>
      <c r="CP34" s="6">
        <f t="shared" si="43"/>
        <v>948148.45372950542</v>
      </c>
      <c r="CQ34" s="6">
        <f t="shared" si="43"/>
        <v>967111.42280409555</v>
      </c>
      <c r="CR34" s="6">
        <f t="shared" si="43"/>
        <v>986453.65126017749</v>
      </c>
      <c r="CS34" s="6">
        <f t="shared" si="43"/>
        <v>1006182.724285381</v>
      </c>
      <c r="CT34" s="6">
        <f t="shared" si="43"/>
        <v>1026306.3787710887</v>
      </c>
      <c r="CU34" s="6">
        <f t="shared" si="43"/>
        <v>1046832.5063465105</v>
      </c>
      <c r="CV34" s="6">
        <f t="shared" si="43"/>
        <v>1067769.1564734408</v>
      </c>
      <c r="CW34" s="6">
        <f t="shared" si="43"/>
        <v>1089124.5396029097</v>
      </c>
      <c r="CX34" s="6">
        <f t="shared" si="43"/>
        <v>1110907.0303949679</v>
      </c>
      <c r="CY34" s="6">
        <f t="shared" si="43"/>
        <v>1133125.1710028672</v>
      </c>
      <c r="CZ34" s="6">
        <f t="shared" si="43"/>
        <v>1155787.6744229246</v>
      </c>
      <c r="DA34" s="6">
        <f t="shared" si="43"/>
        <v>1178903.4279113831</v>
      </c>
      <c r="DB34" s="6">
        <f t="shared" si="43"/>
        <v>1202481.4964696108</v>
      </c>
      <c r="DC34" s="6">
        <f t="shared" si="43"/>
        <v>1226531.126399003</v>
      </c>
      <c r="DD34" s="6">
        <f t="shared" si="43"/>
        <v>1251061.748926983</v>
      </c>
      <c r="DE34" s="6">
        <f t="shared" si="43"/>
        <v>1276082.9839055226</v>
      </c>
      <c r="DF34" s="6">
        <f t="shared" si="43"/>
        <v>1301604.643583633</v>
      </c>
      <c r="DG34" s="6">
        <f t="shared" si="43"/>
        <v>1327636.7364553057</v>
      </c>
      <c r="DH34" s="6">
        <f t="shared" si="43"/>
        <v>1354189.4711844118</v>
      </c>
      <c r="DI34" s="6">
        <f t="shared" si="43"/>
        <v>1381273.2606081001</v>
      </c>
      <c r="DJ34" s="6">
        <f t="shared" si="43"/>
        <v>1408898.7258202622</v>
      </c>
      <c r="DK34" s="6">
        <f t="shared" si="43"/>
        <v>1437076.7003366675</v>
      </c>
      <c r="DL34" s="6">
        <f t="shared" si="43"/>
        <v>1465818.2343434009</v>
      </c>
      <c r="DM34" s="6">
        <f t="shared" si="43"/>
        <v>1495134.5990302691</v>
      </c>
      <c r="DN34" s="6">
        <f t="shared" ref="DN34:DT34" si="44">DM34*(1+$X$21)</f>
        <v>1525037.2910108746</v>
      </c>
      <c r="DO34" s="6">
        <f t="shared" si="44"/>
        <v>1555538.0368310921</v>
      </c>
      <c r="DP34" s="6">
        <f t="shared" si="44"/>
        <v>1586648.797567714</v>
      </c>
      <c r="DQ34" s="6">
        <f t="shared" si="44"/>
        <v>1618381.7735190683</v>
      </c>
      <c r="DR34" s="6">
        <f t="shared" si="44"/>
        <v>1650749.4089894497</v>
      </c>
      <c r="DS34" s="6">
        <f t="shared" si="44"/>
        <v>1683764.3971692387</v>
      </c>
      <c r="DT34" s="6">
        <f t="shared" si="44"/>
        <v>1717439.6851126235</v>
      </c>
    </row>
    <row r="35" spans="2:124" x14ac:dyDescent="0.2">
      <c r="N35" s="9">
        <f>N34/N5</f>
        <v>0.32858727997175569</v>
      </c>
      <c r="O35" s="9">
        <f t="shared" ref="O35:P35" si="45">O34/O5</f>
        <v>0.28065497959087371</v>
      </c>
      <c r="P35" s="9">
        <f t="shared" si="45"/>
        <v>0.30218013886962408</v>
      </c>
      <c r="Q35" s="9">
        <f t="shared" ref="Q35" si="46">Q34/Q5</f>
        <v>0.30780738263973578</v>
      </c>
      <c r="R35" s="9">
        <f t="shared" ref="R35" si="47">R34/R5</f>
        <v>0.30479597636939004</v>
      </c>
      <c r="S35" s="9">
        <f t="shared" ref="S35" si="48">S34/S5</f>
        <v>0.32258889182259792</v>
      </c>
      <c r="T35" s="9">
        <f t="shared" ref="T35" si="49">T34/T5</f>
        <v>0.33868371686720128</v>
      </c>
      <c r="U35" s="9">
        <f t="shared" ref="U35" si="50">U34/U5</f>
        <v>0.35329295767660712</v>
      </c>
    </row>
    <row r="36" spans="2:124" x14ac:dyDescent="0.2">
      <c r="B36" s="1" t="s">
        <v>31</v>
      </c>
      <c r="H36" s="1">
        <f>H38-H40</f>
        <v>-50766</v>
      </c>
      <c r="I36" s="1">
        <f>H36+I17</f>
        <v>-50766</v>
      </c>
      <c r="J36" s="1">
        <f>I36+J17</f>
        <v>-50766</v>
      </c>
      <c r="Q36" s="1">
        <f>J36</f>
        <v>-50766</v>
      </c>
      <c r="R36" s="1">
        <f>Q36+R17</f>
        <v>75423.406677314691</v>
      </c>
      <c r="S36" s="1">
        <f t="shared" ref="S36:U36" si="51">R36+S17</f>
        <v>232893.37468960602</v>
      </c>
      <c r="T36" s="1">
        <f t="shared" si="51"/>
        <v>429372.05513200385</v>
      </c>
      <c r="U36" s="1">
        <f t="shared" si="51"/>
        <v>674561.29656216514</v>
      </c>
    </row>
    <row r="38" spans="2:124" x14ac:dyDescent="0.2">
      <c r="B38" s="1" t="s">
        <v>3</v>
      </c>
      <c r="H38" s="1">
        <f>17482+54073</f>
        <v>71555</v>
      </c>
    </row>
    <row r="40" spans="2:124" x14ac:dyDescent="0.2">
      <c r="B40" s="1" t="s">
        <v>4</v>
      </c>
      <c r="H40" s="1">
        <f>39722+24389+2537+2513+17254+35906</f>
        <v>122321</v>
      </c>
    </row>
  </sheetData>
  <hyperlinks>
    <hyperlink ref="A1" location="Sheet1!A1" display="Main" xr:uid="{DA1959CE-4061-4CA1-B4C4-0C2C2C4229D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2025-04-28T19:55:14Z</dcterms:created>
  <dcterms:modified xsi:type="dcterms:W3CDTF">2025-08-16T07:26:22Z</dcterms:modified>
</cp:coreProperties>
</file>