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D6F6F6EE-0A9F-4931-8D45-45B3FE416EAC}" xr6:coauthVersionLast="47" xr6:coauthVersionMax="47" xr10:uidLastSave="{00000000-0000-0000-0000-000000000000}"/>
  <bookViews>
    <workbookView xWindow="4815" yWindow="615" windowWidth="20805" windowHeight="15015" activeTab="1" xr2:uid="{1048AAC9-095E-4978-9899-EC26626F8B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R2" i="2" s="1"/>
  <c r="S2" i="2" s="1"/>
  <c r="T2" i="2" s="1"/>
  <c r="U2" i="2" s="1"/>
  <c r="V2" i="2" s="1"/>
  <c r="W2" i="2" s="1"/>
  <c r="P2" i="2"/>
  <c r="O2" i="2"/>
  <c r="N13" i="2"/>
  <c r="D6" i="1"/>
  <c r="D5" i="1"/>
  <c r="D3" i="1"/>
  <c r="F32" i="2"/>
  <c r="F12" i="2"/>
  <c r="F14" i="2" s="1"/>
  <c r="G8" i="2"/>
  <c r="H8" i="2"/>
  <c r="I8" i="2"/>
  <c r="F8" i="2"/>
  <c r="G4" i="2"/>
  <c r="G21" i="2" s="1"/>
  <c r="H2" i="2"/>
  <c r="I2" i="2" s="1"/>
  <c r="G19" i="2"/>
  <c r="F19" i="2"/>
  <c r="G18" i="2"/>
  <c r="G20" i="2"/>
  <c r="M36" i="2"/>
  <c r="M34" i="2"/>
  <c r="N11" i="2"/>
  <c r="O11" i="2" s="1"/>
  <c r="P11" i="2" s="1"/>
  <c r="Q11" i="2" s="1"/>
  <c r="R11" i="2" s="1"/>
  <c r="S11" i="2" s="1"/>
  <c r="T11" i="2" s="1"/>
  <c r="U11" i="2" s="1"/>
  <c r="V11" i="2" s="1"/>
  <c r="W11" i="2" s="1"/>
  <c r="L29" i="2"/>
  <c r="L25" i="2" s="1"/>
  <c r="M29" i="2"/>
  <c r="M25" i="2" s="1"/>
  <c r="K29" i="2"/>
  <c r="K25" i="2" s="1"/>
  <c r="L8" i="2"/>
  <c r="L22" i="2" s="1"/>
  <c r="M8" i="2"/>
  <c r="M22" i="2" s="1"/>
  <c r="K8" i="2"/>
  <c r="K22" i="2" s="1"/>
  <c r="L18" i="2"/>
  <c r="M18" i="2"/>
  <c r="M19" i="2" s="1"/>
  <c r="L4" i="2"/>
  <c r="L21" i="2" s="1"/>
  <c r="M4" i="2"/>
  <c r="M21" i="2" s="1"/>
  <c r="N21" i="2" s="1"/>
  <c r="O21" i="2" s="1"/>
  <c r="P21" i="2" s="1"/>
  <c r="Q21" i="2" s="1"/>
  <c r="R21" i="2" s="1"/>
  <c r="K4" i="2"/>
  <c r="K21" i="2" s="1"/>
  <c r="F4" i="2"/>
  <c r="F21" i="2" s="1"/>
  <c r="B4" i="2"/>
  <c r="B21" i="2" s="1"/>
  <c r="C4" i="2"/>
  <c r="C21" i="2" s="1"/>
  <c r="D4" i="2"/>
  <c r="D21" i="2" s="1"/>
  <c r="E4" i="2"/>
  <c r="E21" i="2" s="1"/>
  <c r="F18" i="2"/>
  <c r="E20" i="2"/>
  <c r="F20" i="2"/>
  <c r="B20" i="2"/>
  <c r="B24" i="2" s="1"/>
  <c r="L1" i="2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D4" i="1"/>
  <c r="D7" i="1" s="1"/>
  <c r="H18" i="2" l="1"/>
  <c r="N8" i="2"/>
  <c r="H19" i="2"/>
  <c r="H4" i="2"/>
  <c r="H9" i="2" s="1"/>
  <c r="H12" i="2" s="1"/>
  <c r="H13" i="2" s="1"/>
  <c r="H14" i="2" s="1"/>
  <c r="I19" i="2"/>
  <c r="I18" i="2"/>
  <c r="N2" i="2"/>
  <c r="I4" i="2"/>
  <c r="I9" i="2" s="1"/>
  <c r="I12" i="2" s="1"/>
  <c r="G9" i="2"/>
  <c r="G12" i="2" s="1"/>
  <c r="M32" i="2"/>
  <c r="N10" i="2" s="1"/>
  <c r="K9" i="2"/>
  <c r="M9" i="2"/>
  <c r="L9" i="2"/>
  <c r="O8" i="2" l="1"/>
  <c r="N22" i="2"/>
  <c r="G13" i="2"/>
  <c r="G14" i="2" s="1"/>
  <c r="N25" i="2"/>
  <c r="O25" i="2" s="1"/>
  <c r="N18" i="2"/>
  <c r="N19" i="2" s="1"/>
  <c r="I13" i="2"/>
  <c r="I14" i="2" s="1"/>
  <c r="L12" i="2"/>
  <c r="L20" i="2"/>
  <c r="L24" i="2" s="1"/>
  <c r="M12" i="2"/>
  <c r="M20" i="2"/>
  <c r="M24" i="2" s="1"/>
  <c r="K12" i="2"/>
  <c r="K20" i="2"/>
  <c r="K24" i="2" s="1"/>
  <c r="P8" i="2" l="1"/>
  <c r="O22" i="2"/>
  <c r="N7" i="2"/>
  <c r="N5" i="2"/>
  <c r="N6" i="2"/>
  <c r="O18" i="2"/>
  <c r="O19" i="2" s="1"/>
  <c r="P25" i="2"/>
  <c r="O29" i="2"/>
  <c r="K14" i="2"/>
  <c r="M14" i="2"/>
  <c r="L14" i="2"/>
  <c r="N3" i="2"/>
  <c r="N4" i="2" s="1"/>
  <c r="N9" i="2" s="1"/>
  <c r="O3" i="2"/>
  <c r="O4" i="2" s="1"/>
  <c r="O9" i="2" s="1"/>
  <c r="O20" i="2" s="1"/>
  <c r="O24" i="2" l="1"/>
  <c r="Q8" i="2"/>
  <c r="P22" i="2"/>
  <c r="Q25" i="2"/>
  <c r="P29" i="2"/>
  <c r="O5" i="2"/>
  <c r="P18" i="2"/>
  <c r="P19" i="2" s="1"/>
  <c r="O6" i="2"/>
  <c r="O7" i="2"/>
  <c r="N12" i="2"/>
  <c r="N14" i="2" s="1"/>
  <c r="N20" i="2"/>
  <c r="N24" i="2" s="1"/>
  <c r="P3" i="2"/>
  <c r="P4" i="2" s="1"/>
  <c r="P9" i="2" s="1"/>
  <c r="P20" i="2" s="1"/>
  <c r="P24" i="2" s="1"/>
  <c r="P7" i="2" l="1"/>
  <c r="P6" i="2"/>
  <c r="R8" i="2"/>
  <c r="Q22" i="2"/>
  <c r="Q18" i="2"/>
  <c r="P5" i="2"/>
  <c r="Q5" i="2" s="1"/>
  <c r="R25" i="2"/>
  <c r="Q29" i="2"/>
  <c r="N32" i="2"/>
  <c r="O10" i="2" s="1"/>
  <c r="O12" i="2" s="1"/>
  <c r="R3" i="2"/>
  <c r="R4" i="2" s="1"/>
  <c r="Q3" i="2"/>
  <c r="Q4" i="2" s="1"/>
  <c r="Q9" i="2" s="1"/>
  <c r="Q20" i="2" s="1"/>
  <c r="Q24" i="2" s="1"/>
  <c r="O13" i="2" l="1"/>
  <c r="O14" i="2" s="1"/>
  <c r="O32" i="2" s="1"/>
  <c r="P10" i="2" s="1"/>
  <c r="P12" i="2" s="1"/>
  <c r="P13" i="2" s="1"/>
  <c r="Q7" i="2"/>
  <c r="Q19" i="2"/>
  <c r="S8" i="2"/>
  <c r="T8" i="2" s="1"/>
  <c r="U8" i="2" s="1"/>
  <c r="V8" i="2" s="1"/>
  <c r="W8" i="2" s="1"/>
  <c r="R22" i="2"/>
  <c r="S25" i="2"/>
  <c r="R29" i="2"/>
  <c r="R18" i="2"/>
  <c r="S22" i="2"/>
  <c r="Q6" i="2"/>
  <c r="R9" i="2"/>
  <c r="R20" i="2" s="1"/>
  <c r="R24" i="2" s="1"/>
  <c r="R6" i="2" l="1"/>
  <c r="R5" i="2"/>
  <c r="R19" i="2"/>
  <c r="T22" i="2"/>
  <c r="S18" i="2"/>
  <c r="S3" i="2"/>
  <c r="S4" i="2" s="1"/>
  <c r="S9" i="2" s="1"/>
  <c r="S20" i="2" s="1"/>
  <c r="T25" i="2"/>
  <c r="U25" i="2" s="1"/>
  <c r="S29" i="2"/>
  <c r="R7" i="2"/>
  <c r="S7" i="2" s="1"/>
  <c r="P14" i="2"/>
  <c r="P32" i="2" s="1"/>
  <c r="S24" i="2" l="1"/>
  <c r="S5" i="2"/>
  <c r="S19" i="2"/>
  <c r="T29" i="2"/>
  <c r="U22" i="2"/>
  <c r="T18" i="2"/>
  <c r="T19" i="2" s="1"/>
  <c r="T3" i="2"/>
  <c r="T4" i="2" s="1"/>
  <c r="T9" i="2" s="1"/>
  <c r="S6" i="2"/>
  <c r="Q10" i="2"/>
  <c r="Q12" i="2" s="1"/>
  <c r="Q13" i="2" l="1"/>
  <c r="Q14" i="2" s="1"/>
  <c r="Q32" i="2" s="1"/>
  <c r="T6" i="2"/>
  <c r="T7" i="2"/>
  <c r="T5" i="2"/>
  <c r="V22" i="2"/>
  <c r="U18" i="2"/>
  <c r="U3" i="2"/>
  <c r="U4" i="2" s="1"/>
  <c r="U9" i="2" s="1"/>
  <c r="U20" i="2" s="1"/>
  <c r="U24" i="2" s="1"/>
  <c r="U29" i="2"/>
  <c r="T20" i="2"/>
  <c r="T24" i="2" s="1"/>
  <c r="U7" i="2" l="1"/>
  <c r="U19" i="2"/>
  <c r="V29" i="2"/>
  <c r="W22" i="2"/>
  <c r="V3" i="2"/>
  <c r="V4" i="2" s="1"/>
  <c r="V18" i="2"/>
  <c r="U5" i="2"/>
  <c r="U6" i="2"/>
  <c r="V9" i="2"/>
  <c r="V20" i="2" s="1"/>
  <c r="R10" i="2"/>
  <c r="R12" i="2" s="1"/>
  <c r="R13" i="2" l="1"/>
  <c r="R14" i="2" s="1"/>
  <c r="R32" i="2" s="1"/>
  <c r="V7" i="2"/>
  <c r="V19" i="2"/>
  <c r="V24" i="2"/>
  <c r="V6" i="2"/>
  <c r="V5" i="2"/>
  <c r="W18" i="2"/>
  <c r="W3" i="2"/>
  <c r="W4" i="2" s="1"/>
  <c r="W29" i="2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W7" i="2" l="1"/>
  <c r="W19" i="2"/>
  <c r="W5" i="2"/>
  <c r="W9" i="2" s="1"/>
  <c r="W20" i="2" s="1"/>
  <c r="W24" i="2" s="1"/>
  <c r="W6" i="2"/>
  <c r="S10" i="2"/>
  <c r="S12" i="2" s="1"/>
  <c r="S13" i="2" s="1"/>
  <c r="S14" i="2" l="1"/>
  <c r="S32" i="2" l="1"/>
  <c r="T10" i="2" s="1"/>
  <c r="T12" i="2" s="1"/>
  <c r="T13" i="2" l="1"/>
  <c r="T14" i="2" s="1"/>
  <c r="T32" i="2" s="1"/>
  <c r="U10" i="2" s="1"/>
  <c r="U12" i="2" s="1"/>
  <c r="U13" i="2" l="1"/>
  <c r="U14" i="2" s="1"/>
  <c r="U32" i="2" s="1"/>
  <c r="V10" i="2" s="1"/>
  <c r="V12" i="2" s="1"/>
  <c r="V13" i="2" l="1"/>
  <c r="V14" i="2" s="1"/>
  <c r="V32" i="2" s="1"/>
  <c r="W10" i="2" s="1"/>
  <c r="W12" i="2" s="1"/>
  <c r="W13" i="2" l="1"/>
  <c r="W14" i="2" s="1"/>
  <c r="W32" i="2" l="1"/>
  <c r="X14" i="2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Z21" i="2"/>
  <c r="Z22" i="2" s="1"/>
  <c r="Z23" i="2" s="1"/>
</calcChain>
</file>

<file path=xl/sharedStrings.xml><?xml version="1.0" encoding="utf-8"?>
<sst xmlns="http://schemas.openxmlformats.org/spreadsheetml/2006/main" count="52" uniqueCount="45">
  <si>
    <t>PLTR</t>
  </si>
  <si>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</si>
  <si>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</si>
  <si>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</si>
  <si>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</si>
  <si>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</si>
  <si>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</si>
  <si>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</si>
  <si>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</si>
  <si>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</si>
  <si>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</si>
  <si>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</si>
  <si>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Revenue</t>
  </si>
  <si>
    <t>Rule of 40</t>
  </si>
  <si>
    <t>EBITDA %</t>
  </si>
  <si>
    <t>FCF</t>
  </si>
  <si>
    <t>CFFO</t>
  </si>
  <si>
    <t>CX</t>
  </si>
  <si>
    <t>Net Income</t>
  </si>
  <si>
    <t>Maturity</t>
  </si>
  <si>
    <t>Discount</t>
  </si>
  <si>
    <t>NPV</t>
  </si>
  <si>
    <t>Diff</t>
  </si>
  <si>
    <t>COGS</t>
  </si>
  <si>
    <t>Gross Profit</t>
  </si>
  <si>
    <t>S&amp;M</t>
  </si>
  <si>
    <t>R&amp;D</t>
  </si>
  <si>
    <t>G&amp;A</t>
  </si>
  <si>
    <t>Pretax Income</t>
  </si>
  <si>
    <t>Tax</t>
  </si>
  <si>
    <t>Interest</t>
  </si>
  <si>
    <t>Other Income</t>
  </si>
  <si>
    <t>Gross Margin</t>
  </si>
  <si>
    <t>FCF Margin</t>
  </si>
  <si>
    <t>ROIC</t>
  </si>
  <si>
    <t>EPS</t>
  </si>
  <si>
    <t>Net Cash</t>
  </si>
  <si>
    <t>Operating Income</t>
  </si>
  <si>
    <t>Q225</t>
  </si>
  <si>
    <t>Q325</t>
  </si>
  <si>
    <t>Q425</t>
  </si>
  <si>
    <t>Revenue y/y</t>
  </si>
  <si>
    <t>Revenue q/q</t>
  </si>
  <si>
    <t>OPEX Margin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</si>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</sst>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3" fontId="4" fillId="0" borderId="0" xfId="0" applyNumberFormat="1" applyFont="1"/>
    <xf numFmtId="9" fontId="1" fillId="0" borderId="0" xfId="0" applyNumberFormat="1" applyFont="1"/>
    <xf numFmtId="9" fontId="4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0</xdr:row>
      <xdr:rowOff>28575</xdr:rowOff>
    </xdr:from>
    <xdr:to>
      <xdr:col>13</xdr:col>
      <xdr:colOff>9525</xdr:colOff>
      <xdr:row>24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ED81122-4F06-16EA-0D67-4C8D7C3A90C4}"/>
            </a:ext>
          </a:extLst>
        </xdr:cNvPr>
        <xdr:cNvCxnSpPr/>
      </xdr:nvCxnSpPr>
      <xdr:spPr>
        <a:xfrm>
          <a:off x="6076950" y="28575"/>
          <a:ext cx="28575" cy="3590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0</xdr:row>
      <xdr:rowOff>9525</xdr:rowOff>
    </xdr:from>
    <xdr:to>
      <xdr:col>6</xdr:col>
      <xdr:colOff>9525</xdr:colOff>
      <xdr:row>23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DE834C-F0B0-2497-5AE1-977B2E68C64A}"/>
            </a:ext>
          </a:extLst>
        </xdr:cNvPr>
        <xdr:cNvCxnSpPr/>
      </xdr:nvCxnSpPr>
      <xdr:spPr>
        <a:xfrm>
          <a:off x="4200525" y="9525"/>
          <a:ext cx="0" cy="4200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D33-7BAB-4D53-9D30-0903F79F6C1F}">
  <dimension ref="A1:E7"/>
  <sheetViews>
    <sheetView zoomScale="235" zoomScaleNormal="235" workbookViewId="0">
      <selection activeCell="B15" sqref="B15"/>
    </sheetView>
  </sheetViews>
  <sheetFormatPr defaultRowHeight="14.25" x14ac:dyDescent="0.2"/>
  <cols>
    <col min="1" max="16384" width="9.140625" style="3"/>
  </cols>
  <sheetData>
    <row r="1" spans="1:5" ht="15" x14ac:dyDescent="0.25">
      <c r="A1" s="2" t="s">
        <v>0</v>
      </c>
    </row>
    <row r="2" spans="1:5" x14ac:dyDescent="0.2">
      <c r="C2" s="3" t="s">
        <v>1</v>
      </c>
      <c r="D2" s="4">
        <v>119</v>
      </c>
    </row>
    <row r="3" spans="1:5" x14ac:dyDescent="0.2">
      <c r="C3" s="3" t="s">
        <v>2</v>
      </c>
      <c r="D3" s="1">
        <f>2262.91+96+1</f>
        <v>2359.91</v>
      </c>
      <c r="E3" s="3" t="s">
        <v>11</v>
      </c>
    </row>
    <row r="4" spans="1:5" x14ac:dyDescent="0.2">
      <c r="C4" s="3" t="s">
        <v>3</v>
      </c>
      <c r="D4" s="1">
        <f>D3*D2</f>
        <v>280829.28999999998</v>
      </c>
    </row>
    <row r="5" spans="1:5" x14ac:dyDescent="0.2">
      <c r="C5" s="3" t="s">
        <v>4</v>
      </c>
      <c r="D5" s="1">
        <f>993.46+4437.22</f>
        <v>5430.68</v>
      </c>
      <c r="E5" s="3" t="s">
        <v>11</v>
      </c>
    </row>
    <row r="6" spans="1:5" x14ac:dyDescent="0.2">
      <c r="C6" s="3" t="s">
        <v>5</v>
      </c>
      <c r="D6" s="1">
        <f>36.37+1.46+200.17+12.48</f>
        <v>250.48</v>
      </c>
      <c r="E6" s="3" t="s">
        <v>11</v>
      </c>
    </row>
    <row r="7" spans="1:5" x14ac:dyDescent="0.2">
      <c r="C7" s="3" t="s">
        <v>6</v>
      </c>
      <c r="D7" s="1">
        <f>D4+D6-D5</f>
        <v>275649.08999999997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0906-26CA-4CF3-9151-8BD547BB3B30}">
  <dimension ref="A1:BZ36"/>
  <sheetViews>
    <sheetView tabSelected="1" zoomScale="130" zoomScaleNormal="13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Z18" sqref="Z18"/>
    </sheetView>
  </sheetViews>
  <sheetFormatPr defaultRowHeight="12.75" x14ac:dyDescent="0.2"/>
  <cols>
    <col min="1" max="1" width="20" style="5" customWidth="1"/>
    <col min="2" max="16384" width="9.140625" style="5"/>
  </cols>
  <sheetData>
    <row r="1" spans="1:78" x14ac:dyDescent="0.2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38</v>
      </c>
      <c r="H1" s="5" t="s">
        <v>39</v>
      </c>
      <c r="I1" s="5" t="s">
        <v>40</v>
      </c>
      <c r="K1" s="6">
        <v>2022</v>
      </c>
      <c r="L1" s="6">
        <f>K1+1</f>
        <v>2023</v>
      </c>
      <c r="M1" s="6">
        <f t="shared" ref="M1:S1" si="0">L1+1</f>
        <v>2024</v>
      </c>
      <c r="N1" s="6">
        <f t="shared" si="0"/>
        <v>2025</v>
      </c>
      <c r="O1" s="6">
        <f t="shared" si="0"/>
        <v>2026</v>
      </c>
      <c r="P1" s="6">
        <f t="shared" si="0"/>
        <v>2027</v>
      </c>
      <c r="Q1" s="6">
        <f t="shared" si="0"/>
        <v>2028</v>
      </c>
      <c r="R1" s="6">
        <f t="shared" si="0"/>
        <v>2029</v>
      </c>
      <c r="S1" s="6">
        <f t="shared" si="0"/>
        <v>2030</v>
      </c>
      <c r="T1" s="6">
        <f t="shared" ref="T1" si="1">S1+1</f>
        <v>2031</v>
      </c>
      <c r="U1" s="6">
        <f t="shared" ref="U1" si="2">T1+1</f>
        <v>2032</v>
      </c>
      <c r="V1" s="6">
        <f t="shared" ref="V1" si="3">U1+1</f>
        <v>2033</v>
      </c>
      <c r="W1" s="6">
        <f t="shared" ref="W1" si="4">V1+1</f>
        <v>2034</v>
      </c>
    </row>
    <row r="2" spans="1:78" x14ac:dyDescent="0.2">
      <c r="A2" s="7" t="s">
        <v>12</v>
      </c>
      <c r="B2" s="7"/>
      <c r="C2" s="7"/>
      <c r="D2" s="7"/>
      <c r="E2" s="7">
        <v>827.5</v>
      </c>
      <c r="F2" s="7">
        <v>860</v>
      </c>
      <c r="G2" s="7">
        <v>938</v>
      </c>
      <c r="H2" s="7">
        <f>G2*1.09</f>
        <v>1022.4200000000001</v>
      </c>
      <c r="I2" s="7">
        <f>H2*1.09</f>
        <v>1114.4378000000002</v>
      </c>
      <c r="J2" s="7"/>
      <c r="K2" s="7">
        <v>1905.8</v>
      </c>
      <c r="L2" s="7">
        <v>2225</v>
      </c>
      <c r="M2" s="7">
        <v>2865.5</v>
      </c>
      <c r="N2" s="7">
        <f>SUM(F2:I2)</f>
        <v>3934.8578000000002</v>
      </c>
      <c r="O2" s="7">
        <f>N2*1.5</f>
        <v>5902.2867000000006</v>
      </c>
      <c r="P2" s="7">
        <f>O2*1.4</f>
        <v>8263.2013800000004</v>
      </c>
      <c r="Q2" s="7">
        <f t="shared" ref="Q2:W2" si="5">P2*1.4</f>
        <v>11568.481932000001</v>
      </c>
      <c r="R2" s="7">
        <f t="shared" si="5"/>
        <v>16195.8747048</v>
      </c>
      <c r="S2" s="7">
        <f t="shared" si="5"/>
        <v>22674.22458672</v>
      </c>
      <c r="T2" s="7">
        <f t="shared" si="5"/>
        <v>31743.914421407997</v>
      </c>
      <c r="U2" s="7">
        <f t="shared" si="5"/>
        <v>44441.480189971197</v>
      </c>
      <c r="V2" s="7">
        <f t="shared" si="5"/>
        <v>62218.072265959672</v>
      </c>
      <c r="W2" s="7">
        <f t="shared" si="5"/>
        <v>87105.301172343534</v>
      </c>
    </row>
    <row r="3" spans="1:78" x14ac:dyDescent="0.2">
      <c r="A3" s="5" t="s">
        <v>23</v>
      </c>
      <c r="K3" s="5">
        <v>408.5</v>
      </c>
      <c r="L3" s="5">
        <v>431.1</v>
      </c>
      <c r="M3" s="5">
        <v>565.99</v>
      </c>
      <c r="N3" s="5">
        <f>N2*(1-N21)</f>
        <v>745.63172836336366</v>
      </c>
      <c r="O3" s="5">
        <f>O2*(1-O21)</f>
        <v>1070.6092014704961</v>
      </c>
      <c r="P3" s="5">
        <f>P2*(1-P21)</f>
        <v>1431.209397079281</v>
      </c>
      <c r="Q3" s="5">
        <f>Q2*(1-Q21)</f>
        <v>1908.0452681501031</v>
      </c>
      <c r="R3" s="5">
        <f>R2*(1-R21)</f>
        <v>2536.0172621162455</v>
      </c>
      <c r="S3" s="5">
        <f t="shared" ref="S3:T3" si="6">S2*(1-S21)</f>
        <v>3627.8759338752006</v>
      </c>
      <c r="T3" s="5">
        <f t="shared" si="6"/>
        <v>5079.0263074252807</v>
      </c>
      <c r="U3" s="5">
        <f t="shared" ref="U3" si="7">U2*(1-U21)</f>
        <v>7110.6368303953932</v>
      </c>
      <c r="V3" s="5">
        <f t="shared" ref="V3" si="8">V2*(1-V21)</f>
        <v>9954.8915625535501</v>
      </c>
      <c r="W3" s="5">
        <f t="shared" ref="W3" si="9">W2*(1-W21)</f>
        <v>13936.848187574968</v>
      </c>
    </row>
    <row r="4" spans="1:78" x14ac:dyDescent="0.2">
      <c r="A4" s="5" t="s">
        <v>24</v>
      </c>
      <c r="B4" s="5">
        <f>B2-B3</f>
        <v>0</v>
      </c>
      <c r="C4" s="5">
        <f>C2-C3</f>
        <v>0</v>
      </c>
      <c r="D4" s="5">
        <f>D2-D3</f>
        <v>0</v>
      </c>
      <c r="E4" s="5">
        <f>E2-E3</f>
        <v>827.5</v>
      </c>
      <c r="F4" s="5">
        <f>F2-F3</f>
        <v>860</v>
      </c>
      <c r="G4" s="5">
        <f t="shared" ref="G4:I4" si="10">G2-G3</f>
        <v>938</v>
      </c>
      <c r="H4" s="5">
        <f t="shared" si="10"/>
        <v>1022.4200000000001</v>
      </c>
      <c r="I4" s="5">
        <f t="shared" si="10"/>
        <v>1114.4378000000002</v>
      </c>
      <c r="K4" s="5">
        <f>K2-K3</f>
        <v>1497.3</v>
      </c>
      <c r="L4" s="5">
        <f t="shared" ref="L4:R4" si="11">L2-L3</f>
        <v>1793.9</v>
      </c>
      <c r="M4" s="5">
        <f t="shared" si="11"/>
        <v>2299.5100000000002</v>
      </c>
      <c r="N4" s="5">
        <f t="shared" si="11"/>
        <v>3189.2260716366363</v>
      </c>
      <c r="O4" s="5">
        <f t="shared" si="11"/>
        <v>4831.6774985295042</v>
      </c>
      <c r="P4" s="5">
        <f t="shared" si="11"/>
        <v>6831.9919829207192</v>
      </c>
      <c r="Q4" s="5">
        <f t="shared" si="11"/>
        <v>9660.4366638498977</v>
      </c>
      <c r="R4" s="5">
        <f t="shared" si="11"/>
        <v>13659.857442683755</v>
      </c>
      <c r="S4" s="5">
        <f t="shared" ref="S4:T4" si="12">S2-S3</f>
        <v>19046.348652844797</v>
      </c>
      <c r="T4" s="5">
        <f t="shared" si="12"/>
        <v>26664.888113982717</v>
      </c>
      <c r="U4" s="5">
        <f t="shared" ref="U4:W4" si="13">U2-U3</f>
        <v>37330.843359575803</v>
      </c>
      <c r="V4" s="5">
        <f t="shared" si="13"/>
        <v>52263.18070340612</v>
      </c>
      <c r="W4" s="5">
        <f t="shared" si="13"/>
        <v>73168.452984768563</v>
      </c>
    </row>
    <row r="5" spans="1:78" x14ac:dyDescent="0.2">
      <c r="A5" s="5" t="s">
        <v>25</v>
      </c>
      <c r="K5" s="5">
        <v>702.5</v>
      </c>
      <c r="L5" s="5">
        <v>744.9</v>
      </c>
      <c r="M5" s="5">
        <v>887.7</v>
      </c>
      <c r="N5" s="5">
        <f>M5*(1+N18)</f>
        <v>1218.9751418809983</v>
      </c>
      <c r="O5" s="5">
        <f t="shared" ref="O5:R5" si="14">N5*(1+O18)</f>
        <v>1828.4627128214975</v>
      </c>
      <c r="P5" s="5">
        <f t="shared" si="14"/>
        <v>2559.8477979500963</v>
      </c>
      <c r="Q5" s="5">
        <f t="shared" si="14"/>
        <v>3583.7869171301345</v>
      </c>
      <c r="R5" s="5">
        <f t="shared" si="14"/>
        <v>5017.3016839821876</v>
      </c>
      <c r="S5" s="5">
        <f t="shared" ref="S5:T5" si="15">R5*(1+S18)</f>
        <v>7024.2223575750622</v>
      </c>
      <c r="T5" s="5">
        <f t="shared" si="15"/>
        <v>9833.9113006050866</v>
      </c>
      <c r="U5" s="5">
        <f t="shared" ref="U5:W5" si="16">T5*(1+U18)</f>
        <v>13767.475820847123</v>
      </c>
      <c r="V5" s="5">
        <f t="shared" si="16"/>
        <v>19274.46614918597</v>
      </c>
      <c r="W5" s="5">
        <f t="shared" si="16"/>
        <v>26984.252608860355</v>
      </c>
    </row>
    <row r="6" spans="1:78" x14ac:dyDescent="0.2">
      <c r="A6" s="5" t="s">
        <v>26</v>
      </c>
      <c r="K6" s="5">
        <v>359.6</v>
      </c>
      <c r="L6" s="5">
        <v>404.6</v>
      </c>
      <c r="M6" s="5">
        <v>507.9</v>
      </c>
      <c r="N6" s="5">
        <f>M6*(1+N18)</f>
        <v>697.43998486128078</v>
      </c>
      <c r="O6" s="5">
        <f t="shared" ref="O6:R6" si="17">N6*(1+O18)</f>
        <v>1046.1599772919212</v>
      </c>
      <c r="P6" s="5">
        <f t="shared" si="17"/>
        <v>1464.6239682086896</v>
      </c>
      <c r="Q6" s="5">
        <f t="shared" si="17"/>
        <v>2050.4735554921654</v>
      </c>
      <c r="R6" s="5">
        <f t="shared" si="17"/>
        <v>2870.6629776890313</v>
      </c>
      <c r="S6" s="5">
        <f t="shared" ref="S6:T6" si="18">R6*(1+S18)</f>
        <v>4018.9281687646435</v>
      </c>
      <c r="T6" s="5">
        <f t="shared" si="18"/>
        <v>5626.4994362705002</v>
      </c>
      <c r="U6" s="5">
        <f t="shared" ref="U6:W6" si="19">T6*(1+U18)</f>
        <v>7877.0992107787006</v>
      </c>
      <c r="V6" s="5">
        <f t="shared" si="19"/>
        <v>11027.938895090179</v>
      </c>
      <c r="W6" s="5">
        <f t="shared" si="19"/>
        <v>15439.114453126251</v>
      </c>
    </row>
    <row r="7" spans="1:78" x14ac:dyDescent="0.2">
      <c r="A7" s="5" t="s">
        <v>27</v>
      </c>
      <c r="K7" s="5">
        <v>596.29999999999995</v>
      </c>
      <c r="L7" s="5">
        <v>524.29999999999995</v>
      </c>
      <c r="M7" s="5">
        <v>593.4</v>
      </c>
      <c r="N7" s="5">
        <f>M7*(1+N18)</f>
        <v>814.84718845576697</v>
      </c>
      <c r="O7" s="5">
        <f t="shared" ref="O7:R7" si="20">N7*(1+O18)</f>
        <v>1222.2707826836504</v>
      </c>
      <c r="P7" s="5">
        <f t="shared" si="20"/>
        <v>1711.1790957571104</v>
      </c>
      <c r="Q7" s="5">
        <f t="shared" si="20"/>
        <v>2395.6507340599546</v>
      </c>
      <c r="R7" s="5">
        <f t="shared" si="20"/>
        <v>3353.9110276839365</v>
      </c>
      <c r="S7" s="5">
        <f t="shared" ref="S7:T7" si="21">R7*(1+S18)</f>
        <v>4695.4754387575103</v>
      </c>
      <c r="T7" s="5">
        <f t="shared" si="21"/>
        <v>6573.6656142605143</v>
      </c>
      <c r="U7" s="5">
        <f t="shared" ref="U7:W7" si="22">T7*(1+U18)</f>
        <v>9203.1318599647202</v>
      </c>
      <c r="V7" s="5">
        <f t="shared" si="22"/>
        <v>12884.384603950608</v>
      </c>
      <c r="W7" s="5">
        <f t="shared" si="22"/>
        <v>18038.138445530851</v>
      </c>
    </row>
    <row r="8" spans="1:78" x14ac:dyDescent="0.2">
      <c r="A8" s="5" t="s">
        <v>44</v>
      </c>
      <c r="F8" s="5">
        <f>SUM(F5:F7)</f>
        <v>0</v>
      </c>
      <c r="G8" s="5">
        <f t="shared" ref="G8:I8" si="23">SUM(G5:G7)</f>
        <v>0</v>
      </c>
      <c r="H8" s="5">
        <f t="shared" si="23"/>
        <v>0</v>
      </c>
      <c r="I8" s="5">
        <f t="shared" si="23"/>
        <v>0</v>
      </c>
      <c r="K8" s="5">
        <f>SUM(K5:K7)</f>
        <v>1658.3999999999999</v>
      </c>
      <c r="L8" s="5">
        <f t="shared" ref="L8:M8" si="24">SUM(L5:L7)</f>
        <v>1673.8</v>
      </c>
      <c r="M8" s="5">
        <f t="shared" si="24"/>
        <v>1989</v>
      </c>
      <c r="N8" s="5">
        <f>M8*1.2</f>
        <v>2386.7999999999997</v>
      </c>
      <c r="O8" s="5">
        <f t="shared" ref="O8:R8" si="25">N8*1.2</f>
        <v>2864.1599999999994</v>
      </c>
      <c r="P8" s="5">
        <f t="shared" si="25"/>
        <v>3436.9919999999993</v>
      </c>
      <c r="Q8" s="5">
        <f t="shared" si="25"/>
        <v>4124.3903999999993</v>
      </c>
      <c r="R8" s="5">
        <f t="shared" si="25"/>
        <v>4949.2684799999988</v>
      </c>
      <c r="S8" s="5">
        <f>R8*1.1</f>
        <v>5444.1953279999989</v>
      </c>
      <c r="T8" s="5">
        <f t="shared" ref="T8:W8" si="26">S8*1.1</f>
        <v>5988.6148607999994</v>
      </c>
      <c r="U8" s="5">
        <f t="shared" si="26"/>
        <v>6587.4763468800002</v>
      </c>
      <c r="V8" s="5">
        <f t="shared" si="26"/>
        <v>7246.2239815680005</v>
      </c>
      <c r="W8" s="5">
        <f t="shared" si="26"/>
        <v>7970.8463797248014</v>
      </c>
    </row>
    <row r="9" spans="1:78" x14ac:dyDescent="0.2">
      <c r="A9" s="5" t="s">
        <v>37</v>
      </c>
      <c r="E9" s="5">
        <v>379.5</v>
      </c>
      <c r="F9" s="5">
        <v>356</v>
      </c>
      <c r="G9" s="5">
        <f t="shared" ref="G9:I9" si="27">G4-G8</f>
        <v>938</v>
      </c>
      <c r="H9" s="5">
        <f t="shared" si="27"/>
        <v>1022.4200000000001</v>
      </c>
      <c r="I9" s="5">
        <f t="shared" si="27"/>
        <v>1114.4378000000002</v>
      </c>
      <c r="K9" s="5">
        <f t="shared" ref="K9:R9" si="28">K4-K8</f>
        <v>-161.09999999999991</v>
      </c>
      <c r="L9" s="5">
        <f t="shared" si="28"/>
        <v>120.10000000000014</v>
      </c>
      <c r="M9" s="5">
        <f t="shared" si="28"/>
        <v>310.51000000000022</v>
      </c>
      <c r="N9" s="5">
        <f t="shared" si="28"/>
        <v>802.42607163663661</v>
      </c>
      <c r="O9" s="5">
        <f t="shared" si="28"/>
        <v>1967.5174985295048</v>
      </c>
      <c r="P9" s="5">
        <f t="shared" si="28"/>
        <v>3394.99998292072</v>
      </c>
      <c r="Q9" s="5">
        <f t="shared" si="28"/>
        <v>5536.0462638498984</v>
      </c>
      <c r="R9" s="5">
        <f t="shared" si="28"/>
        <v>8710.5889626837561</v>
      </c>
      <c r="S9" s="5">
        <f t="shared" ref="S9:T9" si="29">S4-S8</f>
        <v>13602.153324844799</v>
      </c>
      <c r="T9" s="5">
        <f t="shared" si="29"/>
        <v>20676.273253182717</v>
      </c>
      <c r="U9" s="5">
        <f t="shared" ref="U9:W9" si="30">U4-U8</f>
        <v>30743.367012695802</v>
      </c>
      <c r="V9" s="5">
        <f t="shared" si="30"/>
        <v>45016.95672183812</v>
      </c>
      <c r="W9" s="5">
        <f t="shared" si="30"/>
        <v>65197.606605043758</v>
      </c>
    </row>
    <row r="10" spans="1:78" x14ac:dyDescent="0.2">
      <c r="A10" s="5" t="s">
        <v>30</v>
      </c>
      <c r="K10" s="5">
        <v>20.3</v>
      </c>
      <c r="L10" s="5">
        <v>132.5</v>
      </c>
      <c r="M10" s="5">
        <v>196.8</v>
      </c>
      <c r="N10" s="5">
        <f t="shared" ref="N10:W10" si="31">M32*$Z$18</f>
        <v>99.577999999999989</v>
      </c>
      <c r="O10" s="5">
        <f t="shared" si="31"/>
        <v>113.71918514618618</v>
      </c>
      <c r="P10" s="5">
        <f t="shared" si="31"/>
        <v>146.72518328499723</v>
      </c>
      <c r="Q10" s="5">
        <f t="shared" si="31"/>
        <v>203.09605925628873</v>
      </c>
      <c r="R10" s="5">
        <f t="shared" si="31"/>
        <v>294.62264247110772</v>
      </c>
      <c r="S10" s="5">
        <f t="shared" si="31"/>
        <v>438.40333725915679</v>
      </c>
      <c r="T10" s="5">
        <f t="shared" si="31"/>
        <v>662.74652604944697</v>
      </c>
      <c r="U10" s="5">
        <f t="shared" si="31"/>
        <v>1003.8620675357548</v>
      </c>
      <c r="V10" s="5">
        <f t="shared" si="31"/>
        <v>1511.5058700882387</v>
      </c>
      <c r="W10" s="5">
        <f t="shared" si="31"/>
        <v>2255.6462902005273</v>
      </c>
    </row>
    <row r="11" spans="1:78" ht="15.75" customHeight="1" x14ac:dyDescent="0.2">
      <c r="A11" s="5" t="s">
        <v>31</v>
      </c>
      <c r="K11" s="5">
        <v>-220</v>
      </c>
      <c r="L11" s="5">
        <v>-15.4</v>
      </c>
      <c r="M11" s="5">
        <v>-18</v>
      </c>
      <c r="N11" s="5">
        <f>M11*1.01</f>
        <v>-18.18</v>
      </c>
      <c r="O11" s="5">
        <f t="shared" ref="O11:R11" si="32">N11*1.01</f>
        <v>-18.361799999999999</v>
      </c>
      <c r="P11" s="5">
        <f t="shared" si="32"/>
        <v>-18.545417999999998</v>
      </c>
      <c r="Q11" s="5">
        <f t="shared" si="32"/>
        <v>-18.730872179999999</v>
      </c>
      <c r="R11" s="5">
        <f t="shared" si="32"/>
        <v>-18.9181809018</v>
      </c>
      <c r="S11" s="5">
        <f t="shared" ref="S11" si="33">R11*1.01</f>
        <v>-19.107362710817998</v>
      </c>
      <c r="T11" s="5">
        <f t="shared" ref="T11" si="34">S11*1.01</f>
        <v>-19.29843633792618</v>
      </c>
      <c r="U11" s="5">
        <f t="shared" ref="U11" si="35">T11*1.01</f>
        <v>-19.491420701305444</v>
      </c>
      <c r="V11" s="5">
        <f t="shared" ref="V11" si="36">U11*1.01</f>
        <v>-19.6863349083185</v>
      </c>
      <c r="W11" s="5">
        <f t="shared" ref="W11" si="37">V11*1.01</f>
        <v>-19.883198257401684</v>
      </c>
    </row>
    <row r="12" spans="1:78" x14ac:dyDescent="0.2">
      <c r="A12" s="5" t="s">
        <v>28</v>
      </c>
      <c r="F12" s="5">
        <f>F9+SUM(F10:F11)</f>
        <v>356</v>
      </c>
      <c r="G12" s="5">
        <f t="shared" ref="G12:I12" si="38">G9+SUM(G10:G11)</f>
        <v>938</v>
      </c>
      <c r="H12" s="5">
        <f t="shared" si="38"/>
        <v>1022.4200000000001</v>
      </c>
      <c r="I12" s="5">
        <f t="shared" si="38"/>
        <v>1114.4378000000002</v>
      </c>
      <c r="K12" s="5">
        <f t="shared" ref="K12:R12" si="39">K9+SUM(K10:K11)</f>
        <v>-360.7999999999999</v>
      </c>
      <c r="L12" s="5">
        <f t="shared" si="39"/>
        <v>237.20000000000013</v>
      </c>
      <c r="M12" s="5">
        <f t="shared" si="39"/>
        <v>489.31000000000023</v>
      </c>
      <c r="N12" s="5">
        <f t="shared" si="39"/>
        <v>883.82407163663663</v>
      </c>
      <c r="O12" s="5">
        <f t="shared" si="39"/>
        <v>2062.8748836756909</v>
      </c>
      <c r="P12" s="5">
        <f t="shared" si="39"/>
        <v>3523.1797482057173</v>
      </c>
      <c r="Q12" s="5">
        <f t="shared" si="39"/>
        <v>5720.4114509261872</v>
      </c>
      <c r="R12" s="5">
        <f t="shared" si="39"/>
        <v>8986.2934242530646</v>
      </c>
      <c r="S12" s="5">
        <f t="shared" ref="S12:T12" si="40">S9+SUM(S10:S11)</f>
        <v>14021.449299393138</v>
      </c>
      <c r="T12" s="5">
        <f t="shared" si="40"/>
        <v>21319.721342894238</v>
      </c>
      <c r="U12" s="5">
        <f t="shared" ref="U12:W12" si="41">U9+SUM(U10:U11)</f>
        <v>31727.737659530252</v>
      </c>
      <c r="V12" s="5">
        <f t="shared" si="41"/>
        <v>46508.776257018042</v>
      </c>
      <c r="W12" s="5">
        <f t="shared" si="41"/>
        <v>67433.369696986891</v>
      </c>
    </row>
    <row r="13" spans="1:78" x14ac:dyDescent="0.2">
      <c r="A13" s="5" t="s">
        <v>29</v>
      </c>
      <c r="G13" s="5" t="e">
        <f>#REF!*G12</f>
        <v>#REF!</v>
      </c>
      <c r="H13" s="5" t="e">
        <f>#REF!*H12</f>
        <v>#REF!</v>
      </c>
      <c r="I13" s="5" t="e">
        <f>#REF!*I12</f>
        <v>#REF!</v>
      </c>
      <c r="K13" s="5">
        <v>10</v>
      </c>
      <c r="L13" s="5">
        <v>19.7</v>
      </c>
      <c r="M13" s="5">
        <v>21.2</v>
      </c>
      <c r="N13" s="5">
        <f>N12*0.2</f>
        <v>176.76481432732734</v>
      </c>
      <c r="O13" s="5">
        <f t="shared" ref="O13:W13" si="42">O12*0.2</f>
        <v>412.57497673513819</v>
      </c>
      <c r="P13" s="5">
        <f t="shared" si="42"/>
        <v>704.6359496411435</v>
      </c>
      <c r="Q13" s="5">
        <f t="shared" si="42"/>
        <v>1144.0822901852375</v>
      </c>
      <c r="R13" s="5">
        <f t="shared" si="42"/>
        <v>1797.258684850613</v>
      </c>
      <c r="S13" s="5">
        <f t="shared" si="42"/>
        <v>2804.2898598786278</v>
      </c>
      <c r="T13" s="5">
        <f t="shared" si="42"/>
        <v>4263.9442685788481</v>
      </c>
      <c r="U13" s="5">
        <f t="shared" si="42"/>
        <v>6345.5475319060506</v>
      </c>
      <c r="V13" s="5">
        <f t="shared" si="42"/>
        <v>9301.7552514036088</v>
      </c>
      <c r="W13" s="5">
        <f t="shared" si="42"/>
        <v>13486.673939397378</v>
      </c>
    </row>
    <row r="14" spans="1:78" x14ac:dyDescent="0.2">
      <c r="A14" s="7" t="s">
        <v>18</v>
      </c>
      <c r="B14" s="7"/>
      <c r="C14" s="7"/>
      <c r="D14" s="7"/>
      <c r="E14" s="7"/>
      <c r="F14" s="7">
        <f>F12-F13</f>
        <v>356</v>
      </c>
      <c r="G14" s="7" t="e">
        <f t="shared" ref="G14:I14" si="43">G12-G13</f>
        <v>#REF!</v>
      </c>
      <c r="H14" s="7" t="e">
        <f t="shared" si="43"/>
        <v>#REF!</v>
      </c>
      <c r="I14" s="7" t="e">
        <f t="shared" si="43"/>
        <v>#REF!</v>
      </c>
      <c r="J14" s="7"/>
      <c r="K14" s="7">
        <f>K12-K13</f>
        <v>-370.7999999999999</v>
      </c>
      <c r="L14" s="7">
        <f>L12-L13</f>
        <v>217.50000000000014</v>
      </c>
      <c r="M14" s="7">
        <f>M12-M13</f>
        <v>468.11000000000024</v>
      </c>
      <c r="N14" s="7">
        <f>N12-N13</f>
        <v>707.05925730930926</v>
      </c>
      <c r="O14" s="7">
        <f t="shared" ref="O14:W14" si="44">O12-O13</f>
        <v>1650.2999069405528</v>
      </c>
      <c r="P14" s="7">
        <f t="shared" si="44"/>
        <v>2818.543798564574</v>
      </c>
      <c r="Q14" s="7">
        <f t="shared" si="44"/>
        <v>4576.3291607409501</v>
      </c>
      <c r="R14" s="7">
        <f t="shared" si="44"/>
        <v>7189.034739402452</v>
      </c>
      <c r="S14" s="7">
        <f t="shared" si="44"/>
        <v>11217.159439514511</v>
      </c>
      <c r="T14" s="7">
        <f t="shared" si="44"/>
        <v>17055.777074315389</v>
      </c>
      <c r="U14" s="7">
        <f t="shared" si="44"/>
        <v>25382.190127624202</v>
      </c>
      <c r="V14" s="7">
        <f t="shared" si="44"/>
        <v>37207.021005614435</v>
      </c>
      <c r="W14" s="7">
        <f t="shared" si="44"/>
        <v>53946.695757589514</v>
      </c>
      <c r="X14" s="7">
        <f t="shared" ref="X14:BC14" si="45">W14*(1+$Z$19)</f>
        <v>54486.16271516541</v>
      </c>
      <c r="Y14" s="7">
        <f t="shared" si="45"/>
        <v>55031.024342317061</v>
      </c>
      <c r="Z14" s="7">
        <f t="shared" si="45"/>
        <v>55581.334585740231</v>
      </c>
      <c r="AA14" s="7">
        <f t="shared" si="45"/>
        <v>56137.147931597632</v>
      </c>
      <c r="AB14" s="7">
        <f t="shared" si="45"/>
        <v>56698.519410913606</v>
      </c>
      <c r="AC14" s="7">
        <f t="shared" si="45"/>
        <v>57265.504605022747</v>
      </c>
      <c r="AD14" s="7">
        <f t="shared" si="45"/>
        <v>57838.159651072972</v>
      </c>
      <c r="AE14" s="7">
        <f t="shared" si="45"/>
        <v>58416.5412475837</v>
      </c>
      <c r="AF14" s="7">
        <f t="shared" si="45"/>
        <v>59000.706660059535</v>
      </c>
      <c r="AG14" s="7">
        <f t="shared" si="45"/>
        <v>59590.713726660135</v>
      </c>
      <c r="AH14" s="7">
        <f t="shared" si="45"/>
        <v>60186.620863926735</v>
      </c>
      <c r="AI14" s="7">
        <f t="shared" si="45"/>
        <v>60788.487072566</v>
      </c>
      <c r="AJ14" s="7">
        <f t="shared" si="45"/>
        <v>61396.371943291662</v>
      </c>
      <c r="AK14" s="7">
        <f t="shared" si="45"/>
        <v>62010.335662724581</v>
      </c>
      <c r="AL14" s="7">
        <f t="shared" si="45"/>
        <v>62630.439019351827</v>
      </c>
      <c r="AM14" s="7">
        <f t="shared" si="45"/>
        <v>63256.743409545343</v>
      </c>
      <c r="AN14" s="7">
        <f t="shared" si="45"/>
        <v>63889.3108436408</v>
      </c>
      <c r="AO14" s="7">
        <f t="shared" si="45"/>
        <v>64528.203952077209</v>
      </c>
      <c r="AP14" s="7">
        <f t="shared" si="45"/>
        <v>65173.485991597983</v>
      </c>
      <c r="AQ14" s="7">
        <f t="shared" si="45"/>
        <v>65825.220851513965</v>
      </c>
      <c r="AR14" s="7">
        <f t="shared" si="45"/>
        <v>66483.473060029108</v>
      </c>
      <c r="AS14" s="7">
        <f t="shared" si="45"/>
        <v>67148.307790629406</v>
      </c>
      <c r="AT14" s="7">
        <f t="shared" si="45"/>
        <v>67819.790868535696</v>
      </c>
      <c r="AU14" s="7">
        <f t="shared" si="45"/>
        <v>68497.98877722105</v>
      </c>
      <c r="AV14" s="7">
        <f t="shared" si="45"/>
        <v>69182.968664993256</v>
      </c>
      <c r="AW14" s="7">
        <f t="shared" si="45"/>
        <v>69874.798351643185</v>
      </c>
      <c r="AX14" s="7">
        <f t="shared" si="45"/>
        <v>70573.546335159612</v>
      </c>
      <c r="AY14" s="7">
        <f t="shared" si="45"/>
        <v>71279.281798511205</v>
      </c>
      <c r="AZ14" s="7">
        <f t="shared" si="45"/>
        <v>71992.07461649632</v>
      </c>
      <c r="BA14" s="7">
        <f t="shared" si="45"/>
        <v>72711.995362661284</v>
      </c>
      <c r="BB14" s="7">
        <f t="shared" si="45"/>
        <v>73439.115316287891</v>
      </c>
      <c r="BC14" s="7">
        <f t="shared" si="45"/>
        <v>74173.506469450775</v>
      </c>
      <c r="BD14" s="7">
        <f t="shared" ref="BD14:BZ14" si="46">BC14*(1+$Z$19)</f>
        <v>74915.241534145287</v>
      </c>
      <c r="BE14" s="7">
        <f t="shared" si="46"/>
        <v>75664.393949486737</v>
      </c>
      <c r="BF14" s="7">
        <f t="shared" si="46"/>
        <v>76421.037888981606</v>
      </c>
      <c r="BG14" s="7">
        <f t="shared" si="46"/>
        <v>77185.24826787143</v>
      </c>
      <c r="BH14" s="7">
        <f t="shared" si="46"/>
        <v>77957.100750550147</v>
      </c>
      <c r="BI14" s="7">
        <f t="shared" si="46"/>
        <v>78736.671758055643</v>
      </c>
      <c r="BJ14" s="7">
        <f t="shared" si="46"/>
        <v>79524.038475636204</v>
      </c>
      <c r="BK14" s="7">
        <f t="shared" si="46"/>
        <v>80319.278860392573</v>
      </c>
      <c r="BL14" s="7">
        <f t="shared" si="46"/>
        <v>81122.471648996492</v>
      </c>
      <c r="BM14" s="7">
        <f t="shared" si="46"/>
        <v>81933.696365486452</v>
      </c>
      <c r="BN14" s="7">
        <f t="shared" si="46"/>
        <v>82753.033329141312</v>
      </c>
      <c r="BO14" s="7">
        <f t="shared" si="46"/>
        <v>83580.563662432731</v>
      </c>
      <c r="BP14" s="7">
        <f t="shared" si="46"/>
        <v>84416.369299057056</v>
      </c>
      <c r="BQ14" s="7">
        <f t="shared" si="46"/>
        <v>85260.532992047622</v>
      </c>
      <c r="BR14" s="7">
        <f t="shared" si="46"/>
        <v>86113.138321968101</v>
      </c>
      <c r="BS14" s="7">
        <f t="shared" si="46"/>
        <v>86974.269705187777</v>
      </c>
      <c r="BT14" s="7">
        <f t="shared" si="46"/>
        <v>87844.012402239649</v>
      </c>
      <c r="BU14" s="7">
        <f t="shared" si="46"/>
        <v>88722.452526262045</v>
      </c>
      <c r="BV14" s="7">
        <f t="shared" si="46"/>
        <v>89609.677051524661</v>
      </c>
      <c r="BW14" s="7">
        <f t="shared" si="46"/>
        <v>90505.773822039904</v>
      </c>
      <c r="BX14" s="7">
        <f t="shared" si="46"/>
        <v>91410.831560260311</v>
      </c>
      <c r="BY14" s="7">
        <f t="shared" si="46"/>
        <v>92324.93987586291</v>
      </c>
      <c r="BZ14" s="7">
        <f t="shared" si="46"/>
        <v>93248.189274621545</v>
      </c>
    </row>
    <row r="15" spans="1:78" x14ac:dyDescent="0.2">
      <c r="A15" s="5" t="s">
        <v>2</v>
      </c>
      <c r="L15" s="8"/>
      <c r="M15" s="8"/>
    </row>
    <row r="16" spans="1:78" x14ac:dyDescent="0.2">
      <c r="A16" s="5" t="s">
        <v>35</v>
      </c>
      <c r="R16" s="8"/>
    </row>
    <row r="17" spans="1:73" x14ac:dyDescent="0.2">
      <c r="O17" s="8"/>
      <c r="P17" s="8"/>
      <c r="Q17" s="8"/>
      <c r="R17" s="8"/>
      <c r="S17" s="8"/>
      <c r="T17" s="8"/>
    </row>
    <row r="18" spans="1:73" x14ac:dyDescent="0.2">
      <c r="A18" s="7" t="s">
        <v>41</v>
      </c>
      <c r="B18" s="7"/>
      <c r="C18" s="7"/>
      <c r="D18" s="7"/>
      <c r="E18" s="7"/>
      <c r="F18" s="9" t="e">
        <f>F2/B2-1</f>
        <v>#DIV/0!</v>
      </c>
      <c r="G18" s="9" t="e">
        <f>G2/C2-1</f>
        <v>#DIV/0!</v>
      </c>
      <c r="H18" s="9" t="e">
        <f t="shared" ref="H18:I18" si="47">H2/D2-1</f>
        <v>#DIV/0!</v>
      </c>
      <c r="I18" s="9">
        <f t="shared" si="47"/>
        <v>0.34675262839879162</v>
      </c>
      <c r="J18" s="7"/>
      <c r="K18" s="7"/>
      <c r="L18" s="9">
        <f>L2/K2-1</f>
        <v>0.1674887186483367</v>
      </c>
      <c r="M18" s="9">
        <f>M2/L2-1</f>
        <v>0.28786516853932587</v>
      </c>
      <c r="N18" s="9">
        <f>N2/M2-1</f>
        <v>0.3731836677717677</v>
      </c>
      <c r="O18" s="9">
        <f t="shared" ref="O18:W18" si="48">O2/N2-1</f>
        <v>0.5</v>
      </c>
      <c r="P18" s="9">
        <f t="shared" si="48"/>
        <v>0.39999999999999991</v>
      </c>
      <c r="Q18" s="9">
        <f t="shared" si="48"/>
        <v>0.39999999999999991</v>
      </c>
      <c r="R18" s="9">
        <f t="shared" si="48"/>
        <v>0.39999999999999991</v>
      </c>
      <c r="S18" s="9">
        <f t="shared" si="48"/>
        <v>0.39999999999999991</v>
      </c>
      <c r="T18" s="9">
        <f t="shared" si="48"/>
        <v>0.39999999999999991</v>
      </c>
      <c r="U18" s="9">
        <f t="shared" si="48"/>
        <v>0.40000000000000013</v>
      </c>
      <c r="V18" s="9">
        <f t="shared" si="48"/>
        <v>0.39999999999999991</v>
      </c>
      <c r="W18" s="9">
        <f t="shared" si="48"/>
        <v>0.39999999999999991</v>
      </c>
      <c r="Y18" s="5" t="s">
        <v>34</v>
      </c>
      <c r="Z18" s="8">
        <v>0.02</v>
      </c>
    </row>
    <row r="19" spans="1:73" x14ac:dyDescent="0.2">
      <c r="A19" s="7" t="s">
        <v>42</v>
      </c>
      <c r="B19" s="7"/>
      <c r="C19" s="7"/>
      <c r="D19" s="7"/>
      <c r="E19" s="7"/>
      <c r="F19" s="9">
        <f>F2/E2-1</f>
        <v>3.92749244712991E-2</v>
      </c>
      <c r="G19" s="9">
        <f>G2/F2-1</f>
        <v>9.0697674418604546E-2</v>
      </c>
      <c r="H19" s="9">
        <f t="shared" ref="H19:I19" si="49">H2/G2-1</f>
        <v>9.000000000000008E-2</v>
      </c>
      <c r="I19" s="9">
        <f t="shared" si="49"/>
        <v>9.000000000000008E-2</v>
      </c>
      <c r="J19" s="7"/>
      <c r="K19" s="7"/>
      <c r="L19" s="9"/>
      <c r="M19" s="9">
        <f t="shared" ref="M19:S19" si="50">M18/L18-1</f>
        <v>0.71871377882909493</v>
      </c>
      <c r="N19" s="9">
        <f t="shared" si="50"/>
        <v>0.29638354534298683</v>
      </c>
      <c r="O19" s="9">
        <f t="shared" si="50"/>
        <v>0.3398228357243942</v>
      </c>
      <c r="P19" s="9">
        <f t="shared" si="50"/>
        <v>-0.20000000000000018</v>
      </c>
      <c r="Q19" s="9">
        <f t="shared" si="50"/>
        <v>0</v>
      </c>
      <c r="R19" s="9">
        <f t="shared" si="50"/>
        <v>0</v>
      </c>
      <c r="S19" s="9">
        <f t="shared" si="50"/>
        <v>0</v>
      </c>
      <c r="T19" s="9">
        <f t="shared" ref="T19:W19" si="51">T18/S18-1</f>
        <v>0</v>
      </c>
      <c r="U19" s="9">
        <f t="shared" si="51"/>
        <v>0</v>
      </c>
      <c r="V19" s="9">
        <f t="shared" si="51"/>
        <v>0</v>
      </c>
      <c r="W19" s="9">
        <f t="shared" si="51"/>
        <v>0</v>
      </c>
      <c r="Y19" s="5" t="s">
        <v>19</v>
      </c>
      <c r="Z19" s="8">
        <v>0.01</v>
      </c>
    </row>
    <row r="20" spans="1:73" x14ac:dyDescent="0.2">
      <c r="A20" s="5" t="s">
        <v>14</v>
      </c>
      <c r="B20" s="5" t="e">
        <f>#REF!/B2</f>
        <v>#REF!</v>
      </c>
      <c r="E20" s="8" t="e">
        <f>#REF!/E2</f>
        <v>#REF!</v>
      </c>
      <c r="F20" s="8" t="e">
        <f>#REF!/F2</f>
        <v>#REF!</v>
      </c>
      <c r="G20" s="8" t="e">
        <f>#REF!/G2</f>
        <v>#REF!</v>
      </c>
      <c r="H20" s="8"/>
      <c r="I20" s="8"/>
      <c r="J20" s="8"/>
      <c r="K20" s="8">
        <f>K9/K2</f>
        <v>-8.4531430370448066E-2</v>
      </c>
      <c r="L20" s="8">
        <f>L9/L2</f>
        <v>5.3977528089887705E-2</v>
      </c>
      <c r="M20" s="8">
        <f>M9/M2</f>
        <v>0.10836154248822202</v>
      </c>
      <c r="N20" s="8">
        <f>N9/N2</f>
        <v>0.20392759088692775</v>
      </c>
      <c r="O20" s="8">
        <f t="shared" ref="O20:W20" si="52">O9/O2</f>
        <v>0.33334834421538767</v>
      </c>
      <c r="P20" s="8">
        <f t="shared" si="52"/>
        <v>0.41085770838622837</v>
      </c>
      <c r="Q20" s="8">
        <f t="shared" si="52"/>
        <v>0.47854561180896504</v>
      </c>
      <c r="R20" s="8">
        <f t="shared" si="52"/>
        <v>0.53782763336037565</v>
      </c>
      <c r="S20" s="8">
        <f t="shared" si="52"/>
        <v>0.59989497205612952</v>
      </c>
      <c r="T20" s="8">
        <f t="shared" si="52"/>
        <v>0.65134604947267316</v>
      </c>
      <c r="U20" s="8">
        <f t="shared" si="52"/>
        <v>0.69177189601424316</v>
      </c>
      <c r="V20" s="8">
        <f t="shared" si="52"/>
        <v>0.7235350611540482</v>
      </c>
      <c r="W20" s="8">
        <f t="shared" si="52"/>
        <v>0.74849183376389494</v>
      </c>
      <c r="Y20" s="5" t="s">
        <v>20</v>
      </c>
      <c r="Z20" s="11">
        <v>9.5000000000000001E-2</v>
      </c>
    </row>
    <row r="21" spans="1:73" x14ac:dyDescent="0.2">
      <c r="A21" s="5" t="s">
        <v>32</v>
      </c>
      <c r="B21" s="8" t="e">
        <f t="shared" ref="B21:G21" si="53">B4/B2-1</f>
        <v>#DIV/0!</v>
      </c>
      <c r="C21" s="8" t="e">
        <f t="shared" si="53"/>
        <v>#DIV/0!</v>
      </c>
      <c r="D21" s="8" t="e">
        <f t="shared" si="53"/>
        <v>#DIV/0!</v>
      </c>
      <c r="E21" s="8">
        <f t="shared" si="53"/>
        <v>0</v>
      </c>
      <c r="F21" s="8">
        <f t="shared" si="53"/>
        <v>0</v>
      </c>
      <c r="G21" s="8">
        <f t="shared" si="53"/>
        <v>0</v>
      </c>
      <c r="H21" s="8"/>
      <c r="I21" s="8"/>
      <c r="K21" s="8">
        <f>K4/K2</f>
        <v>0.78565431839647393</v>
      </c>
      <c r="L21" s="8">
        <f>L4/L2</f>
        <v>0.80624719101123599</v>
      </c>
      <c r="M21" s="8">
        <f>M4/M2</f>
        <v>0.80248124236607932</v>
      </c>
      <c r="N21" s="8">
        <f>M21*1.01</f>
        <v>0.81050605478974014</v>
      </c>
      <c r="O21" s="8">
        <f t="shared" ref="O21:R21" si="54">N21*1.01</f>
        <v>0.81861111533763753</v>
      </c>
      <c r="P21" s="8">
        <f t="shared" si="54"/>
        <v>0.82679722649101395</v>
      </c>
      <c r="Q21" s="8">
        <f t="shared" si="54"/>
        <v>0.83506519875592411</v>
      </c>
      <c r="R21" s="8">
        <f t="shared" si="54"/>
        <v>0.84341585074348335</v>
      </c>
      <c r="S21" s="8">
        <v>0.84</v>
      </c>
      <c r="T21" s="8">
        <v>0.84</v>
      </c>
      <c r="U21" s="8">
        <v>0.84</v>
      </c>
      <c r="V21" s="8">
        <v>0.84</v>
      </c>
      <c r="W21" s="8">
        <v>0.84</v>
      </c>
      <c r="Y21" s="5" t="s">
        <v>21</v>
      </c>
      <c r="Z21" s="5">
        <f>NPV(Z20,N29:BZ29)+Sheet1!D5-Sheet1!D6</f>
        <v>438533.84165427909</v>
      </c>
    </row>
    <row r="22" spans="1:73" x14ac:dyDescent="0.2">
      <c r="A22" s="5" t="s">
        <v>43</v>
      </c>
      <c r="B22" s="8"/>
      <c r="C22" s="8"/>
      <c r="D22" s="8"/>
      <c r="E22" s="8"/>
      <c r="F22" s="8"/>
      <c r="G22" s="8"/>
      <c r="H22" s="8"/>
      <c r="I22" s="8"/>
      <c r="K22" s="8">
        <f>K8/K2</f>
        <v>0.87018574876692201</v>
      </c>
      <c r="L22" s="8">
        <f t="shared" ref="L22:W22" si="55">L8/L2</f>
        <v>0.75226966292134834</v>
      </c>
      <c r="M22" s="8">
        <f t="shared" si="55"/>
        <v>0.69411969987785727</v>
      </c>
      <c r="N22" s="8">
        <f t="shared" si="55"/>
        <v>0.60657846390281234</v>
      </c>
      <c r="O22" s="8">
        <f t="shared" si="55"/>
        <v>0.4852627711222498</v>
      </c>
      <c r="P22" s="8">
        <f t="shared" si="55"/>
        <v>0.41593951810478558</v>
      </c>
      <c r="Q22" s="8">
        <f t="shared" si="55"/>
        <v>0.35651958694695907</v>
      </c>
      <c r="R22" s="8">
        <f t="shared" si="55"/>
        <v>0.30558821738310776</v>
      </c>
      <c r="S22" s="8">
        <f t="shared" si="55"/>
        <v>0.2401050279438704</v>
      </c>
      <c r="T22" s="8">
        <f t="shared" si="55"/>
        <v>0.18865395052732678</v>
      </c>
      <c r="U22" s="8">
        <f t="shared" si="55"/>
        <v>0.14822810398575678</v>
      </c>
      <c r="V22" s="8">
        <f t="shared" si="55"/>
        <v>0.11646493884595176</v>
      </c>
      <c r="W22" s="8">
        <f t="shared" si="55"/>
        <v>9.1508166236104971E-2</v>
      </c>
      <c r="Y22" s="5" t="s">
        <v>1</v>
      </c>
      <c r="Z22" s="10">
        <f>Z21/Sheet1!D3</f>
        <v>185.82651103401363</v>
      </c>
    </row>
    <row r="23" spans="1:73" x14ac:dyDescent="0.2">
      <c r="Y23" s="5" t="s">
        <v>22</v>
      </c>
      <c r="Z23" s="8">
        <f>Z22/Sheet1!D2-1</f>
        <v>0.56156731961355999</v>
      </c>
    </row>
    <row r="24" spans="1:73" x14ac:dyDescent="0.2">
      <c r="A24" s="5" t="s">
        <v>13</v>
      </c>
      <c r="B24" s="5" t="e">
        <f>B20+B18</f>
        <v>#REF!</v>
      </c>
      <c r="K24" s="8">
        <f t="shared" ref="K24:N24" si="56">K20+K18</f>
        <v>-8.4531430370448066E-2</v>
      </c>
      <c r="L24" s="8">
        <f t="shared" si="56"/>
        <v>0.2214662467382244</v>
      </c>
      <c r="M24" s="8">
        <f t="shared" si="56"/>
        <v>0.39622671102754792</v>
      </c>
      <c r="N24" s="8">
        <f t="shared" si="56"/>
        <v>0.5771112586586955</v>
      </c>
      <c r="O24" s="8">
        <f t="shared" ref="O24:W24" si="57">O20+O18</f>
        <v>0.83334834421538773</v>
      </c>
      <c r="P24" s="8">
        <f t="shared" si="57"/>
        <v>0.81085770838622828</v>
      </c>
      <c r="Q24" s="8">
        <f t="shared" si="57"/>
        <v>0.87854561180896495</v>
      </c>
      <c r="R24" s="8">
        <f t="shared" si="57"/>
        <v>0.93782763336037556</v>
      </c>
      <c r="S24" s="8">
        <f t="shared" si="57"/>
        <v>0.99989497205612943</v>
      </c>
      <c r="T24" s="8">
        <f t="shared" si="57"/>
        <v>1.0513460494726732</v>
      </c>
      <c r="U24" s="8">
        <f t="shared" si="57"/>
        <v>1.0917718960142433</v>
      </c>
      <c r="V24" s="8">
        <f t="shared" si="57"/>
        <v>1.123535061154048</v>
      </c>
      <c r="W24" s="8">
        <f t="shared" si="57"/>
        <v>1.1484918337638947</v>
      </c>
    </row>
    <row r="25" spans="1:73" x14ac:dyDescent="0.2">
      <c r="A25" s="5" t="s">
        <v>33</v>
      </c>
      <c r="K25" s="8">
        <f>K29/K2</f>
        <v>-6.1339070206737345E-2</v>
      </c>
      <c r="L25" s="8">
        <f>L29/L2</f>
        <v>-0.8984269662921347</v>
      </c>
      <c r="M25" s="8">
        <f>M29/M2</f>
        <v>0.38680858488919906</v>
      </c>
      <c r="N25" s="8">
        <f>N29/N2</f>
        <v>0.40662206395361983</v>
      </c>
      <c r="O25" s="8">
        <f>N25*1.1</f>
        <v>0.44728427034898183</v>
      </c>
      <c r="P25" s="8">
        <f t="shared" ref="P25:U25" si="58">O25*1.1</f>
        <v>0.49201269738388004</v>
      </c>
      <c r="Q25" s="8">
        <f t="shared" si="58"/>
        <v>0.5412139671222681</v>
      </c>
      <c r="R25" s="8">
        <f t="shared" si="58"/>
        <v>0.59533536383449492</v>
      </c>
      <c r="S25" s="8">
        <f t="shared" si="58"/>
        <v>0.65486890021794442</v>
      </c>
      <c r="T25" s="8">
        <f t="shared" si="58"/>
        <v>0.72035579023973895</v>
      </c>
      <c r="U25" s="8">
        <f t="shared" si="58"/>
        <v>0.7923913692637129</v>
      </c>
      <c r="V25" s="8">
        <v>0.8</v>
      </c>
      <c r="W25" s="8">
        <v>0.8</v>
      </c>
    </row>
    <row r="26" spans="1:73" x14ac:dyDescent="0.2">
      <c r="M26" s="8"/>
    </row>
    <row r="27" spans="1:73" x14ac:dyDescent="0.2">
      <c r="A27" s="5" t="s">
        <v>16</v>
      </c>
      <c r="K27" s="5">
        <v>223.7</v>
      </c>
      <c r="L27" s="5">
        <v>712.2</v>
      </c>
      <c r="M27" s="5">
        <v>1153.8</v>
      </c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73" x14ac:dyDescent="0.2">
      <c r="A28" s="5" t="s">
        <v>17</v>
      </c>
      <c r="K28" s="5">
        <v>340.6</v>
      </c>
      <c r="L28" s="5">
        <v>2711.2</v>
      </c>
      <c r="M28" s="5">
        <v>45.4</v>
      </c>
      <c r="P28" s="8"/>
    </row>
    <row r="29" spans="1:73" s="7" customFormat="1" x14ac:dyDescent="0.2">
      <c r="A29" s="7" t="s">
        <v>15</v>
      </c>
      <c r="E29" s="7">
        <v>517</v>
      </c>
      <c r="K29" s="7">
        <f>K27-K28</f>
        <v>-116.90000000000003</v>
      </c>
      <c r="L29" s="7">
        <f t="shared" ref="L29:M29" si="59">L27-L28</f>
        <v>-1998.9999999999998</v>
      </c>
      <c r="M29" s="7">
        <f t="shared" si="59"/>
        <v>1108.3999999999999</v>
      </c>
      <c r="N29" s="7">
        <v>1600</v>
      </c>
      <c r="O29" s="7">
        <f t="shared" ref="O29:W29" si="60">O25*O2</f>
        <v>2640</v>
      </c>
      <c r="P29" s="7">
        <f t="shared" si="60"/>
        <v>4065.6</v>
      </c>
      <c r="Q29" s="7">
        <f t="shared" si="60"/>
        <v>6261.0240000000013</v>
      </c>
      <c r="R29" s="7">
        <f t="shared" si="60"/>
        <v>9641.9769600000018</v>
      </c>
      <c r="S29" s="7">
        <f t="shared" si="60"/>
        <v>14848.644518400002</v>
      </c>
      <c r="T29" s="7">
        <f t="shared" si="60"/>
        <v>22866.912558336004</v>
      </c>
      <c r="U29" s="7">
        <f t="shared" si="60"/>
        <v>35215.045339837445</v>
      </c>
      <c r="V29" s="7">
        <f t="shared" si="60"/>
        <v>49774.457812767738</v>
      </c>
      <c r="W29" s="7">
        <f t="shared" si="60"/>
        <v>69684.240937874827</v>
      </c>
      <c r="X29" s="7">
        <f t="shared" ref="X29:BC29" si="61">W29*(1+$Z$19)</f>
        <v>70381.083347253574</v>
      </c>
      <c r="Y29" s="7">
        <f t="shared" si="61"/>
        <v>71084.894180726114</v>
      </c>
      <c r="Z29" s="7">
        <f t="shared" si="61"/>
        <v>71795.743122533371</v>
      </c>
      <c r="AA29" s="7">
        <f t="shared" si="61"/>
        <v>72513.70055375871</v>
      </c>
      <c r="AB29" s="7">
        <f t="shared" si="61"/>
        <v>73238.837559296298</v>
      </c>
      <c r="AC29" s="7">
        <f t="shared" si="61"/>
        <v>73971.225934889255</v>
      </c>
      <c r="AD29" s="7">
        <f t="shared" si="61"/>
        <v>74710.938194238144</v>
      </c>
      <c r="AE29" s="7">
        <f t="shared" si="61"/>
        <v>75458.047576180528</v>
      </c>
      <c r="AF29" s="7">
        <f t="shared" si="61"/>
        <v>76212.628051942331</v>
      </c>
      <c r="AG29" s="7">
        <f t="shared" si="61"/>
        <v>76974.754332461758</v>
      </c>
      <c r="AH29" s="7">
        <f t="shared" si="61"/>
        <v>77744.501875786373</v>
      </c>
      <c r="AI29" s="7">
        <f t="shared" si="61"/>
        <v>78521.946894544235</v>
      </c>
      <c r="AJ29" s="7">
        <f t="shared" si="61"/>
        <v>79307.166363489683</v>
      </c>
      <c r="AK29" s="7">
        <f t="shared" si="61"/>
        <v>80100.238027124578</v>
      </c>
      <c r="AL29" s="7">
        <f t="shared" si="61"/>
        <v>80901.240407395831</v>
      </c>
      <c r="AM29" s="7">
        <f t="shared" si="61"/>
        <v>81710.252811469793</v>
      </c>
      <c r="AN29" s="7">
        <f t="shared" si="61"/>
        <v>82527.355339584494</v>
      </c>
      <c r="AO29" s="7">
        <f t="shared" si="61"/>
        <v>83352.628892980341</v>
      </c>
      <c r="AP29" s="7">
        <f t="shared" si="61"/>
        <v>84186.155181910144</v>
      </c>
      <c r="AQ29" s="7">
        <f t="shared" si="61"/>
        <v>85028.016733729251</v>
      </c>
      <c r="AR29" s="7">
        <f t="shared" si="61"/>
        <v>85878.29690106654</v>
      </c>
      <c r="AS29" s="7">
        <f t="shared" si="61"/>
        <v>86737.079870077199</v>
      </c>
      <c r="AT29" s="7">
        <f t="shared" si="61"/>
        <v>87604.450668777965</v>
      </c>
      <c r="AU29" s="7">
        <f t="shared" si="61"/>
        <v>88480.495175465752</v>
      </c>
      <c r="AV29" s="7">
        <f t="shared" si="61"/>
        <v>89365.300127220413</v>
      </c>
      <c r="AW29" s="7">
        <f t="shared" si="61"/>
        <v>90258.95312849262</v>
      </c>
      <c r="AX29" s="7">
        <f t="shared" si="61"/>
        <v>91161.542659777551</v>
      </c>
      <c r="AY29" s="7">
        <f t="shared" si="61"/>
        <v>92073.158086375333</v>
      </c>
      <c r="AZ29" s="7">
        <f t="shared" si="61"/>
        <v>92993.889667239084</v>
      </c>
      <c r="BA29" s="7">
        <f t="shared" si="61"/>
        <v>93923.828563911477</v>
      </c>
      <c r="BB29" s="7">
        <f t="shared" si="61"/>
        <v>94863.066849550596</v>
      </c>
      <c r="BC29" s="7">
        <f t="shared" si="61"/>
        <v>95811.697518046101</v>
      </c>
      <c r="BD29" s="7">
        <f t="shared" ref="BD29:BU29" si="62">BC29*(1+$Z$19)</f>
        <v>96769.814493226557</v>
      </c>
      <c r="BE29" s="7">
        <f t="shared" si="62"/>
        <v>97737.51263815882</v>
      </c>
      <c r="BF29" s="7">
        <f t="shared" si="62"/>
        <v>98714.887764540414</v>
      </c>
      <c r="BG29" s="7">
        <f t="shared" si="62"/>
        <v>99702.03664218582</v>
      </c>
      <c r="BH29" s="7">
        <f t="shared" si="62"/>
        <v>100699.05700860768</v>
      </c>
      <c r="BI29" s="7">
        <f t="shared" si="62"/>
        <v>101706.04757869376</v>
      </c>
      <c r="BJ29" s="7">
        <f t="shared" si="62"/>
        <v>102723.1080544807</v>
      </c>
      <c r="BK29" s="7">
        <f t="shared" si="62"/>
        <v>103750.33913502551</v>
      </c>
      <c r="BL29" s="7">
        <f t="shared" si="62"/>
        <v>104787.84252637577</v>
      </c>
      <c r="BM29" s="7">
        <f t="shared" si="62"/>
        <v>105835.72095163952</v>
      </c>
      <c r="BN29" s="7">
        <f t="shared" si="62"/>
        <v>106894.07816115592</v>
      </c>
      <c r="BO29" s="7">
        <f t="shared" si="62"/>
        <v>107963.01894276748</v>
      </c>
      <c r="BP29" s="7">
        <f t="shared" si="62"/>
        <v>109042.64913219515</v>
      </c>
      <c r="BQ29" s="7">
        <f t="shared" si="62"/>
        <v>110133.0756235171</v>
      </c>
      <c r="BR29" s="7">
        <f t="shared" si="62"/>
        <v>111234.40637975227</v>
      </c>
      <c r="BS29" s="7">
        <f t="shared" si="62"/>
        <v>112346.7504435498</v>
      </c>
      <c r="BT29" s="7">
        <f t="shared" si="62"/>
        <v>113470.21794798529</v>
      </c>
      <c r="BU29" s="7">
        <f t="shared" si="62"/>
        <v>114604.92012746514</v>
      </c>
    </row>
    <row r="30" spans="1:73" x14ac:dyDescent="0.2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73" x14ac:dyDescent="0.2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73" x14ac:dyDescent="0.2">
      <c r="A32" s="5" t="s">
        <v>36</v>
      </c>
      <c r="F32" s="5">
        <f>F34-F36</f>
        <v>0</v>
      </c>
      <c r="M32" s="5">
        <f>M34-M36</f>
        <v>4978.8999999999996</v>
      </c>
      <c r="N32" s="5">
        <f t="shared" ref="N32:W32" si="63">M32+N14</f>
        <v>5685.9592573093087</v>
      </c>
      <c r="O32" s="5">
        <f t="shared" si="63"/>
        <v>7336.259164249861</v>
      </c>
      <c r="P32" s="5">
        <f t="shared" si="63"/>
        <v>10154.802962814436</v>
      </c>
      <c r="Q32" s="5">
        <f t="shared" si="63"/>
        <v>14731.132123555386</v>
      </c>
      <c r="R32" s="5">
        <f t="shared" si="63"/>
        <v>21920.166862957838</v>
      </c>
      <c r="S32" s="5">
        <f t="shared" si="63"/>
        <v>33137.326302472349</v>
      </c>
      <c r="T32" s="5">
        <f t="shared" si="63"/>
        <v>50193.103376787738</v>
      </c>
      <c r="U32" s="5">
        <f t="shared" si="63"/>
        <v>75575.293504411937</v>
      </c>
      <c r="V32" s="5">
        <f t="shared" si="63"/>
        <v>112782.31451002636</v>
      </c>
      <c r="W32" s="5">
        <f t="shared" si="63"/>
        <v>166729.01026761587</v>
      </c>
    </row>
    <row r="34" spans="1:13" x14ac:dyDescent="0.2">
      <c r="A34" s="5" t="s">
        <v>4</v>
      </c>
      <c r="M34" s="5">
        <f>2098+3131</f>
        <v>5229</v>
      </c>
    </row>
    <row r="36" spans="1:13" x14ac:dyDescent="0.2">
      <c r="A36" s="5" t="s">
        <v>5</v>
      </c>
      <c r="M36" s="5">
        <f>39.8+1.5+195.2+13.6</f>
        <v>250.1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2025-03-17T23:13:16Z</dcterms:created>
  <dcterms:modified xsi:type="dcterms:W3CDTF">2025-08-16T07:03:52Z</dcterms:modified>
</cp:coreProperties>
</file>