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16CBC325-D6CC-4A3E-82E6-653046984120}" xr6:coauthVersionLast="47" xr6:coauthVersionMax="47" xr10:uidLastSave="{00000000-0000-0000-0000-000000000000}"/>
  <bookViews>
    <workbookView xWindow="4410" yWindow="270" windowWidth="20805" windowHeight="15015" activeTab="4" xr2:uid="{DC529969-0FFC-4849-AB27-3C9B9981265E}"/>
  </bookViews>
  <sheets>
    <sheet name="Main" sheetId="1" r:id="rId1"/>
    <sheet name="Model" sheetId="2" r:id="rId2"/>
    <sheet name="IP" sheetId="5" r:id="rId3"/>
    <sheet name="Literature" sheetId="4" r:id="rId4"/>
    <sheet name="elevidys" sheetId="3" r:id="rId5"/>
    <sheet name="exondys" sheetId="6" r:id="rId6"/>
    <sheet name="vyondys" sheetId="7" r:id="rId7"/>
    <sheet name="amondys" sheetId="8" r:id="rId8"/>
    <sheet name="SRP-9003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2" l="1"/>
  <c r="S5" i="2"/>
  <c r="T5" i="2" s="1"/>
  <c r="U5" i="2" s="1"/>
  <c r="H5" i="2"/>
  <c r="I5" i="2" s="1"/>
  <c r="J5" i="2" s="1"/>
  <c r="C26" i="3"/>
  <c r="C27" i="3" s="1"/>
  <c r="C29" i="3" s="1"/>
  <c r="Q9" i="2"/>
  <c r="R9" i="2" s="1"/>
  <c r="S9" i="2" s="1"/>
  <c r="T9" i="2" s="1"/>
  <c r="U9" i="2" s="1"/>
  <c r="D26" i="3" l="1"/>
  <c r="D27" i="3" s="1"/>
  <c r="D29" i="3" s="1"/>
  <c r="E26" i="3"/>
  <c r="E27" i="3" s="1"/>
  <c r="E29" i="3" s="1"/>
  <c r="D25" i="3"/>
  <c r="E25" i="3" s="1"/>
  <c r="F25" i="3" s="1"/>
  <c r="G25" i="3" s="1"/>
  <c r="H25" i="3" s="1"/>
  <c r="I25" i="3" s="1"/>
  <c r="J25" i="3" s="1"/>
  <c r="K25" i="3" s="1"/>
  <c r="L25" i="3" s="1"/>
  <c r="Q21" i="2"/>
  <c r="Q19" i="2"/>
  <c r="R21" i="2"/>
  <c r="U21" i="2"/>
  <c r="P36" i="2"/>
  <c r="P42" i="2" s="1"/>
  <c r="P37" i="2"/>
  <c r="P31" i="2"/>
  <c r="P28" i="2"/>
  <c r="P24" i="2"/>
  <c r="P23" i="2" s="1"/>
  <c r="Q12" i="2" s="1"/>
  <c r="Q6" i="2"/>
  <c r="Q16" i="2"/>
  <c r="R16" i="2" s="1"/>
  <c r="S16" i="2" s="1"/>
  <c r="T16" i="2" s="1"/>
  <c r="U16" i="2" s="1"/>
  <c r="Q10" i="2"/>
  <c r="P21" i="2"/>
  <c r="O21" i="2"/>
  <c r="D20" i="2"/>
  <c r="E20" i="2"/>
  <c r="F20" i="2"/>
  <c r="G20" i="2"/>
  <c r="H20" i="2"/>
  <c r="I20" i="2"/>
  <c r="J20" i="2"/>
  <c r="C20" i="2"/>
  <c r="P19" i="2"/>
  <c r="O19" i="2"/>
  <c r="M10" i="2"/>
  <c r="N10" i="2"/>
  <c r="O10" i="2"/>
  <c r="P10" i="2"/>
  <c r="L10" i="2"/>
  <c r="M7" i="2"/>
  <c r="L7" i="2"/>
  <c r="O7" i="2"/>
  <c r="O20" i="2" s="1"/>
  <c r="P7" i="2"/>
  <c r="P20" i="2" s="1"/>
  <c r="N7" i="2"/>
  <c r="M2" i="2"/>
  <c r="N2" i="2" s="1"/>
  <c r="O2" i="2" s="1"/>
  <c r="P2" i="2" s="1"/>
  <c r="Q2" i="2" s="1"/>
  <c r="R2" i="2" s="1"/>
  <c r="S2" i="2" s="1"/>
  <c r="T2" i="2" s="1"/>
  <c r="U2" i="2" s="1"/>
  <c r="K6" i="1"/>
  <c r="K5" i="1"/>
  <c r="K3" i="1"/>
  <c r="K4" i="1"/>
  <c r="P32" i="2" l="1"/>
  <c r="P43" i="2" s="1"/>
  <c r="P44" i="2" s="1"/>
  <c r="T21" i="2"/>
  <c r="S21" i="2"/>
  <c r="S19" i="2"/>
  <c r="R19" i="2"/>
  <c r="K7" i="1"/>
  <c r="F26" i="3"/>
  <c r="F27" i="3" s="1"/>
  <c r="F29" i="3" s="1"/>
  <c r="M11" i="2"/>
  <c r="M13" i="2" s="1"/>
  <c r="M15" i="2" s="1"/>
  <c r="M17" i="2" s="1"/>
  <c r="L11" i="2"/>
  <c r="L13" i="2" s="1"/>
  <c r="L15" i="2" s="1"/>
  <c r="L17" i="2" s="1"/>
  <c r="P11" i="2"/>
  <c r="P13" i="2" s="1"/>
  <c r="P15" i="2" s="1"/>
  <c r="P17" i="2" s="1"/>
  <c r="Q7" i="2"/>
  <c r="Q11" i="2" s="1"/>
  <c r="Q13" i="2" s="1"/>
  <c r="N11" i="2"/>
  <c r="N13" i="2" s="1"/>
  <c r="N15" i="2" s="1"/>
  <c r="N17" i="2" s="1"/>
  <c r="S6" i="2"/>
  <c r="S7" i="2" s="1"/>
  <c r="R6" i="2"/>
  <c r="R7" i="2" s="1"/>
  <c r="T6" i="2"/>
  <c r="M20" i="2"/>
  <c r="L20" i="2"/>
  <c r="N20" i="2"/>
  <c r="O11" i="2"/>
  <c r="O13" i="2" s="1"/>
  <c r="O15" i="2" s="1"/>
  <c r="O17" i="2" s="1"/>
  <c r="U19" i="2" l="1"/>
  <c r="T19" i="2"/>
  <c r="G26" i="3"/>
  <c r="G27" i="3" s="1"/>
  <c r="G29" i="3" s="1"/>
  <c r="R10" i="2"/>
  <c r="R11" i="2" s="1"/>
  <c r="Q14" i="2"/>
  <c r="Q15" i="2" s="1"/>
  <c r="T7" i="2"/>
  <c r="Q23" i="2" l="1"/>
  <c r="R12" i="2" s="1"/>
  <c r="R13" i="2" s="1"/>
  <c r="H26" i="3"/>
  <c r="H27" i="3" s="1"/>
  <c r="H29" i="3" s="1"/>
  <c r="S10" i="2"/>
  <c r="S11" i="2" s="1"/>
  <c r="U6" i="2"/>
  <c r="U7" i="2" s="1"/>
  <c r="Q17" i="2"/>
  <c r="R14" i="2" l="1"/>
  <c r="R15" i="2"/>
  <c r="I26" i="3"/>
  <c r="I27" i="3" s="1"/>
  <c r="I29" i="3" s="1"/>
  <c r="R23" i="2"/>
  <c r="S12" i="2" s="1"/>
  <c r="S13" i="2" s="1"/>
  <c r="T10" i="2"/>
  <c r="T11" i="2" s="1"/>
  <c r="U10" i="2"/>
  <c r="U11" i="2" s="1"/>
  <c r="R17" i="2" l="1"/>
  <c r="S14" i="2"/>
  <c r="S15" i="2" s="1"/>
  <c r="J26" i="3"/>
  <c r="J27" i="3" s="1"/>
  <c r="J29" i="3" s="1"/>
  <c r="S17" i="2" l="1"/>
  <c r="S23" i="2"/>
  <c r="T12" i="2" s="1"/>
  <c r="T13" i="2" s="1"/>
  <c r="K26" i="3"/>
  <c r="K27" i="3" s="1"/>
  <c r="K29" i="3" s="1"/>
  <c r="T14" i="2" l="1"/>
  <c r="T15" i="2"/>
  <c r="L26" i="3"/>
  <c r="L27" i="3" s="1"/>
  <c r="L29" i="3" s="1"/>
  <c r="T23" i="2" l="1"/>
  <c r="U12" i="2" s="1"/>
  <c r="U13" i="2" s="1"/>
  <c r="T17" i="2"/>
  <c r="C32" i="3"/>
  <c r="U14" i="2" l="1"/>
  <c r="U15" i="2" s="1"/>
  <c r="U17" i="2" l="1"/>
  <c r="V15" i="2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X20" i="2" s="1"/>
  <c r="U23" i="2"/>
  <c r="X21" i="2" l="1"/>
  <c r="X2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tc={CEB24C3D-CDB8-489E-9110-E6019D26EA47}</author>
  </authors>
  <commentList>
    <comment ref="Q5" authorId="0" shapeId="0" xr:uid="{CEB24C3D-CDB8-489E-9110-E6019D26EA47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</t>
      </text>
    </comment>
  </commentList>
</comments>
</file>

<file path=xl/sharedStrings.xml><?xml version="1.0" encoding="utf-8"?>
<sst xmlns="http://schemas.openxmlformats.org/spreadsheetml/2006/main" count="191" uniqueCount="127">
  <si>
    <t>Price</t>
  </si>
  <si>
    <t>Shares</t>
  </si>
  <si>
    <t>MC</t>
  </si>
  <si>
    <t>Cash</t>
  </si>
  <si>
    <t>Debt</t>
  </si>
  <si>
    <t>EV</t>
  </si>
  <si>
    <t>Name</t>
  </si>
  <si>
    <t>Indication</t>
  </si>
  <si>
    <t>Approved</t>
  </si>
  <si>
    <t>Phase</t>
  </si>
  <si>
    <t>MOA</t>
  </si>
  <si>
    <t>Economics</t>
  </si>
  <si>
    <t>IP</t>
  </si>
  <si>
    <t>Main</t>
  </si>
  <si>
    <t>Gene Therapy</t>
  </si>
  <si>
    <t>Exondys (eteplirsen)</t>
  </si>
  <si>
    <t>Vyondys (golodirsen)</t>
  </si>
  <si>
    <t>Amondys (casimersen)</t>
  </si>
  <si>
    <t>Elevidys (delandistrogen moxeparvovec-rokl)</t>
  </si>
  <si>
    <t>SRP-9003 (biridistrogene xeboparvovec)</t>
  </si>
  <si>
    <t>SRP-9004 (patidistrogene bexoparvovec)</t>
  </si>
  <si>
    <t>SRP-1004 (ARO-ATXN2)</t>
  </si>
  <si>
    <t>SRP-1003 (ARO-DM1)</t>
  </si>
  <si>
    <t xml:space="preserve">SRP-6004 </t>
  </si>
  <si>
    <t>SRP-1001 (ARO-DUX4)</t>
  </si>
  <si>
    <t>SRP-1002 (ARO-MMP7)</t>
  </si>
  <si>
    <t>FDA voluntarily asked SRPT to halt Elevidys shipments; SRPT refused</t>
  </si>
  <si>
    <t>Q125</t>
  </si>
  <si>
    <t>Revenue</t>
  </si>
  <si>
    <t>Q124</t>
  </si>
  <si>
    <t>Q224</t>
  </si>
  <si>
    <t>Q324</t>
  </si>
  <si>
    <t>Q424</t>
  </si>
  <si>
    <t>FDA remove request to halt</t>
  </si>
  <si>
    <t>Q225</t>
  </si>
  <si>
    <t>Q325</t>
  </si>
  <si>
    <t>Q425</t>
  </si>
  <si>
    <t>COGS</t>
  </si>
  <si>
    <t>Gross Profit</t>
  </si>
  <si>
    <t>SG&amp;A</t>
  </si>
  <si>
    <t>Operating Income</t>
  </si>
  <si>
    <t>R&amp;D</t>
  </si>
  <si>
    <t>Operating Expenses</t>
  </si>
  <si>
    <t>Interest Income</t>
  </si>
  <si>
    <t>Pretax Income</t>
  </si>
  <si>
    <t>Tax</t>
  </si>
  <si>
    <t>Net Income</t>
  </si>
  <si>
    <t>EPS</t>
  </si>
  <si>
    <t>Revenue y/y</t>
  </si>
  <si>
    <t>Net Cash</t>
  </si>
  <si>
    <t>AR</t>
  </si>
  <si>
    <t>AP</t>
  </si>
  <si>
    <t>SG&amp;A y/y</t>
  </si>
  <si>
    <t>ROIC</t>
  </si>
  <si>
    <t>Maturity</t>
  </si>
  <si>
    <t>Discount</t>
  </si>
  <si>
    <t>NPV</t>
  </si>
  <si>
    <t>Share</t>
  </si>
  <si>
    <t>Inventories</t>
  </si>
  <si>
    <t>Prepaids &amp; Deposits</t>
  </si>
  <si>
    <t>OCA</t>
  </si>
  <si>
    <t>PP&amp;E</t>
  </si>
  <si>
    <t>ROU</t>
  </si>
  <si>
    <t>ONCA</t>
  </si>
  <si>
    <t>Accrued Expenses</t>
  </si>
  <si>
    <t>Deferred Revenue</t>
  </si>
  <si>
    <t>OCL</t>
  </si>
  <si>
    <t>Lease Liablities</t>
  </si>
  <si>
    <t>Contingent</t>
  </si>
  <si>
    <t>ONCL</t>
  </si>
  <si>
    <t>Liablities</t>
  </si>
  <si>
    <t>Assets</t>
  </si>
  <si>
    <t>SE</t>
  </si>
  <si>
    <t>L+SE</t>
  </si>
  <si>
    <t>DMD</t>
  </si>
  <si>
    <t>Brand</t>
  </si>
  <si>
    <t>Generic</t>
  </si>
  <si>
    <t>Clinical Trials</t>
  </si>
  <si>
    <t>Competition</t>
  </si>
  <si>
    <t>Regulatory</t>
  </si>
  <si>
    <t>Phase III "EXPEDITION" in DMD n=400 NCT:NCT05967351</t>
  </si>
  <si>
    <t>Phase III "ENVISION" in DMD n=148 NCT:NCT05881408</t>
  </si>
  <si>
    <t>US Patient Pool</t>
  </si>
  <si>
    <t>Treated</t>
  </si>
  <si>
    <t>Elevidys, SRP-9001</t>
  </si>
  <si>
    <t>delandistrogen moxeparvovec-rokl</t>
  </si>
  <si>
    <t>Read</t>
  </si>
  <si>
    <t>Relevance</t>
  </si>
  <si>
    <t>Topic</t>
  </si>
  <si>
    <t>Title</t>
  </si>
  <si>
    <t>search terms="</t>
  </si>
  <si>
    <t>Patent</t>
  </si>
  <si>
    <t>Notes</t>
  </si>
  <si>
    <t>Phase I/IIa "" in DMD n= NCT:NCT03375164</t>
  </si>
  <si>
    <t>Phase I/II "" in DMD n= NCT:NCT03769116</t>
  </si>
  <si>
    <t>CEO: Douglas S. Ingram</t>
  </si>
  <si>
    <t>COO: Ian M. Estepan</t>
  </si>
  <si>
    <t>CCO: Patrick E. Moss, Pharm.D.</t>
  </si>
  <si>
    <t>R&amp;D: Louise R. Rodino-Klapac, Ph.D.</t>
  </si>
  <si>
    <t>CFO: Ryan H. Wong</t>
  </si>
  <si>
    <t>Richard Barry - Part of Board of Directors</t>
  </si>
  <si>
    <t>PMO</t>
  </si>
  <si>
    <t>Approved 2019</t>
  </si>
  <si>
    <t>Approved 2021</t>
  </si>
  <si>
    <t>DMD patients w/ mutation of the dystrophin gene that is amenable to exondys skipping</t>
  </si>
  <si>
    <t>Skips exon 45 of the dystrophin gene</t>
  </si>
  <si>
    <t>targets the most frequent series of mutations that cause DMD</t>
  </si>
  <si>
    <t>"approx 13% of patients are amenable to exon 51 skipping"</t>
  </si>
  <si>
    <t>"approx. 8% of patients are amenable to exon 45 skipping"</t>
  </si>
  <si>
    <t>"approx 8% of DMD patients are amenable to exon 53 skipping"</t>
  </si>
  <si>
    <t>AAV-based Gene Therapy</t>
  </si>
  <si>
    <t>AAV Gene Therapy</t>
  </si>
  <si>
    <t>Ambulatory</t>
  </si>
  <si>
    <t>non-ambulatory approval adds ~1.1b</t>
  </si>
  <si>
    <t>"elevidys is contraindicated in patients w/ any deletion in exon 8 and or exon 9 in the duchenne gene"</t>
  </si>
  <si>
    <t>PMOs</t>
  </si>
  <si>
    <t>Elevidys</t>
  </si>
  <si>
    <t>LGMD2E</t>
  </si>
  <si>
    <t>III</t>
  </si>
  <si>
    <t>siRNA</t>
  </si>
  <si>
    <t>Phase I/IIa "" in LGMD n= NCT:</t>
  </si>
  <si>
    <t>Phase III "EMERGENE" in LGMD n= NCT:</t>
  </si>
  <si>
    <t>SRP-9003</t>
  </si>
  <si>
    <t>bidridistrogene xeboparvovec</t>
  </si>
  <si>
    <t>Additionally, we are eligible to receive up to $1.7 billion in development, regulatory and sales milestone payments with respect to ELEVIDYS</t>
  </si>
  <si>
    <t>Roche</t>
  </si>
  <si>
    <t>In addition, the Roche Agreement provides that Roche will pay us royalties on net sales of ELEVIDYS, at a tiered royalty rate based on the average cost to manufacture ELEVIDYS.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</si>
</sst>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0" fontId="1" fillId="0" borderId="1" xfId="1" applyFill="1" applyBorder="1"/>
    <xf numFmtId="4" fontId="0" fillId="0" borderId="0" xfId="0" applyNumberFormat="1"/>
    <xf numFmtId="3" fontId="0" fillId="0" borderId="0" xfId="0" applyNumberFormat="1"/>
    <xf numFmtId="3" fontId="1" fillId="0" borderId="0" xfId="1" applyNumberFormat="1"/>
    <xf numFmtId="1" fontId="0" fillId="0" borderId="0" xfId="0" applyNumberFormat="1"/>
    <xf numFmtId="3" fontId="2" fillId="0" borderId="0" xfId="0" applyNumberFormat="1" applyFont="1"/>
    <xf numFmtId="9" fontId="2" fillId="0" borderId="0" xfId="0" applyNumberFormat="1" applyFont="1"/>
    <xf numFmtId="9" fontId="0" fillId="0" borderId="0" xfId="0" applyNumberFormat="1"/>
    <xf numFmtId="0" fontId="1" fillId="0" borderId="0" xfId="1"/>
    <xf numFmtId="0" fontId="3" fillId="0" borderId="0" xfId="0" applyFont="1"/>
    <xf numFmtId="38" fontId="0" fillId="0" borderId="0" xfId="0" applyNumberFormat="1"/>
    <xf numFmtId="0" fontId="0" fillId="0" borderId="4" xfId="0" applyBorder="1" applyAlignment="1">
      <alignment horizontal="center"/>
    </xf>
    <xf numFmtId="0" fontId="1" fillId="0" borderId="1" xfId="1" applyBorder="1" applyAlignment="1">
      <alignment horizontal="left"/>
    </xf>
    <xf numFmtId="0" fontId="1" fillId="0" borderId="3" xfId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586154</xdr:colOff>
      <xdr:row>0</xdr:row>
      <xdr:rowOff>109904</xdr:rowOff>
    </xdr:from>
    <xdr:to>
      <xdr:col>16</xdr:col>
      <xdr:colOff>0</xdr:colOff>
      <xdr:row>72</xdr:row>
      <xdr:rowOff>124557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0A53ADB-796F-8B29-445E-F2F7A044180B}"/>
            </a:ext>
          </a:extLst>
        </xdr:cNvPr>
        <xdr:cNvCxnSpPr/>
      </xdr:nvCxnSpPr>
      <xdr:spPr>
        <a:xfrm>
          <a:off x="10074519" y="109904"/>
          <a:ext cx="21981" cy="1129811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608134</xdr:colOff>
      <xdr:row>0</xdr:row>
      <xdr:rowOff>21981</xdr:rowOff>
    </xdr:from>
    <xdr:to>
      <xdr:col>6</xdr:col>
      <xdr:colOff>608134</xdr:colOff>
      <xdr:row>68</xdr:row>
      <xdr:rowOff>36635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814DECB-2ECA-4006-AB00-FBB8E65925DB}"/>
            </a:ext>
          </a:extLst>
        </xdr:cNvPr>
        <xdr:cNvCxnSpPr/>
      </xdr:nvCxnSpPr>
      <xdr:spPr>
        <a:xfrm>
          <a:off x="4623288" y="21981"/>
          <a:ext cx="0" cy="1065334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FE57897F-F5B8-446F-8A1C-39CF8F8F7A92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5" dT="2025-08-16T04:45:10.05" personId="{FE57897F-F5B8-446F-8A1C-39CF8F8F7A92}" id="{CEB24C3D-CDB8-489E-9110-E6019D26EA47}">
    <text>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CA3D-BD6D-4E02-8579-6A8963C974F1}">
  <dimension ref="B2:L17"/>
  <sheetViews>
    <sheetView zoomScaleNormal="100" workbookViewId="0">
      <selection activeCell="G19" sqref="G19"/>
    </sheetView>
  </sheetViews>
  <sheetFormatPr defaultRowHeight="12.75" x14ac:dyDescent="0.2"/>
  <cols>
    <col min="1" max="1" width="3.5703125" customWidth="1"/>
    <col min="2" max="2" width="38.28515625" bestFit="1" customWidth="1"/>
    <col min="3" max="3" width="14" customWidth="1"/>
    <col min="4" max="4" width="11" customWidth="1"/>
    <col min="5" max="5" width="18.7109375" bestFit="1" customWidth="1"/>
    <col min="6" max="6" width="11" customWidth="1"/>
    <col min="7" max="7" width="10" customWidth="1"/>
    <col min="8" max="8" width="5.140625" customWidth="1"/>
    <col min="9" max="9" width="4.85546875" customWidth="1"/>
  </cols>
  <sheetData>
    <row r="2" spans="2:12" x14ac:dyDescent="0.2">
      <c r="B2" s="7" t="s">
        <v>6</v>
      </c>
      <c r="C2" s="8" t="s">
        <v>7</v>
      </c>
      <c r="D2" s="8" t="s">
        <v>8</v>
      </c>
      <c r="E2" s="8" t="s">
        <v>10</v>
      </c>
      <c r="F2" s="8" t="s">
        <v>11</v>
      </c>
      <c r="G2" s="9" t="s">
        <v>12</v>
      </c>
      <c r="J2" t="s">
        <v>0</v>
      </c>
      <c r="K2" s="20">
        <v>22</v>
      </c>
    </row>
    <row r="3" spans="2:12" x14ac:dyDescent="0.2">
      <c r="B3" s="19" t="s">
        <v>18</v>
      </c>
      <c r="C3" s="2" t="s">
        <v>74</v>
      </c>
      <c r="D3" s="2"/>
      <c r="E3" s="2" t="s">
        <v>111</v>
      </c>
      <c r="F3" s="2" t="s">
        <v>125</v>
      </c>
      <c r="G3" s="3"/>
      <c r="J3" t="s">
        <v>1</v>
      </c>
      <c r="K3" s="21">
        <f>98.277</f>
        <v>98.277000000000001</v>
      </c>
      <c r="L3" t="s">
        <v>27</v>
      </c>
    </row>
    <row r="4" spans="2:12" x14ac:dyDescent="0.2">
      <c r="B4" s="31" t="s">
        <v>15</v>
      </c>
      <c r="C4" s="2" t="s">
        <v>74</v>
      </c>
      <c r="D4" s="2"/>
      <c r="E4" s="2" t="s">
        <v>101</v>
      </c>
      <c r="F4" s="2"/>
      <c r="G4" s="3"/>
      <c r="J4" t="s">
        <v>2</v>
      </c>
      <c r="K4" s="21">
        <f>K3*K2</f>
        <v>2162.0940000000001</v>
      </c>
    </row>
    <row r="5" spans="2:12" x14ac:dyDescent="0.2">
      <c r="B5" s="31" t="s">
        <v>16</v>
      </c>
      <c r="C5" s="2" t="s">
        <v>74</v>
      </c>
      <c r="D5" s="2"/>
      <c r="E5" s="2" t="s">
        <v>101</v>
      </c>
      <c r="F5" s="2"/>
      <c r="G5" s="3"/>
      <c r="J5" t="s">
        <v>3</v>
      </c>
      <c r="K5" s="21">
        <f>240.8+281.9</f>
        <v>522.70000000000005</v>
      </c>
      <c r="L5" t="s">
        <v>27</v>
      </c>
    </row>
    <row r="6" spans="2:12" x14ac:dyDescent="0.2">
      <c r="B6" s="32" t="s">
        <v>17</v>
      </c>
      <c r="C6" s="2" t="s">
        <v>74</v>
      </c>
      <c r="D6" s="5"/>
      <c r="E6" s="2" t="s">
        <v>101</v>
      </c>
      <c r="F6" s="5"/>
      <c r="G6" s="6"/>
      <c r="J6" t="s">
        <v>4</v>
      </c>
      <c r="K6" s="21">
        <f>1138.3+205.46+325+47.4+1</f>
        <v>1717.16</v>
      </c>
      <c r="L6" t="s">
        <v>27</v>
      </c>
    </row>
    <row r="7" spans="2:12" x14ac:dyDescent="0.2">
      <c r="B7" s="10"/>
      <c r="C7" s="11"/>
      <c r="D7" s="8" t="s">
        <v>9</v>
      </c>
      <c r="E7" s="11"/>
      <c r="F7" s="11"/>
      <c r="G7" s="12"/>
      <c r="J7" t="s">
        <v>5</v>
      </c>
      <c r="K7" s="21">
        <f>K4+K6-K5</f>
        <v>3356.5540000000001</v>
      </c>
    </row>
    <row r="8" spans="2:12" x14ac:dyDescent="0.2">
      <c r="B8" s="31" t="s">
        <v>19</v>
      </c>
      <c r="C8" s="13" t="s">
        <v>117</v>
      </c>
      <c r="D8" s="13" t="s">
        <v>118</v>
      </c>
      <c r="E8" s="2" t="s">
        <v>14</v>
      </c>
      <c r="F8" s="13"/>
      <c r="G8" s="14"/>
      <c r="K8" s="20"/>
    </row>
    <row r="9" spans="2:12" x14ac:dyDescent="0.2">
      <c r="B9" s="1" t="s">
        <v>20</v>
      </c>
      <c r="D9" s="13"/>
      <c r="E9" s="2" t="s">
        <v>14</v>
      </c>
      <c r="G9" s="15"/>
      <c r="J9" t="s">
        <v>95</v>
      </c>
      <c r="K9" s="21"/>
    </row>
    <row r="10" spans="2:12" x14ac:dyDescent="0.2">
      <c r="B10" s="1" t="s">
        <v>23</v>
      </c>
      <c r="D10" s="13"/>
      <c r="E10" s="2" t="s">
        <v>14</v>
      </c>
      <c r="G10" s="15"/>
      <c r="J10" t="s">
        <v>96</v>
      </c>
    </row>
    <row r="11" spans="2:12" x14ac:dyDescent="0.2">
      <c r="B11" s="1" t="s">
        <v>24</v>
      </c>
      <c r="D11" s="13"/>
      <c r="E11" s="2" t="s">
        <v>119</v>
      </c>
      <c r="G11" s="15"/>
      <c r="J11" t="s">
        <v>98</v>
      </c>
    </row>
    <row r="12" spans="2:12" x14ac:dyDescent="0.2">
      <c r="B12" s="1" t="s">
        <v>22</v>
      </c>
      <c r="D12" s="13"/>
      <c r="E12" s="2" t="s">
        <v>119</v>
      </c>
      <c r="G12" s="15"/>
      <c r="J12" s="21" t="s">
        <v>97</v>
      </c>
    </row>
    <row r="13" spans="2:12" x14ac:dyDescent="0.2">
      <c r="B13" s="1" t="s">
        <v>21</v>
      </c>
      <c r="D13" s="13"/>
      <c r="E13" s="2" t="s">
        <v>119</v>
      </c>
      <c r="G13" s="15"/>
      <c r="J13" t="s">
        <v>99</v>
      </c>
    </row>
    <row r="14" spans="2:12" x14ac:dyDescent="0.2">
      <c r="B14" s="4" t="s">
        <v>25</v>
      </c>
      <c r="C14" s="16"/>
      <c r="D14" s="30"/>
      <c r="E14" s="16" t="s">
        <v>119</v>
      </c>
      <c r="F14" s="16"/>
      <c r="G14" s="17"/>
    </row>
    <row r="15" spans="2:12" x14ac:dyDescent="0.2">
      <c r="J15" t="s">
        <v>100</v>
      </c>
    </row>
    <row r="16" spans="2:12" x14ac:dyDescent="0.2">
      <c r="B16" s="18">
        <v>45857</v>
      </c>
      <c r="C16" t="s">
        <v>26</v>
      </c>
    </row>
    <row r="17" spans="3:3" x14ac:dyDescent="0.2">
      <c r="C17" t="s">
        <v>33</v>
      </c>
    </row>
  </sheetData>
  <hyperlinks>
    <hyperlink ref="B3" location="elevidys!A1" display="Elevidys (delandistrogen moxeparvovec-rokl)" xr:uid="{46F2F0FF-39E6-443B-9D44-8A57237C41D9}"/>
    <hyperlink ref="B8" location="'SRP-9003'!A1" display="SRP-9003 (biridistrogene xeboparvovec)" xr:uid="{E3936CA6-57CB-4B5A-8B0A-E39CEF3A1E19}"/>
    <hyperlink ref="B4" location="exondys!A1" display="Exondys (eteplirsen)" xr:uid="{AC366611-AA8C-48AA-B961-B6F652586431}"/>
    <hyperlink ref="B5" location="vyondys!A1" display="Vyondys (golodirsen)" xr:uid="{1BAB316F-4C4E-4CEA-B39C-D094710AAB6D}"/>
    <hyperlink ref="B6" location="amondys!A1" display="Amondys (casimersen)" xr:uid="{2F3C3B78-94E2-4B1C-9E85-EA285EC72AA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1A893-8ADE-4729-B205-F45738EE77EA}">
  <dimension ref="A1:DI44"/>
  <sheetViews>
    <sheetView zoomScale="130" zoomScaleNormal="130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X5" sqref="X5"/>
    </sheetView>
  </sheetViews>
  <sheetFormatPr defaultRowHeight="12.75" x14ac:dyDescent="0.2"/>
  <cols>
    <col min="1" max="1" width="5" style="21" bestFit="1" customWidth="1"/>
    <col min="2" max="2" width="18.140625" style="21" bestFit="1" customWidth="1"/>
    <col min="3" max="5" width="9.140625" style="21"/>
    <col min="6" max="6" width="9.7109375" style="21" bestFit="1" customWidth="1"/>
    <col min="7" max="16384" width="9.140625" style="21"/>
  </cols>
  <sheetData>
    <row r="1" spans="1:113" x14ac:dyDescent="0.2">
      <c r="A1" s="22" t="s">
        <v>13</v>
      </c>
    </row>
    <row r="2" spans="1:113" x14ac:dyDescent="0.2">
      <c r="A2" s="22"/>
      <c r="C2" s="21" t="s">
        <v>29</v>
      </c>
      <c r="D2" s="21" t="s">
        <v>30</v>
      </c>
      <c r="E2" s="21" t="s">
        <v>31</v>
      </c>
      <c r="F2" s="21" t="s">
        <v>32</v>
      </c>
      <c r="G2" s="21" t="s">
        <v>27</v>
      </c>
      <c r="H2" s="21" t="s">
        <v>34</v>
      </c>
      <c r="I2" s="21" t="s">
        <v>35</v>
      </c>
      <c r="J2" s="21" t="s">
        <v>36</v>
      </c>
      <c r="L2" s="23">
        <v>2020</v>
      </c>
      <c r="M2" s="23">
        <f>L2+1</f>
        <v>2021</v>
      </c>
      <c r="N2" s="23">
        <f t="shared" ref="N2:U2" si="0">M2+1</f>
        <v>2022</v>
      </c>
      <c r="O2" s="23">
        <f t="shared" si="0"/>
        <v>2023</v>
      </c>
      <c r="P2" s="23">
        <f t="shared" si="0"/>
        <v>2024</v>
      </c>
      <c r="Q2" s="23">
        <f t="shared" si="0"/>
        <v>2025</v>
      </c>
      <c r="R2" s="23">
        <f t="shared" si="0"/>
        <v>2026</v>
      </c>
      <c r="S2" s="23">
        <f t="shared" si="0"/>
        <v>2027</v>
      </c>
      <c r="T2" s="23">
        <f t="shared" si="0"/>
        <v>2028</v>
      </c>
      <c r="U2" s="23">
        <f t="shared" si="0"/>
        <v>2029</v>
      </c>
      <c r="V2" s="23"/>
      <c r="W2" s="23"/>
      <c r="X2" s="23"/>
      <c r="Y2" s="23"/>
    </row>
    <row r="3" spans="1:113" x14ac:dyDescent="0.2">
      <c r="A3" s="22"/>
      <c r="B3" s="21" t="s">
        <v>116</v>
      </c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 spans="1:113" x14ac:dyDescent="0.2">
      <c r="A4" s="22"/>
      <c r="B4" s="21" t="s">
        <v>115</v>
      </c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 spans="1:113" s="24" customFormat="1" x14ac:dyDescent="0.2">
      <c r="A5" s="21"/>
      <c r="B5" s="24" t="s">
        <v>28</v>
      </c>
      <c r="C5" s="24">
        <v>359.5</v>
      </c>
      <c r="G5" s="24">
        <v>611.5</v>
      </c>
      <c r="H5" s="24">
        <f>G5*1</f>
        <v>611.5</v>
      </c>
      <c r="I5" s="24">
        <f t="shared" ref="I5:J5" si="1">H5*1</f>
        <v>611.5</v>
      </c>
      <c r="J5" s="24">
        <f t="shared" si="1"/>
        <v>611.5</v>
      </c>
      <c r="N5" s="24">
        <v>933</v>
      </c>
      <c r="O5" s="24">
        <v>1243.3</v>
      </c>
      <c r="P5" s="24">
        <v>1901.98</v>
      </c>
      <c r="Q5" s="24">
        <v>2300</v>
      </c>
      <c r="R5" s="24">
        <f>Q5*1</f>
        <v>2300</v>
      </c>
      <c r="S5" s="24">
        <f t="shared" ref="S5:U5" si="2">R5*1</f>
        <v>2300</v>
      </c>
      <c r="T5" s="24">
        <f t="shared" si="2"/>
        <v>2300</v>
      </c>
      <c r="U5" s="24">
        <f t="shared" si="2"/>
        <v>2300</v>
      </c>
    </row>
    <row r="6" spans="1:113" x14ac:dyDescent="0.2">
      <c r="B6" s="21" t="s">
        <v>37</v>
      </c>
      <c r="N6" s="21">
        <v>139.97999999999999</v>
      </c>
      <c r="O6" s="21">
        <v>150.34</v>
      </c>
      <c r="P6" s="21">
        <v>319.10000000000002</v>
      </c>
      <c r="Q6" s="21">
        <f>Q5*(1-Q20)</f>
        <v>345.00000000000006</v>
      </c>
      <c r="R6" s="21">
        <f t="shared" ref="R6:U6" si="3">R5*(1-R20)</f>
        <v>345.00000000000006</v>
      </c>
      <c r="S6" s="21">
        <f t="shared" si="3"/>
        <v>345.00000000000006</v>
      </c>
      <c r="T6" s="21">
        <f t="shared" si="3"/>
        <v>345.00000000000006</v>
      </c>
      <c r="U6" s="21">
        <f t="shared" si="3"/>
        <v>345.00000000000006</v>
      </c>
    </row>
    <row r="7" spans="1:113" x14ac:dyDescent="0.2">
      <c r="B7" s="21" t="s">
        <v>38</v>
      </c>
      <c r="L7" s="21">
        <f>L5-L6</f>
        <v>0</v>
      </c>
      <c r="M7" s="21">
        <f>M5-M6</f>
        <v>0</v>
      </c>
      <c r="N7" s="21">
        <f>N5-N6</f>
        <v>793.02</v>
      </c>
      <c r="O7" s="21">
        <f t="shared" ref="O7:P7" si="4">O5-O6</f>
        <v>1092.96</v>
      </c>
      <c r="P7" s="21">
        <f t="shared" si="4"/>
        <v>1582.88</v>
      </c>
      <c r="Q7" s="21">
        <f t="shared" ref="Q7" si="5">Q5-Q6</f>
        <v>1955</v>
      </c>
      <c r="R7" s="21">
        <f t="shared" ref="R7" si="6">R5-R6</f>
        <v>1955</v>
      </c>
      <c r="S7" s="21">
        <f t="shared" ref="S7" si="7">S5-S6</f>
        <v>1955</v>
      </c>
      <c r="T7" s="21">
        <f t="shared" ref="T7" si="8">T5-T6</f>
        <v>1955</v>
      </c>
      <c r="U7" s="21">
        <f t="shared" ref="U7" si="9">U5-U6</f>
        <v>1955</v>
      </c>
    </row>
    <row r="8" spans="1:113" x14ac:dyDescent="0.2">
      <c r="B8" s="21" t="s">
        <v>41</v>
      </c>
      <c r="N8" s="21">
        <v>877</v>
      </c>
      <c r="O8" s="21">
        <v>877.4</v>
      </c>
      <c r="P8" s="21">
        <v>804.5</v>
      </c>
    </row>
    <row r="9" spans="1:113" x14ac:dyDescent="0.2">
      <c r="B9" s="21" t="s">
        <v>39</v>
      </c>
      <c r="N9" s="21">
        <v>451.4</v>
      </c>
      <c r="O9" s="21">
        <v>481.9</v>
      </c>
      <c r="P9" s="21">
        <v>557.9</v>
      </c>
      <c r="Q9" s="21">
        <f>P9*1.1</f>
        <v>613.69000000000005</v>
      </c>
      <c r="R9" s="21">
        <f>Q9*1</f>
        <v>613.69000000000005</v>
      </c>
      <c r="S9" s="21">
        <f t="shared" ref="S9:U9" si="10">R9*1</f>
        <v>613.69000000000005</v>
      </c>
      <c r="T9" s="21">
        <f t="shared" si="10"/>
        <v>613.69000000000005</v>
      </c>
      <c r="U9" s="21">
        <f t="shared" si="10"/>
        <v>613.69000000000005</v>
      </c>
    </row>
    <row r="10" spans="1:113" x14ac:dyDescent="0.2">
      <c r="B10" s="21" t="s">
        <v>42</v>
      </c>
      <c r="L10" s="21">
        <f>SUM(L8:L9)</f>
        <v>0</v>
      </c>
      <c r="M10" s="21">
        <f t="shared" ref="M10:U10" si="11">SUM(M8:M9)</f>
        <v>0</v>
      </c>
      <c r="N10" s="21">
        <f t="shared" si="11"/>
        <v>1328.4</v>
      </c>
      <c r="O10" s="21">
        <f t="shared" si="11"/>
        <v>1359.3</v>
      </c>
      <c r="P10" s="21">
        <f t="shared" si="11"/>
        <v>1362.4</v>
      </c>
      <c r="Q10" s="21">
        <f t="shared" si="11"/>
        <v>613.69000000000005</v>
      </c>
      <c r="R10" s="21">
        <f t="shared" si="11"/>
        <v>613.69000000000005</v>
      </c>
      <c r="S10" s="21">
        <f t="shared" si="11"/>
        <v>613.69000000000005</v>
      </c>
      <c r="T10" s="21">
        <f t="shared" si="11"/>
        <v>613.69000000000005</v>
      </c>
      <c r="U10" s="21">
        <f t="shared" si="11"/>
        <v>613.69000000000005</v>
      </c>
    </row>
    <row r="11" spans="1:113" x14ac:dyDescent="0.2">
      <c r="B11" s="21" t="s">
        <v>40</v>
      </c>
      <c r="L11" s="21">
        <f>L7-L10</f>
        <v>0</v>
      </c>
      <c r="M11" s="21">
        <f t="shared" ref="M11:U11" si="12">M7-M10</f>
        <v>0</v>
      </c>
      <c r="N11" s="21">
        <f t="shared" si="12"/>
        <v>-535.38000000000011</v>
      </c>
      <c r="O11" s="21">
        <f t="shared" si="12"/>
        <v>-266.33999999999992</v>
      </c>
      <c r="P11" s="21">
        <f t="shared" si="12"/>
        <v>220.48000000000002</v>
      </c>
      <c r="Q11" s="21">
        <f t="shared" si="12"/>
        <v>1341.31</v>
      </c>
      <c r="R11" s="21">
        <f t="shared" si="12"/>
        <v>1341.31</v>
      </c>
      <c r="S11" s="21">
        <f t="shared" si="12"/>
        <v>1341.31</v>
      </c>
      <c r="T11" s="21">
        <f t="shared" si="12"/>
        <v>1341.31</v>
      </c>
      <c r="U11" s="21">
        <f t="shared" si="12"/>
        <v>1341.31</v>
      </c>
    </row>
    <row r="12" spans="1:113" x14ac:dyDescent="0.2">
      <c r="B12" s="21" t="s">
        <v>43</v>
      </c>
      <c r="N12" s="21">
        <v>-28.3</v>
      </c>
      <c r="O12" s="21">
        <v>33</v>
      </c>
      <c r="P12" s="21">
        <v>42.7</v>
      </c>
      <c r="Q12" s="21">
        <f>P23*$X$17</f>
        <v>4.354000000000001</v>
      </c>
      <c r="R12" s="21">
        <f t="shared" ref="R12:U12" si="13">Q23*$X$17</f>
        <v>25.884623999999999</v>
      </c>
      <c r="S12" s="21">
        <f t="shared" si="13"/>
        <v>47.759737984000004</v>
      </c>
      <c r="T12" s="21">
        <f t="shared" si="13"/>
        <v>69.984853791744001</v>
      </c>
      <c r="U12" s="21">
        <f t="shared" si="13"/>
        <v>92.565571452411902</v>
      </c>
    </row>
    <row r="13" spans="1:113" x14ac:dyDescent="0.2">
      <c r="B13" s="21" t="s">
        <v>44</v>
      </c>
      <c r="L13" s="21">
        <f>L11+L12</f>
        <v>0</v>
      </c>
      <c r="M13" s="21">
        <f t="shared" ref="M13:U13" si="14">M11+M12</f>
        <v>0</v>
      </c>
      <c r="N13" s="21">
        <f t="shared" si="14"/>
        <v>-563.68000000000006</v>
      </c>
      <c r="O13" s="21">
        <f t="shared" si="14"/>
        <v>-233.33999999999992</v>
      </c>
      <c r="P13" s="21">
        <f t="shared" si="14"/>
        <v>263.18</v>
      </c>
      <c r="Q13" s="21">
        <f t="shared" si="14"/>
        <v>1345.664</v>
      </c>
      <c r="R13" s="21">
        <f t="shared" si="14"/>
        <v>1367.194624</v>
      </c>
      <c r="S13" s="21">
        <f t="shared" si="14"/>
        <v>1389.0697379839999</v>
      </c>
      <c r="T13" s="21">
        <f t="shared" si="14"/>
        <v>1411.2948537917439</v>
      </c>
      <c r="U13" s="21">
        <f t="shared" si="14"/>
        <v>1433.8755714524118</v>
      </c>
    </row>
    <row r="14" spans="1:113" x14ac:dyDescent="0.2">
      <c r="B14" s="21" t="s">
        <v>45</v>
      </c>
      <c r="N14" s="21">
        <v>13.5</v>
      </c>
      <c r="O14" s="21">
        <v>15.9</v>
      </c>
      <c r="P14" s="21">
        <v>25.5</v>
      </c>
      <c r="Q14" s="21">
        <f>Q13*0.2</f>
        <v>269.13280000000003</v>
      </c>
      <c r="R14" s="21">
        <f t="shared" ref="R14:U14" si="15">R13*0.2</f>
        <v>273.4389248</v>
      </c>
      <c r="S14" s="21">
        <f t="shared" si="15"/>
        <v>277.81394759680001</v>
      </c>
      <c r="T14" s="21">
        <f t="shared" si="15"/>
        <v>282.25897075834877</v>
      </c>
      <c r="U14" s="21">
        <f t="shared" si="15"/>
        <v>286.77511429048235</v>
      </c>
    </row>
    <row r="15" spans="1:113" x14ac:dyDescent="0.2">
      <c r="B15" s="21" t="s">
        <v>46</v>
      </c>
      <c r="L15" s="21">
        <f>L13-L14</f>
        <v>0</v>
      </c>
      <c r="M15" s="21">
        <f t="shared" ref="M15:U15" si="16">M13-M14</f>
        <v>0</v>
      </c>
      <c r="N15" s="21">
        <f t="shared" si="16"/>
        <v>-577.18000000000006</v>
      </c>
      <c r="O15" s="21">
        <f t="shared" si="16"/>
        <v>-249.23999999999992</v>
      </c>
      <c r="P15" s="21">
        <f t="shared" si="16"/>
        <v>237.68</v>
      </c>
      <c r="Q15" s="21">
        <f t="shared" si="16"/>
        <v>1076.5311999999999</v>
      </c>
      <c r="R15" s="21">
        <f t="shared" si="16"/>
        <v>1093.7556992</v>
      </c>
      <c r="S15" s="21">
        <f t="shared" si="16"/>
        <v>1111.2557903871998</v>
      </c>
      <c r="T15" s="21">
        <f t="shared" si="16"/>
        <v>1129.0358830333951</v>
      </c>
      <c r="U15" s="21">
        <f t="shared" si="16"/>
        <v>1147.1004571619294</v>
      </c>
      <c r="V15" s="21">
        <f>U15*(1+$X$18)</f>
        <v>1112.6874434470715</v>
      </c>
      <c r="W15" s="21">
        <f t="shared" ref="W15:CH15" si="17">V15*(1+$X$18)</f>
        <v>1079.3068201436593</v>
      </c>
      <c r="X15" s="21">
        <f t="shared" si="17"/>
        <v>1046.9276155393495</v>
      </c>
      <c r="Y15" s="21">
        <f t="shared" si="17"/>
        <v>1015.519787073169</v>
      </c>
      <c r="Z15" s="21">
        <f t="shared" si="17"/>
        <v>985.05419346097392</v>
      </c>
      <c r="AA15" s="21">
        <f t="shared" si="17"/>
        <v>955.50256765714471</v>
      </c>
      <c r="AB15" s="21">
        <f t="shared" si="17"/>
        <v>926.83749062743038</v>
      </c>
      <c r="AC15" s="21">
        <f t="shared" si="17"/>
        <v>899.0323659086074</v>
      </c>
      <c r="AD15" s="21">
        <f t="shared" si="17"/>
        <v>872.06139493134913</v>
      </c>
      <c r="AE15" s="21">
        <f t="shared" si="17"/>
        <v>845.89955308340859</v>
      </c>
      <c r="AF15" s="21">
        <f t="shared" si="17"/>
        <v>820.52256649090634</v>
      </c>
      <c r="AG15" s="21">
        <f t="shared" si="17"/>
        <v>795.90688949617913</v>
      </c>
      <c r="AH15" s="21">
        <f t="shared" si="17"/>
        <v>772.0296828112937</v>
      </c>
      <c r="AI15" s="21">
        <f t="shared" si="17"/>
        <v>748.86879232695492</v>
      </c>
      <c r="AJ15" s="21">
        <f t="shared" si="17"/>
        <v>726.40272855714625</v>
      </c>
      <c r="AK15" s="21">
        <f t="shared" si="17"/>
        <v>704.61064670043186</v>
      </c>
      <c r="AL15" s="21">
        <f t="shared" si="17"/>
        <v>683.47232729941891</v>
      </c>
      <c r="AM15" s="21">
        <f t="shared" si="17"/>
        <v>662.96815748043628</v>
      </c>
      <c r="AN15" s="21">
        <f t="shared" si="17"/>
        <v>643.07911275602316</v>
      </c>
      <c r="AO15" s="21">
        <f t="shared" si="17"/>
        <v>623.78673937334247</v>
      </c>
      <c r="AP15" s="21">
        <f t="shared" si="17"/>
        <v>605.07313719214221</v>
      </c>
      <c r="AQ15" s="21">
        <f t="shared" si="17"/>
        <v>586.92094307637797</v>
      </c>
      <c r="AR15" s="21">
        <f t="shared" si="17"/>
        <v>569.31331478408663</v>
      </c>
      <c r="AS15" s="21">
        <f t="shared" si="17"/>
        <v>552.23391534056407</v>
      </c>
      <c r="AT15" s="21">
        <f t="shared" si="17"/>
        <v>535.66689788034716</v>
      </c>
      <c r="AU15" s="21">
        <f t="shared" si="17"/>
        <v>519.59689094393673</v>
      </c>
      <c r="AV15" s="21">
        <f t="shared" si="17"/>
        <v>504.00898421561863</v>
      </c>
      <c r="AW15" s="21">
        <f t="shared" si="17"/>
        <v>488.88871468915005</v>
      </c>
      <c r="AX15" s="21">
        <f t="shared" si="17"/>
        <v>474.22205324847556</v>
      </c>
      <c r="AY15" s="21">
        <f t="shared" si="17"/>
        <v>459.99539165102129</v>
      </c>
      <c r="AZ15" s="21">
        <f t="shared" si="17"/>
        <v>446.19552990149066</v>
      </c>
      <c r="BA15" s="21">
        <f t="shared" si="17"/>
        <v>432.80966400444595</v>
      </c>
      <c r="BB15" s="21">
        <f t="shared" si="17"/>
        <v>419.82537408431256</v>
      </c>
      <c r="BC15" s="21">
        <f t="shared" si="17"/>
        <v>407.23061286178319</v>
      </c>
      <c r="BD15" s="21">
        <f t="shared" si="17"/>
        <v>395.0136944759297</v>
      </c>
      <c r="BE15" s="21">
        <f t="shared" si="17"/>
        <v>383.16328364165179</v>
      </c>
      <c r="BF15" s="21">
        <f t="shared" si="17"/>
        <v>371.66838513240225</v>
      </c>
      <c r="BG15" s="21">
        <f t="shared" si="17"/>
        <v>360.51833357843014</v>
      </c>
      <c r="BH15" s="21">
        <f t="shared" si="17"/>
        <v>349.70278357107725</v>
      </c>
      <c r="BI15" s="21">
        <f t="shared" si="17"/>
        <v>339.21170006394493</v>
      </c>
      <c r="BJ15" s="21">
        <f t="shared" si="17"/>
        <v>329.03534906202657</v>
      </c>
      <c r="BK15" s="21">
        <f t="shared" si="17"/>
        <v>319.16428859016577</v>
      </c>
      <c r="BL15" s="21">
        <f t="shared" si="17"/>
        <v>309.58935993246081</v>
      </c>
      <c r="BM15" s="21">
        <f t="shared" si="17"/>
        <v>300.30167913448696</v>
      </c>
      <c r="BN15" s="21">
        <f t="shared" si="17"/>
        <v>291.29262876045232</v>
      </c>
      <c r="BO15" s="21">
        <f t="shared" si="17"/>
        <v>282.55384989763871</v>
      </c>
      <c r="BP15" s="21">
        <f t="shared" si="17"/>
        <v>274.07723440070953</v>
      </c>
      <c r="BQ15" s="21">
        <f t="shared" si="17"/>
        <v>265.85491736868823</v>
      </c>
      <c r="BR15" s="21">
        <f t="shared" si="17"/>
        <v>257.8792698476276</v>
      </c>
      <c r="BS15" s="21">
        <f t="shared" si="17"/>
        <v>250.14289175219875</v>
      </c>
      <c r="BT15" s="21">
        <f t="shared" si="17"/>
        <v>242.63860499963278</v>
      </c>
      <c r="BU15" s="21">
        <f t="shared" si="17"/>
        <v>235.35944684964377</v>
      </c>
      <c r="BV15" s="21">
        <f t="shared" si="17"/>
        <v>228.29866344415444</v>
      </c>
      <c r="BW15" s="21">
        <f t="shared" si="17"/>
        <v>221.4497035408298</v>
      </c>
      <c r="BX15" s="21">
        <f t="shared" si="17"/>
        <v>214.8062124346049</v>
      </c>
      <c r="BY15" s="21">
        <f t="shared" si="17"/>
        <v>208.36202606156675</v>
      </c>
      <c r="BZ15" s="21">
        <f t="shared" si="17"/>
        <v>202.11116527971976</v>
      </c>
      <c r="CA15" s="21">
        <f t="shared" si="17"/>
        <v>196.04783032132815</v>
      </c>
      <c r="CB15" s="21">
        <f t="shared" si="17"/>
        <v>190.16639541168831</v>
      </c>
      <c r="CC15" s="21">
        <f t="shared" si="17"/>
        <v>184.46140354933766</v>
      </c>
      <c r="CD15" s="21">
        <f t="shared" si="17"/>
        <v>178.92756144285752</v>
      </c>
      <c r="CE15" s="21">
        <f t="shared" si="17"/>
        <v>173.55973459957178</v>
      </c>
      <c r="CF15" s="21">
        <f t="shared" si="17"/>
        <v>168.35294256158463</v>
      </c>
      <c r="CG15" s="21">
        <f t="shared" si="17"/>
        <v>163.30235428473708</v>
      </c>
      <c r="CH15" s="21">
        <f t="shared" si="17"/>
        <v>158.40328365619496</v>
      </c>
      <c r="CI15" s="21">
        <f t="shared" ref="CI15:DI15" si="18">CH15*(1+$X$18)</f>
        <v>153.65118514650911</v>
      </c>
      <c r="CJ15" s="21">
        <f t="shared" si="18"/>
        <v>149.04164959211383</v>
      </c>
      <c r="CK15" s="21">
        <f t="shared" si="18"/>
        <v>144.5704001043504</v>
      </c>
      <c r="CL15" s="21">
        <f t="shared" si="18"/>
        <v>140.23328810121987</v>
      </c>
      <c r="CM15" s="21">
        <f t="shared" si="18"/>
        <v>136.02628945818327</v>
      </c>
      <c r="CN15" s="21">
        <f t="shared" si="18"/>
        <v>131.94550077443776</v>
      </c>
      <c r="CO15" s="21">
        <f t="shared" si="18"/>
        <v>127.98713575120462</v>
      </c>
      <c r="CP15" s="21">
        <f t="shared" si="18"/>
        <v>124.14752167866848</v>
      </c>
      <c r="CQ15" s="21">
        <f t="shared" si="18"/>
        <v>120.42309602830842</v>
      </c>
      <c r="CR15" s="21">
        <f t="shared" si="18"/>
        <v>116.81040314745917</v>
      </c>
      <c r="CS15" s="21">
        <f t="shared" si="18"/>
        <v>113.30609105303539</v>
      </c>
      <c r="CT15" s="21">
        <f t="shared" si="18"/>
        <v>109.90690832144432</v>
      </c>
      <c r="CU15" s="21">
        <f t="shared" si="18"/>
        <v>106.60970107180098</v>
      </c>
      <c r="CV15" s="21">
        <f t="shared" si="18"/>
        <v>103.41141003964695</v>
      </c>
      <c r="CW15" s="21">
        <f t="shared" si="18"/>
        <v>100.30906773845754</v>
      </c>
      <c r="CX15" s="21">
        <f t="shared" si="18"/>
        <v>97.299795706303811</v>
      </c>
      <c r="CY15" s="21">
        <f t="shared" si="18"/>
        <v>94.380801835114696</v>
      </c>
      <c r="CZ15" s="21">
        <f t="shared" si="18"/>
        <v>91.549377780061249</v>
      </c>
      <c r="DA15" s="21">
        <f t="shared" si="18"/>
        <v>88.802896446659403</v>
      </c>
      <c r="DB15" s="21">
        <f t="shared" si="18"/>
        <v>86.13880955325962</v>
      </c>
      <c r="DC15" s="21">
        <f t="shared" si="18"/>
        <v>83.554645266661822</v>
      </c>
      <c r="DD15" s="21">
        <f t="shared" si="18"/>
        <v>81.048005908661963</v>
      </c>
      <c r="DE15" s="21">
        <f t="shared" si="18"/>
        <v>78.616565731402105</v>
      </c>
      <c r="DF15" s="21">
        <f t="shared" si="18"/>
        <v>76.258068759460045</v>
      </c>
      <c r="DG15" s="21">
        <f t="shared" si="18"/>
        <v>73.970326696676238</v>
      </c>
      <c r="DH15" s="21">
        <f t="shared" si="18"/>
        <v>71.751216895775954</v>
      </c>
      <c r="DI15" s="21">
        <f t="shared" si="18"/>
        <v>69.598680388902679</v>
      </c>
    </row>
    <row r="16" spans="1:113" x14ac:dyDescent="0.2">
      <c r="B16" s="21" t="s">
        <v>1</v>
      </c>
      <c r="N16" s="21">
        <v>87.558999999999997</v>
      </c>
      <c r="O16" s="21">
        <v>92.397999999999996</v>
      </c>
      <c r="P16" s="21">
        <v>95.1</v>
      </c>
      <c r="Q16" s="21">
        <f>P16</f>
        <v>95.1</v>
      </c>
      <c r="R16" s="21">
        <f t="shared" ref="R16:U16" si="19">Q16</f>
        <v>95.1</v>
      </c>
      <c r="S16" s="21">
        <f t="shared" si="19"/>
        <v>95.1</v>
      </c>
      <c r="T16" s="21">
        <f t="shared" si="19"/>
        <v>95.1</v>
      </c>
      <c r="U16" s="21">
        <f t="shared" si="19"/>
        <v>95.1</v>
      </c>
    </row>
    <row r="17" spans="1:24" x14ac:dyDescent="0.2">
      <c r="B17" s="21" t="s">
        <v>47</v>
      </c>
      <c r="L17" s="20" t="e">
        <f>L15/L16</f>
        <v>#DIV/0!</v>
      </c>
      <c r="M17" s="20" t="e">
        <f>M15/M16</f>
        <v>#DIV/0!</v>
      </c>
      <c r="N17" s="20">
        <f>N15/N16</f>
        <v>-6.5918980344681879</v>
      </c>
      <c r="O17" s="20">
        <f t="shared" ref="O17:P17" si="20">O15/O16</f>
        <v>-2.6974609840039823</v>
      </c>
      <c r="P17" s="20">
        <f t="shared" si="20"/>
        <v>2.4992639327024189</v>
      </c>
      <c r="Q17" s="20">
        <f t="shared" ref="Q17" si="21">Q15/Q16</f>
        <v>11.319991587802313</v>
      </c>
      <c r="R17" s="20">
        <f t="shared" ref="R17" si="22">R15/R16</f>
        <v>11.501111453207152</v>
      </c>
      <c r="S17" s="20">
        <f t="shared" ref="S17" si="23">S15/S16</f>
        <v>11.685129236458463</v>
      </c>
      <c r="T17" s="20">
        <f t="shared" ref="T17" si="24">T15/T16</f>
        <v>11.872091304241799</v>
      </c>
      <c r="U17" s="20">
        <f t="shared" ref="U17" si="25">U15/U16</f>
        <v>12.062044765109668</v>
      </c>
      <c r="W17" s="21" t="s">
        <v>53</v>
      </c>
      <c r="X17" s="26">
        <v>0.02</v>
      </c>
    </row>
    <row r="18" spans="1:24" x14ac:dyDescent="0.2">
      <c r="W18" s="21" t="s">
        <v>54</v>
      </c>
      <c r="X18" s="26">
        <v>-0.03</v>
      </c>
    </row>
    <row r="19" spans="1:24" s="24" customFormat="1" x14ac:dyDescent="0.2">
      <c r="A19" s="21"/>
      <c r="B19" s="24" t="s">
        <v>48</v>
      </c>
      <c r="O19" s="25">
        <f>O5/N5-1</f>
        <v>0.33258306538049309</v>
      </c>
      <c r="P19" s="25">
        <f>P5/O5-1</f>
        <v>0.52978364031207281</v>
      </c>
      <c r="Q19" s="25">
        <f t="shared" ref="Q19:U19" si="26">Q5/P5-1</f>
        <v>0.2092661331875203</v>
      </c>
      <c r="R19" s="25">
        <f t="shared" si="26"/>
        <v>0</v>
      </c>
      <c r="S19" s="25">
        <f t="shared" si="26"/>
        <v>0</v>
      </c>
      <c r="T19" s="25">
        <f t="shared" si="26"/>
        <v>0</v>
      </c>
      <c r="U19" s="25">
        <f t="shared" si="26"/>
        <v>0</v>
      </c>
      <c r="W19" s="21" t="s">
        <v>55</v>
      </c>
      <c r="X19" s="26">
        <v>0.09</v>
      </c>
    </row>
    <row r="20" spans="1:24" x14ac:dyDescent="0.2">
      <c r="B20" s="21" t="s">
        <v>38</v>
      </c>
      <c r="C20" s="26">
        <f>C7/C5</f>
        <v>0</v>
      </c>
      <c r="D20" s="26" t="e">
        <f t="shared" ref="D20:J20" si="27">D7/D5</f>
        <v>#DIV/0!</v>
      </c>
      <c r="E20" s="26" t="e">
        <f t="shared" si="27"/>
        <v>#DIV/0!</v>
      </c>
      <c r="F20" s="26" t="e">
        <f t="shared" si="27"/>
        <v>#DIV/0!</v>
      </c>
      <c r="G20" s="26">
        <f t="shared" si="27"/>
        <v>0</v>
      </c>
      <c r="H20" s="26">
        <f t="shared" si="27"/>
        <v>0</v>
      </c>
      <c r="I20" s="26">
        <f t="shared" si="27"/>
        <v>0</v>
      </c>
      <c r="J20" s="26">
        <f t="shared" si="27"/>
        <v>0</v>
      </c>
      <c r="L20" s="26" t="e">
        <f>L7/L5</f>
        <v>#DIV/0!</v>
      </c>
      <c r="M20" s="26" t="e">
        <f>M7/M5</f>
        <v>#DIV/0!</v>
      </c>
      <c r="N20" s="26">
        <f>N7/N5</f>
        <v>0.84996784565916395</v>
      </c>
      <c r="O20" s="26">
        <f t="shared" ref="O20:P20" si="28">O7/O5</f>
        <v>0.87907986809297844</v>
      </c>
      <c r="P20" s="26">
        <f t="shared" si="28"/>
        <v>0.83222746821733151</v>
      </c>
      <c r="Q20" s="26">
        <v>0.85</v>
      </c>
      <c r="R20" s="26">
        <v>0.85</v>
      </c>
      <c r="S20" s="26">
        <v>0.85</v>
      </c>
      <c r="T20" s="26">
        <v>0.85</v>
      </c>
      <c r="U20" s="26">
        <v>0.85</v>
      </c>
      <c r="W20" s="21" t="s">
        <v>56</v>
      </c>
      <c r="X20" s="21">
        <f>NPV(X19,Q15:XFD15)+Main!K5-Main!K6</f>
        <v>9143.5320303934659</v>
      </c>
    </row>
    <row r="21" spans="1:24" x14ac:dyDescent="0.2">
      <c r="B21" s="21" t="s">
        <v>52</v>
      </c>
      <c r="C21" s="26"/>
      <c r="D21" s="26"/>
      <c r="E21" s="26"/>
      <c r="F21" s="26"/>
      <c r="G21" s="26"/>
      <c r="H21" s="26"/>
      <c r="I21" s="26"/>
      <c r="J21" s="26"/>
      <c r="L21" s="26"/>
      <c r="M21" s="26"/>
      <c r="N21" s="26"/>
      <c r="O21" s="26">
        <f>O9/N9-1</f>
        <v>6.7567567567567544E-2</v>
      </c>
      <c r="P21" s="26">
        <f>P9/O9-1</f>
        <v>0.15770906827142572</v>
      </c>
      <c r="Q21" s="26">
        <f t="shared" ref="Q21:U21" si="29">Q9/P9-1</f>
        <v>0.10000000000000009</v>
      </c>
      <c r="R21" s="26">
        <f t="shared" si="29"/>
        <v>0</v>
      </c>
      <c r="S21" s="26">
        <f t="shared" si="29"/>
        <v>0</v>
      </c>
      <c r="T21" s="26">
        <f t="shared" si="29"/>
        <v>0</v>
      </c>
      <c r="U21" s="26">
        <f t="shared" si="29"/>
        <v>0</v>
      </c>
      <c r="W21" s="21" t="s">
        <v>57</v>
      </c>
      <c r="X21" s="20">
        <f>X20/Main!K3</f>
        <v>93.038371443913277</v>
      </c>
    </row>
    <row r="22" spans="1:24" x14ac:dyDescent="0.2">
      <c r="X22" s="26">
        <f>X21/Main!K2-1</f>
        <v>3.2290168838142401</v>
      </c>
    </row>
    <row r="23" spans="1:24" x14ac:dyDescent="0.2">
      <c r="B23" s="21" t="s">
        <v>49</v>
      </c>
      <c r="P23" s="21">
        <f>P24-P37</f>
        <v>217.70000000000005</v>
      </c>
      <c r="Q23" s="21">
        <f>P23+Q15</f>
        <v>1294.2311999999999</v>
      </c>
      <c r="R23" s="21">
        <f t="shared" ref="R23:U23" si="30">Q23+R15</f>
        <v>2387.9868992000002</v>
      </c>
      <c r="S23" s="21">
        <f t="shared" si="30"/>
        <v>3499.2426895871999</v>
      </c>
      <c r="T23" s="21">
        <f t="shared" si="30"/>
        <v>4628.2785726205948</v>
      </c>
      <c r="U23" s="21">
        <f t="shared" si="30"/>
        <v>5775.3790297825244</v>
      </c>
    </row>
    <row r="24" spans="1:24" x14ac:dyDescent="0.2">
      <c r="B24" s="21" t="s">
        <v>3</v>
      </c>
      <c r="P24" s="21">
        <f>1103+251.8</f>
        <v>1354.8</v>
      </c>
    </row>
    <row r="25" spans="1:24" x14ac:dyDescent="0.2">
      <c r="B25" s="21" t="s">
        <v>50</v>
      </c>
      <c r="P25" s="21">
        <v>602</v>
      </c>
    </row>
    <row r="26" spans="1:24" x14ac:dyDescent="0.2">
      <c r="B26" s="21" t="s">
        <v>58</v>
      </c>
      <c r="P26" s="21">
        <v>750</v>
      </c>
    </row>
    <row r="27" spans="1:24" x14ac:dyDescent="0.2">
      <c r="B27" s="21" t="s">
        <v>59</v>
      </c>
      <c r="P27" s="21">
        <v>276.3</v>
      </c>
    </row>
    <row r="28" spans="1:24" x14ac:dyDescent="0.2">
      <c r="B28" s="21" t="s">
        <v>60</v>
      </c>
      <c r="P28" s="21">
        <f>90.5</f>
        <v>90.5</v>
      </c>
    </row>
    <row r="29" spans="1:24" x14ac:dyDescent="0.2">
      <c r="B29" s="21" t="s">
        <v>61</v>
      </c>
      <c r="P29" s="21">
        <v>340.3</v>
      </c>
    </row>
    <row r="30" spans="1:24" x14ac:dyDescent="0.2">
      <c r="B30" s="21" t="s">
        <v>62</v>
      </c>
      <c r="P30" s="21">
        <v>148.30000000000001</v>
      </c>
    </row>
    <row r="31" spans="1:24" x14ac:dyDescent="0.2">
      <c r="B31" s="21" t="s">
        <v>63</v>
      </c>
      <c r="P31" s="21">
        <f>188+133+80</f>
        <v>401</v>
      </c>
    </row>
    <row r="32" spans="1:24" x14ac:dyDescent="0.2">
      <c r="B32" s="21" t="s">
        <v>71</v>
      </c>
      <c r="P32" s="21">
        <f>SUM(P24:P31)</f>
        <v>3963.2000000000007</v>
      </c>
    </row>
    <row r="34" spans="2:16" x14ac:dyDescent="0.2">
      <c r="B34" s="21" t="s">
        <v>51</v>
      </c>
      <c r="P34" s="21">
        <v>214.4</v>
      </c>
    </row>
    <row r="35" spans="2:16" x14ac:dyDescent="0.2">
      <c r="B35" s="21" t="s">
        <v>64</v>
      </c>
      <c r="P35" s="21">
        <v>373.5</v>
      </c>
    </row>
    <row r="36" spans="2:16" x14ac:dyDescent="0.2">
      <c r="B36" s="21" t="s">
        <v>65</v>
      </c>
      <c r="P36" s="21">
        <f>130+325</f>
        <v>455</v>
      </c>
    </row>
    <row r="37" spans="2:16" x14ac:dyDescent="0.2">
      <c r="B37" s="21" t="s">
        <v>4</v>
      </c>
      <c r="P37" s="21">
        <f>1137.1</f>
        <v>1137.0999999999999</v>
      </c>
    </row>
    <row r="38" spans="2:16" x14ac:dyDescent="0.2">
      <c r="B38" s="21" t="s">
        <v>66</v>
      </c>
      <c r="P38" s="21">
        <v>13.5</v>
      </c>
    </row>
    <row r="39" spans="2:16" x14ac:dyDescent="0.2">
      <c r="B39" s="21" t="s">
        <v>67</v>
      </c>
      <c r="P39" s="21">
        <v>192.5</v>
      </c>
    </row>
    <row r="40" spans="2:16" x14ac:dyDescent="0.2">
      <c r="B40" s="21" t="s">
        <v>68</v>
      </c>
      <c r="P40" s="21">
        <v>47.4</v>
      </c>
    </row>
    <row r="41" spans="2:16" x14ac:dyDescent="0.2">
      <c r="B41" s="21" t="s">
        <v>69</v>
      </c>
      <c r="P41" s="21">
        <v>1.8</v>
      </c>
    </row>
    <row r="42" spans="2:16" x14ac:dyDescent="0.2">
      <c r="B42" s="21" t="s">
        <v>70</v>
      </c>
      <c r="P42" s="21">
        <f>SUM(P34:P41)</f>
        <v>2435.2000000000003</v>
      </c>
    </row>
    <row r="43" spans="2:16" x14ac:dyDescent="0.2">
      <c r="B43" s="21" t="s">
        <v>72</v>
      </c>
      <c r="P43" s="21">
        <f>P32-P42</f>
        <v>1528.0000000000005</v>
      </c>
    </row>
    <row r="44" spans="2:16" x14ac:dyDescent="0.2">
      <c r="B44" s="21" t="s">
        <v>73</v>
      </c>
      <c r="P44" s="21">
        <f>P43+P42</f>
        <v>3963.2000000000007</v>
      </c>
    </row>
  </sheetData>
  <hyperlinks>
    <hyperlink ref="A1" location="Main!A1" display="Main" xr:uid="{E7D2AB81-0BD9-40CF-9991-10683543A777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2F66-F77F-4FF1-81E8-6D4E8B2BBB7B}">
  <dimension ref="A1:E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defaultRowHeight="12.75" x14ac:dyDescent="0.2"/>
  <cols>
    <col min="1" max="1" width="5" bestFit="1" customWidth="1"/>
  </cols>
  <sheetData>
    <row r="1" spans="1:5" x14ac:dyDescent="0.2">
      <c r="A1" s="27" t="s">
        <v>13</v>
      </c>
    </row>
    <row r="2" spans="1:5" x14ac:dyDescent="0.2">
      <c r="B2" t="s">
        <v>91</v>
      </c>
      <c r="C2" t="s">
        <v>87</v>
      </c>
      <c r="D2" t="s">
        <v>89</v>
      </c>
      <c r="E2" t="s">
        <v>92</v>
      </c>
    </row>
  </sheetData>
  <hyperlinks>
    <hyperlink ref="A1" location="Main!A1" display="Main" xr:uid="{411B41BB-FE21-41A9-8138-142297573DC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30355-589F-41A0-8BDC-82712836F060}">
  <dimension ref="A1:E3"/>
  <sheetViews>
    <sheetView zoomScale="115" zoomScaleNormal="115" workbookViewId="0">
      <pane ySplit="2" topLeftCell="A3" activePane="bottomLeft" state="frozen"/>
      <selection pane="bottomLeft" activeCell="D26" sqref="D26"/>
    </sheetView>
  </sheetViews>
  <sheetFormatPr defaultRowHeight="12.75" x14ac:dyDescent="0.2"/>
  <cols>
    <col min="1" max="1" width="5" bestFit="1" customWidth="1"/>
    <col min="3" max="3" width="9.85546875" style="13" bestFit="1" customWidth="1"/>
  </cols>
  <sheetData>
    <row r="1" spans="1:5" x14ac:dyDescent="0.2">
      <c r="A1" s="27" t="s">
        <v>13</v>
      </c>
      <c r="C1"/>
    </row>
    <row r="2" spans="1:5" x14ac:dyDescent="0.2">
      <c r="B2" s="13" t="s">
        <v>86</v>
      </c>
      <c r="C2" s="13" t="s">
        <v>87</v>
      </c>
      <c r="D2" s="13" t="s">
        <v>88</v>
      </c>
      <c r="E2" s="13" t="s">
        <v>89</v>
      </c>
    </row>
    <row r="3" spans="1:5" x14ac:dyDescent="0.2">
      <c r="E3" t="s">
        <v>90</v>
      </c>
    </row>
  </sheetData>
  <hyperlinks>
    <hyperlink ref="A1" location="Main!A1" display="Main" xr:uid="{E2015FD0-0F64-414E-A25D-95675372938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E37D-39D8-4DCA-A95F-E6EADC0FC071}">
  <dimension ref="A1:P34"/>
  <sheetViews>
    <sheetView tabSelected="1" topLeftCell="A3" zoomScale="130" zoomScaleNormal="130" workbookViewId="0">
      <selection activeCell="F32" sqref="F32:G32"/>
    </sheetView>
  </sheetViews>
  <sheetFormatPr defaultRowHeight="12.75" x14ac:dyDescent="0.2"/>
  <cols>
    <col min="1" max="1" width="5" bestFit="1" customWidth="1"/>
    <col min="2" max="2" width="14.42578125" bestFit="1" customWidth="1"/>
    <col min="3" max="3" width="9.85546875" customWidth="1"/>
  </cols>
  <sheetData>
    <row r="1" spans="1:3" x14ac:dyDescent="0.2">
      <c r="A1" s="27" t="s">
        <v>13</v>
      </c>
    </row>
    <row r="2" spans="1:3" x14ac:dyDescent="0.2">
      <c r="B2" t="s">
        <v>75</v>
      </c>
      <c r="C2" t="s">
        <v>84</v>
      </c>
    </row>
    <row r="3" spans="1:3" x14ac:dyDescent="0.2">
      <c r="B3" t="s">
        <v>76</v>
      </c>
      <c r="C3" t="s">
        <v>85</v>
      </c>
    </row>
    <row r="4" spans="1:3" x14ac:dyDescent="0.2">
      <c r="B4" t="s">
        <v>7</v>
      </c>
      <c r="C4" t="s">
        <v>74</v>
      </c>
    </row>
    <row r="5" spans="1:3" x14ac:dyDescent="0.2">
      <c r="B5" t="s">
        <v>10</v>
      </c>
      <c r="C5" t="s">
        <v>110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11</v>
      </c>
      <c r="C8" t="s">
        <v>125</v>
      </c>
    </row>
    <row r="9" spans="1:3" x14ac:dyDescent="0.2">
      <c r="C9" t="s">
        <v>124</v>
      </c>
    </row>
    <row r="10" spans="1:3" x14ac:dyDescent="0.2">
      <c r="C10" t="s">
        <v>126</v>
      </c>
    </row>
    <row r="11" spans="1:3" x14ac:dyDescent="0.2">
      <c r="B11" t="s">
        <v>77</v>
      </c>
    </row>
    <row r="12" spans="1:3" x14ac:dyDescent="0.2">
      <c r="C12" s="28" t="s">
        <v>80</v>
      </c>
    </row>
    <row r="15" spans="1:3" x14ac:dyDescent="0.2">
      <c r="C15" s="28" t="s">
        <v>81</v>
      </c>
    </row>
    <row r="18" spans="2:16" x14ac:dyDescent="0.2">
      <c r="C18" s="28" t="s">
        <v>94</v>
      </c>
    </row>
    <row r="21" spans="2:16" x14ac:dyDescent="0.2">
      <c r="C21" s="28" t="s">
        <v>93</v>
      </c>
    </row>
    <row r="24" spans="2:16" x14ac:dyDescent="0.2">
      <c r="C24" s="28" t="s">
        <v>112</v>
      </c>
    </row>
    <row r="25" spans="2:16" x14ac:dyDescent="0.2">
      <c r="C25">
        <v>2025</v>
      </c>
      <c r="D25">
        <f>C25+1</f>
        <v>2026</v>
      </c>
      <c r="E25">
        <f t="shared" ref="E25:L25" si="0">D25+1</f>
        <v>2027</v>
      </c>
      <c r="F25">
        <f t="shared" si="0"/>
        <v>2028</v>
      </c>
      <c r="G25">
        <f t="shared" si="0"/>
        <v>2029</v>
      </c>
      <c r="H25">
        <f t="shared" si="0"/>
        <v>2030</v>
      </c>
      <c r="I25">
        <f t="shared" si="0"/>
        <v>2031</v>
      </c>
      <c r="J25">
        <f t="shared" si="0"/>
        <v>2032</v>
      </c>
      <c r="K25">
        <f t="shared" si="0"/>
        <v>2033</v>
      </c>
      <c r="L25">
        <f t="shared" si="0"/>
        <v>2034</v>
      </c>
    </row>
    <row r="26" spans="2:16" x14ac:dyDescent="0.2">
      <c r="B26" t="s">
        <v>82</v>
      </c>
      <c r="C26" s="21">
        <f>15000*0.8</f>
        <v>12000</v>
      </c>
      <c r="D26" s="21">
        <f>C26*1.01</f>
        <v>12120</v>
      </c>
      <c r="E26" s="21">
        <f t="shared" ref="E26:L26" si="1">D26*1.01</f>
        <v>12241.2</v>
      </c>
      <c r="F26" s="21">
        <f t="shared" si="1"/>
        <v>12363.612000000001</v>
      </c>
      <c r="G26" s="21">
        <f t="shared" si="1"/>
        <v>12487.248120000002</v>
      </c>
      <c r="H26" s="21">
        <f t="shared" si="1"/>
        <v>12612.120601200002</v>
      </c>
      <c r="I26" s="21">
        <f t="shared" si="1"/>
        <v>12738.241807212002</v>
      </c>
      <c r="J26" s="21">
        <f t="shared" si="1"/>
        <v>12865.624225284122</v>
      </c>
      <c r="K26" s="21">
        <f t="shared" si="1"/>
        <v>12994.280467536963</v>
      </c>
      <c r="L26" s="21">
        <f t="shared" si="1"/>
        <v>13124.223272212332</v>
      </c>
      <c r="M26" s="21"/>
      <c r="N26" s="21"/>
      <c r="O26" s="21"/>
      <c r="P26" s="21"/>
    </row>
    <row r="27" spans="2:16" x14ac:dyDescent="0.2">
      <c r="B27" t="s">
        <v>83</v>
      </c>
      <c r="C27" s="21">
        <f>C26*0.02</f>
        <v>240</v>
      </c>
      <c r="D27" s="21">
        <f t="shared" ref="D27:L27" si="2">D26*0.02</f>
        <v>242.4</v>
      </c>
      <c r="E27" s="21">
        <f t="shared" si="2"/>
        <v>244.82400000000001</v>
      </c>
      <c r="F27" s="21">
        <f t="shared" si="2"/>
        <v>247.27224000000004</v>
      </c>
      <c r="G27" s="21">
        <f t="shared" si="2"/>
        <v>249.74496240000005</v>
      </c>
      <c r="H27" s="21">
        <f t="shared" si="2"/>
        <v>252.24241202400006</v>
      </c>
      <c r="I27" s="21">
        <f t="shared" si="2"/>
        <v>254.76483614424004</v>
      </c>
      <c r="J27" s="21">
        <f t="shared" si="2"/>
        <v>257.31248450568245</v>
      </c>
      <c r="K27" s="21">
        <f t="shared" si="2"/>
        <v>259.88560935073923</v>
      </c>
      <c r="L27" s="21">
        <f t="shared" si="2"/>
        <v>262.48446544424667</v>
      </c>
      <c r="M27" s="21"/>
      <c r="N27" s="21"/>
      <c r="O27" s="21"/>
      <c r="P27" s="21"/>
    </row>
    <row r="28" spans="2:16" x14ac:dyDescent="0.2">
      <c r="B28" t="s">
        <v>0</v>
      </c>
      <c r="C28" s="21">
        <v>3200000</v>
      </c>
      <c r="D28" s="21">
        <v>3200000</v>
      </c>
      <c r="E28" s="21">
        <v>3200000</v>
      </c>
      <c r="F28" s="21">
        <v>3200000</v>
      </c>
      <c r="G28" s="21">
        <v>3200000</v>
      </c>
      <c r="H28" s="21">
        <v>3200000</v>
      </c>
      <c r="I28" s="21">
        <v>3200000</v>
      </c>
      <c r="J28" s="21">
        <v>3200000</v>
      </c>
      <c r="K28" s="21">
        <v>3200000</v>
      </c>
      <c r="L28" s="21">
        <v>3200000</v>
      </c>
      <c r="M28" s="21"/>
      <c r="N28" s="21"/>
      <c r="O28" s="21"/>
      <c r="P28" s="21"/>
    </row>
    <row r="29" spans="2:16" x14ac:dyDescent="0.2">
      <c r="B29" t="s">
        <v>28</v>
      </c>
      <c r="C29" s="21">
        <f>C28*C27/1000000*0.85</f>
        <v>652.79999999999995</v>
      </c>
      <c r="D29" s="21">
        <f t="shared" ref="D29:L29" si="3">D28*D27/1000000*0.85</f>
        <v>659.32799999999997</v>
      </c>
      <c r="E29" s="21">
        <f t="shared" si="3"/>
        <v>665.92127999999991</v>
      </c>
      <c r="F29" s="21">
        <f t="shared" si="3"/>
        <v>672.58049280000012</v>
      </c>
      <c r="G29" s="21">
        <f t="shared" si="3"/>
        <v>679.30629772800012</v>
      </c>
      <c r="H29" s="21">
        <f t="shared" si="3"/>
        <v>686.09936070528011</v>
      </c>
      <c r="I29" s="21">
        <f t="shared" si="3"/>
        <v>692.96035431233292</v>
      </c>
      <c r="J29" s="21">
        <f t="shared" si="3"/>
        <v>699.88995785545626</v>
      </c>
      <c r="K29" s="21">
        <f t="shared" si="3"/>
        <v>706.88885743401067</v>
      </c>
      <c r="L29" s="21">
        <f t="shared" si="3"/>
        <v>713.95774600835091</v>
      </c>
      <c r="M29" s="21"/>
      <c r="N29" s="21"/>
      <c r="O29" s="21"/>
      <c r="P29" s="21"/>
    </row>
    <row r="31" spans="2:16" x14ac:dyDescent="0.2">
      <c r="B31" t="s">
        <v>55</v>
      </c>
      <c r="C31" s="26">
        <v>0.08</v>
      </c>
    </row>
    <row r="32" spans="2:16" x14ac:dyDescent="0.2">
      <c r="B32" t="s">
        <v>56</v>
      </c>
      <c r="C32" s="29">
        <f>NPV(C31,C29:XFD29)</f>
        <v>4554.177364201797</v>
      </c>
      <c r="D32" s="20"/>
      <c r="E32" s="20"/>
      <c r="F32" s="20"/>
      <c r="G32" s="20"/>
    </row>
    <row r="33" spans="3:3" x14ac:dyDescent="0.2">
      <c r="C33" t="s">
        <v>113</v>
      </c>
    </row>
    <row r="34" spans="3:3" x14ac:dyDescent="0.2">
      <c r="C34" t="s">
        <v>114</v>
      </c>
    </row>
  </sheetData>
  <hyperlinks>
    <hyperlink ref="A1" location="Main!A1" display="Main" xr:uid="{F4D7F899-E715-4F27-9DC1-97C1D482042E}"/>
  </hyperlink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12AF-8CB0-4381-BE7D-253674B7F7B2}">
  <dimension ref="A1:C9"/>
  <sheetViews>
    <sheetView zoomScale="130" zoomScaleNormal="130" workbookViewId="0">
      <selection activeCell="E32" sqref="E32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7" t="s">
        <v>13</v>
      </c>
    </row>
    <row r="2" spans="1:3" x14ac:dyDescent="0.2">
      <c r="B2" t="s">
        <v>75</v>
      </c>
    </row>
    <row r="3" spans="1:3" x14ac:dyDescent="0.2">
      <c r="B3" t="s">
        <v>76</v>
      </c>
    </row>
    <row r="4" spans="1:3" x14ac:dyDescent="0.2">
      <c r="B4" t="s">
        <v>7</v>
      </c>
      <c r="C4" t="s">
        <v>106</v>
      </c>
    </row>
    <row r="5" spans="1:3" x14ac:dyDescent="0.2">
      <c r="B5" t="s">
        <v>10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77</v>
      </c>
    </row>
    <row r="9" spans="1:3" x14ac:dyDescent="0.2">
      <c r="C9" t="s">
        <v>107</v>
      </c>
    </row>
  </sheetData>
  <hyperlinks>
    <hyperlink ref="A1" location="Main!A1" display="Main" xr:uid="{1F820F37-225C-40DA-963F-E4D8CD60692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602C2-867C-44AB-9B8C-1BF074121D29}">
  <dimension ref="A1:C10"/>
  <sheetViews>
    <sheetView zoomScale="130" zoomScaleNormal="130" workbookViewId="0">
      <selection activeCell="C11" sqref="C11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7" t="s">
        <v>13</v>
      </c>
    </row>
    <row r="2" spans="1:3" x14ac:dyDescent="0.2">
      <c r="B2" t="s">
        <v>75</v>
      </c>
    </row>
    <row r="3" spans="1:3" x14ac:dyDescent="0.2">
      <c r="B3" t="s">
        <v>76</v>
      </c>
    </row>
    <row r="4" spans="1:3" x14ac:dyDescent="0.2">
      <c r="B4" t="s">
        <v>7</v>
      </c>
      <c r="C4" t="s">
        <v>104</v>
      </c>
    </row>
    <row r="5" spans="1:3" x14ac:dyDescent="0.2">
      <c r="B5" t="s">
        <v>10</v>
      </c>
    </row>
    <row r="6" spans="1:3" x14ac:dyDescent="0.2">
      <c r="B6" t="s">
        <v>78</v>
      </c>
    </row>
    <row r="7" spans="1:3" x14ac:dyDescent="0.2">
      <c r="B7" t="s">
        <v>79</v>
      </c>
      <c r="C7" t="s">
        <v>102</v>
      </c>
    </row>
    <row r="8" spans="1:3" x14ac:dyDescent="0.2">
      <c r="B8" t="s">
        <v>77</v>
      </c>
    </row>
    <row r="9" spans="1:3" x14ac:dyDescent="0.2">
      <c r="C9" t="s">
        <v>105</v>
      </c>
    </row>
    <row r="10" spans="1:3" x14ac:dyDescent="0.2">
      <c r="C10" t="s">
        <v>109</v>
      </c>
    </row>
  </sheetData>
  <hyperlinks>
    <hyperlink ref="A1" location="Main!A1" display="Main" xr:uid="{536D2D40-8F15-4BE5-83F8-589C59FF31E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C050-9F2A-4A08-A168-79D717BC14CA}">
  <dimension ref="A1:C9"/>
  <sheetViews>
    <sheetView zoomScale="130" zoomScaleNormal="130" workbookViewId="0">
      <selection activeCell="E26" sqref="E26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7" t="s">
        <v>13</v>
      </c>
    </row>
    <row r="2" spans="1:3" x14ac:dyDescent="0.2">
      <c r="B2" t="s">
        <v>75</v>
      </c>
    </row>
    <row r="3" spans="1:3" x14ac:dyDescent="0.2">
      <c r="B3" t="s">
        <v>76</v>
      </c>
    </row>
    <row r="4" spans="1:3" x14ac:dyDescent="0.2">
      <c r="B4" t="s">
        <v>7</v>
      </c>
    </row>
    <row r="5" spans="1:3" x14ac:dyDescent="0.2">
      <c r="B5" t="s">
        <v>10</v>
      </c>
    </row>
    <row r="6" spans="1:3" x14ac:dyDescent="0.2">
      <c r="B6" t="s">
        <v>78</v>
      </c>
    </row>
    <row r="7" spans="1:3" x14ac:dyDescent="0.2">
      <c r="B7" t="s">
        <v>79</v>
      </c>
      <c r="C7" t="s">
        <v>103</v>
      </c>
    </row>
    <row r="8" spans="1:3" x14ac:dyDescent="0.2">
      <c r="B8" t="s">
        <v>77</v>
      </c>
    </row>
    <row r="9" spans="1:3" x14ac:dyDescent="0.2">
      <c r="C9" t="s">
        <v>108</v>
      </c>
    </row>
  </sheetData>
  <hyperlinks>
    <hyperlink ref="A1" location="Main!A1" display="Main" xr:uid="{7DE3D7C5-89AC-474D-9197-196E070A022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0F2A4-9ADA-433D-BCB4-1FF4E813C47E}">
  <dimension ref="A1:C11"/>
  <sheetViews>
    <sheetView zoomScale="130" zoomScaleNormal="130" workbookViewId="0">
      <selection activeCell="E27" sqref="E27"/>
    </sheetView>
  </sheetViews>
  <sheetFormatPr defaultRowHeight="12.75" x14ac:dyDescent="0.2"/>
  <cols>
    <col min="1" max="1" width="5" bestFit="1" customWidth="1"/>
    <col min="2" max="2" width="12" bestFit="1" customWidth="1"/>
  </cols>
  <sheetData>
    <row r="1" spans="1:3" x14ac:dyDescent="0.2">
      <c r="A1" s="27" t="s">
        <v>13</v>
      </c>
    </row>
    <row r="2" spans="1:3" x14ac:dyDescent="0.2">
      <c r="B2" t="s">
        <v>75</v>
      </c>
      <c r="C2" t="s">
        <v>122</v>
      </c>
    </row>
    <row r="3" spans="1:3" x14ac:dyDescent="0.2">
      <c r="B3" t="s">
        <v>76</v>
      </c>
      <c r="C3" t="s">
        <v>123</v>
      </c>
    </row>
    <row r="4" spans="1:3" x14ac:dyDescent="0.2">
      <c r="B4" t="s">
        <v>7</v>
      </c>
      <c r="C4" t="s">
        <v>117</v>
      </c>
    </row>
    <row r="5" spans="1:3" x14ac:dyDescent="0.2">
      <c r="B5" t="s">
        <v>10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77</v>
      </c>
    </row>
    <row r="9" spans="1:3" x14ac:dyDescent="0.2">
      <c r="C9" s="28" t="s">
        <v>120</v>
      </c>
    </row>
    <row r="11" spans="1:3" x14ac:dyDescent="0.2">
      <c r="C11" s="28" t="s">
        <v>121</v>
      </c>
    </row>
  </sheetData>
  <hyperlinks>
    <hyperlink ref="A1" location="Main!A1" display="Main" xr:uid="{B86D2320-D43C-4DF7-A258-66ED9E14EB8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Model</vt:lpstr>
      <vt:lpstr>IP</vt:lpstr>
      <vt:lpstr>Literature</vt:lpstr>
      <vt:lpstr>elevidys</vt:lpstr>
      <vt:lpstr>exondys</vt:lpstr>
      <vt:lpstr>vyondys</vt:lpstr>
      <vt:lpstr>amondys</vt:lpstr>
      <vt:lpstr>SRP-9003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2025-07-20T23:50:07Z</dcterms:created>
  <dcterms:modified xsi:type="dcterms:W3CDTF">2025-08-16T04:46:46Z</dcterms:modified>
</cp:coreProperties>
</file>