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0B50D1EC-DCA2-40C2-BA9A-3F56695FBB53}" xr6:coauthVersionLast="47" xr6:coauthVersionMax="47" xr10:uidLastSave="{00000000-0000-0000-0000-000000000000}"/>
  <bookViews>
    <workbookView xWindow="390" yWindow="900" windowWidth="21120" windowHeight="14670" activeTab="1" xr2:uid="{27F3582B-0D61-4416-BCF9-804F6891F11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2" l="1"/>
  <c r="R11" i="2"/>
  <c r="S11" i="2" s="1"/>
  <c r="T11" i="2" s="1"/>
  <c r="P11" i="2"/>
  <c r="Q5" i="2"/>
  <c r="R5" i="2"/>
  <c r="S5" i="2" s="1"/>
  <c r="T5" i="2" s="1"/>
  <c r="Q28" i="2"/>
  <c r="R28" i="2"/>
  <c r="S28" i="2"/>
  <c r="T28" i="2"/>
  <c r="P28" i="2"/>
  <c r="P6" i="2"/>
  <c r="P7" i="2" s="1"/>
  <c r="P5" i="2"/>
  <c r="N25" i="2"/>
  <c r="O25" i="2"/>
  <c r="N29" i="2"/>
  <c r="O29" i="2"/>
  <c r="M29" i="2"/>
  <c r="M25" i="2" s="1"/>
  <c r="O35" i="2"/>
  <c r="O33" i="2"/>
  <c r="O31" i="2" s="1"/>
  <c r="P13" i="2" s="1"/>
  <c r="P20" i="2"/>
  <c r="O20" i="2"/>
  <c r="N11" i="2"/>
  <c r="O11" i="2"/>
  <c r="M11" i="2"/>
  <c r="N5" i="2"/>
  <c r="N20" i="2" s="1"/>
  <c r="O5" i="2"/>
  <c r="O7" i="2" s="1"/>
  <c r="O23" i="2" s="1"/>
  <c r="M5" i="2"/>
  <c r="M7" i="2" s="1"/>
  <c r="M23" i="2" s="1"/>
  <c r="L1" i="2"/>
  <c r="M1" i="2" s="1"/>
  <c r="N1" i="2" s="1"/>
  <c r="O1" i="2" s="1"/>
  <c r="P1" i="2" s="1"/>
  <c r="Q1" i="2" s="1"/>
  <c r="R1" i="2" s="1"/>
  <c r="S1" i="2" s="1"/>
  <c r="T1" i="2" s="1"/>
  <c r="D7" i="1"/>
  <c r="D6" i="1"/>
  <c r="D5" i="1"/>
  <c r="D3" i="1"/>
  <c r="D4" i="1"/>
  <c r="N7" i="2" l="1"/>
  <c r="N23" i="2" s="1"/>
  <c r="M12" i="2"/>
  <c r="M14" i="2" s="1"/>
  <c r="Q20" i="2"/>
  <c r="R20" i="2"/>
  <c r="P12" i="2"/>
  <c r="R6" i="2"/>
  <c r="R7" i="2" s="1"/>
  <c r="Q6" i="2"/>
  <c r="Q7" i="2" s="1"/>
  <c r="Q12" i="2" s="1"/>
  <c r="Q24" i="2" s="1"/>
  <c r="S6" i="2"/>
  <c r="S7" i="2" s="1"/>
  <c r="N12" i="2"/>
  <c r="P14" i="2"/>
  <c r="P24" i="2"/>
  <c r="O12" i="2"/>
  <c r="N24" i="2"/>
  <c r="N14" i="2"/>
  <c r="M24" i="2"/>
  <c r="M16" i="2" l="1"/>
  <c r="M26" i="2" s="1"/>
  <c r="M21" i="2"/>
  <c r="N16" i="2"/>
  <c r="N26" i="2" s="1"/>
  <c r="N21" i="2"/>
  <c r="R12" i="2"/>
  <c r="R24" i="2" s="1"/>
  <c r="S20" i="2"/>
  <c r="P15" i="2"/>
  <c r="P16" i="2" s="1"/>
  <c r="P27" i="2" s="1"/>
  <c r="P29" i="2" s="1"/>
  <c r="P25" i="2" s="1"/>
  <c r="O24" i="2"/>
  <c r="O14" i="2"/>
  <c r="O16" i="2" l="1"/>
  <c r="O26" i="2" s="1"/>
  <c r="O21" i="2"/>
  <c r="P31" i="2"/>
  <c r="S12" i="2"/>
  <c r="T20" i="2"/>
  <c r="T6" i="2"/>
  <c r="T7" i="2" s="1"/>
  <c r="Q13" i="2" l="1"/>
  <c r="Q14" i="2" s="1"/>
  <c r="Q15" i="2" s="1"/>
  <c r="Q16" i="2" s="1"/>
  <c r="T12" i="2"/>
  <c r="S24" i="2"/>
  <c r="Q31" i="2" l="1"/>
  <c r="R13" i="2" s="1"/>
  <c r="R14" i="2" s="1"/>
  <c r="R15" i="2" s="1"/>
  <c r="R16" i="2" s="1"/>
  <c r="R27" i="2" s="1"/>
  <c r="R29" i="2" s="1"/>
  <c r="R25" i="2" s="1"/>
  <c r="Q27" i="2"/>
  <c r="Q29" i="2" s="1"/>
  <c r="T24" i="2"/>
  <c r="R31" i="2" l="1"/>
  <c r="S13" i="2" s="1"/>
  <c r="S14" i="2" s="1"/>
  <c r="S15" i="2" s="1"/>
  <c r="S16" i="2" s="1"/>
  <c r="S27" i="2" s="1"/>
  <c r="S29" i="2" s="1"/>
  <c r="S25" i="2" s="1"/>
  <c r="Q25" i="2"/>
  <c r="S31" i="2" l="1"/>
  <c r="T13" i="2" l="1"/>
  <c r="T14" i="2" s="1"/>
  <c r="T15" i="2" s="1"/>
  <c r="T16" i="2" s="1"/>
  <c r="U16" i="2" s="1"/>
  <c r="V16" i="2" s="1"/>
  <c r="W16" i="2" s="1"/>
  <c r="X16" i="2" s="1"/>
  <c r="Y16" i="2" s="1"/>
  <c r="Z16" i="2" l="1"/>
  <c r="AA16" i="2" s="1"/>
  <c r="AB16" i="2" s="1"/>
  <c r="AC16" i="2" s="1"/>
  <c r="AD16" i="2" s="1"/>
  <c r="AE16" i="2" s="1"/>
  <c r="AF16" i="2" s="1"/>
  <c r="AG16" i="2" s="1"/>
  <c r="AH16" i="2" s="1"/>
  <c r="AI16" i="2" s="1"/>
  <c r="AJ16" i="2" s="1"/>
  <c r="AK16" i="2" s="1"/>
  <c r="AL16" i="2" s="1"/>
  <c r="AM16" i="2" s="1"/>
  <c r="AN16" i="2" s="1"/>
  <c r="AO16" i="2" s="1"/>
  <c r="AP16" i="2" s="1"/>
  <c r="AQ16" i="2" s="1"/>
  <c r="AR16" i="2" s="1"/>
  <c r="AS16" i="2" s="1"/>
  <c r="AT16" i="2" s="1"/>
  <c r="AU16" i="2" s="1"/>
  <c r="AV16" i="2" s="1"/>
  <c r="AW16" i="2" s="1"/>
  <c r="AX16" i="2" s="1"/>
  <c r="AY16" i="2" s="1"/>
  <c r="AZ16" i="2" s="1"/>
  <c r="BA16" i="2" s="1"/>
  <c r="BB16" i="2" s="1"/>
  <c r="BC16" i="2" s="1"/>
  <c r="BD16" i="2" s="1"/>
  <c r="BE16" i="2" s="1"/>
  <c r="BF16" i="2" s="1"/>
  <c r="BG16" i="2" s="1"/>
  <c r="BH16" i="2" s="1"/>
  <c r="BI16" i="2" s="1"/>
  <c r="BJ16" i="2" s="1"/>
  <c r="BK16" i="2" s="1"/>
  <c r="BL16" i="2" s="1"/>
  <c r="BM16" i="2" s="1"/>
  <c r="BN16" i="2" s="1"/>
  <c r="BO16" i="2" s="1"/>
  <c r="BP16" i="2" s="1"/>
  <c r="BQ16" i="2" s="1"/>
  <c r="BR16" i="2" s="1"/>
  <c r="BS16" i="2" s="1"/>
  <c r="BT16" i="2" s="1"/>
  <c r="BU16" i="2" s="1"/>
  <c r="BV16" i="2" s="1"/>
  <c r="BW16" i="2" s="1"/>
  <c r="BX16" i="2" s="1"/>
  <c r="BY16" i="2" s="1"/>
  <c r="BZ16" i="2" s="1"/>
  <c r="CA16" i="2" s="1"/>
  <c r="CB16" i="2" s="1"/>
  <c r="CC16" i="2" s="1"/>
  <c r="CD16" i="2" s="1"/>
  <c r="CE16" i="2" s="1"/>
  <c r="CF16" i="2" s="1"/>
  <c r="CG16" i="2" s="1"/>
  <c r="CH16" i="2" s="1"/>
  <c r="CI16" i="2" s="1"/>
  <c r="CJ16" i="2" s="1"/>
  <c r="CK16" i="2" s="1"/>
  <c r="CL16" i="2" s="1"/>
  <c r="CM16" i="2" s="1"/>
  <c r="CN16" i="2" s="1"/>
  <c r="CO16" i="2" s="1"/>
  <c r="CP16" i="2" s="1"/>
  <c r="CQ16" i="2" s="1"/>
  <c r="CR16" i="2" s="1"/>
  <c r="CS16" i="2" s="1"/>
  <c r="CT16" i="2" s="1"/>
  <c r="CU16" i="2" s="1"/>
  <c r="CV16" i="2" s="1"/>
  <c r="CW16" i="2" s="1"/>
  <c r="CX16" i="2" s="1"/>
  <c r="CY16" i="2" s="1"/>
  <c r="CZ16" i="2" s="1"/>
  <c r="DA16" i="2" s="1"/>
  <c r="DB16" i="2" s="1"/>
  <c r="DC16" i="2" s="1"/>
  <c r="DD16" i="2" s="1"/>
  <c r="DE16" i="2" s="1"/>
  <c r="DF16" i="2" s="1"/>
  <c r="DG16" i="2" s="1"/>
  <c r="T27" i="2"/>
  <c r="T29" i="2" s="1"/>
  <c r="U29" i="2" s="1"/>
  <c r="V29" i="2" s="1"/>
  <c r="W29" i="2" s="1"/>
  <c r="X29" i="2" s="1"/>
  <c r="Y29" i="2" s="1"/>
  <c r="T31" i="2"/>
  <c r="T25" i="2" l="1"/>
  <c r="Z29" i="2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AL29" i="2" s="1"/>
  <c r="AM29" i="2" s="1"/>
  <c r="AN29" i="2" s="1"/>
  <c r="AO29" i="2" s="1"/>
  <c r="AP29" i="2" s="1"/>
  <c r="AQ29" i="2" s="1"/>
  <c r="AR29" i="2" s="1"/>
  <c r="AS29" i="2" s="1"/>
  <c r="AT29" i="2" s="1"/>
  <c r="AU29" i="2" s="1"/>
  <c r="AV29" i="2" s="1"/>
  <c r="AW29" i="2" s="1"/>
  <c r="AX29" i="2" s="1"/>
  <c r="AY29" i="2" s="1"/>
  <c r="AZ29" i="2" s="1"/>
  <c r="BA29" i="2" s="1"/>
  <c r="BB29" i="2" s="1"/>
  <c r="BC29" i="2" s="1"/>
  <c r="BD29" i="2" s="1"/>
  <c r="BE29" i="2" s="1"/>
  <c r="BF29" i="2" s="1"/>
  <c r="BG29" i="2" s="1"/>
  <c r="BH29" i="2" s="1"/>
  <c r="BI29" i="2" s="1"/>
  <c r="BJ29" i="2" s="1"/>
  <c r="BK29" i="2" s="1"/>
  <c r="BL29" i="2" s="1"/>
  <c r="BM29" i="2" s="1"/>
  <c r="BN29" i="2" s="1"/>
  <c r="BO29" i="2" s="1"/>
  <c r="BP29" i="2" s="1"/>
  <c r="BQ29" i="2" s="1"/>
  <c r="BR29" i="2" s="1"/>
  <c r="BS29" i="2" s="1"/>
  <c r="BT29" i="2" s="1"/>
  <c r="BU29" i="2" s="1"/>
  <c r="BV29" i="2" s="1"/>
  <c r="BW29" i="2" s="1"/>
  <c r="BX29" i="2" s="1"/>
  <c r="BY29" i="2" s="1"/>
  <c r="BZ29" i="2" s="1"/>
  <c r="CA29" i="2" s="1"/>
  <c r="CB29" i="2" s="1"/>
  <c r="CC29" i="2" s="1"/>
  <c r="CD29" i="2" s="1"/>
  <c r="CE29" i="2" s="1"/>
  <c r="CF29" i="2" s="1"/>
  <c r="CG29" i="2" s="1"/>
  <c r="CH29" i="2" s="1"/>
  <c r="CI29" i="2" s="1"/>
  <c r="CJ29" i="2" s="1"/>
  <c r="CK29" i="2" s="1"/>
  <c r="CL29" i="2" s="1"/>
  <c r="CM29" i="2" s="1"/>
  <c r="CN29" i="2" s="1"/>
  <c r="CO29" i="2" s="1"/>
  <c r="CP29" i="2" s="1"/>
  <c r="CQ29" i="2" s="1"/>
  <c r="CR29" i="2" s="1"/>
  <c r="CS29" i="2" s="1"/>
  <c r="CT29" i="2" s="1"/>
  <c r="CU29" i="2" s="1"/>
  <c r="CV29" i="2" s="1"/>
  <c r="CW29" i="2" s="1"/>
  <c r="CX29" i="2" s="1"/>
  <c r="CY29" i="2" s="1"/>
  <c r="CZ29" i="2" s="1"/>
  <c r="DA29" i="2" s="1"/>
  <c r="DB29" i="2" s="1"/>
  <c r="DC29" i="2" s="1"/>
  <c r="DD29" i="2" s="1"/>
  <c r="DE29" i="2" s="1"/>
  <c r="DF29" i="2" s="1"/>
  <c r="DG29" i="2" s="1"/>
  <c r="DH29" i="2" s="1"/>
  <c r="DI29" i="2" s="1"/>
  <c r="DJ29" i="2" s="1"/>
  <c r="DK29" i="2" s="1"/>
  <c r="W22" i="2" l="1"/>
  <c r="W23" i="2" s="1"/>
  <c r="W24" i="2" s="1"/>
</calcChain>
</file>

<file path=xl/sharedStrings.xml><?xml version="1.0" encoding="utf-8"?>
<sst xmlns="http://schemas.openxmlformats.org/spreadsheetml/2006/main" count="49" uniqueCount="45">
  <si>
    <t>META</t>
  </si>
  <si>
    <t>Price</t>
  </si>
  <si>
    <t>Shares</t>
  </si>
  <si>
    <t>MC</t>
  </si>
  <si>
    <t>Cash</t>
  </si>
  <si>
    <t>Debt</t>
  </si>
  <si>
    <t>EV</t>
  </si>
  <si>
    <t>Revenue</t>
  </si>
  <si>
    <t>COGS</t>
  </si>
  <si>
    <t>Gross Profit</t>
  </si>
  <si>
    <t>R&amp;D</t>
  </si>
  <si>
    <t>Advertising</t>
  </si>
  <si>
    <t>Reality Labs</t>
  </si>
  <si>
    <t>S&amp;M</t>
  </si>
  <si>
    <t>G&amp;A</t>
  </si>
  <si>
    <t>OPEX</t>
  </si>
  <si>
    <t>Operating Income</t>
  </si>
  <si>
    <t>Pretax Income</t>
  </si>
  <si>
    <t>Interest</t>
  </si>
  <si>
    <t>Tax</t>
  </si>
  <si>
    <t>Net Income</t>
  </si>
  <si>
    <t>EPS</t>
  </si>
  <si>
    <t>Revenue Growth</t>
  </si>
  <si>
    <t>Gross Margin</t>
  </si>
  <si>
    <t>Operating Margin</t>
  </si>
  <si>
    <t>FCF Margin</t>
  </si>
  <si>
    <t>CFFO</t>
  </si>
  <si>
    <t>CX</t>
  </si>
  <si>
    <t>FCF</t>
  </si>
  <si>
    <t>Net Cash</t>
  </si>
  <si>
    <t>Tax Rate</t>
  </si>
  <si>
    <t>Q124</t>
  </si>
  <si>
    <t>Q224</t>
  </si>
  <si>
    <t>Q324</t>
  </si>
  <si>
    <t>Q424</t>
  </si>
  <si>
    <t>Q125</t>
  </si>
  <si>
    <t>Q225</t>
  </si>
  <si>
    <t>Q325</t>
  </si>
  <si>
    <t>Q425</t>
  </si>
  <si>
    <t>Other</t>
  </si>
  <si>
    <t>ROIC</t>
  </si>
  <si>
    <t>Maturity</t>
  </si>
  <si>
    <t>Discount</t>
  </si>
  <si>
    <t>NPV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</si>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</sst>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1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0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0</xdr:row>
      <xdr:rowOff>9525</xdr:rowOff>
    </xdr:from>
    <xdr:to>
      <xdr:col>5</xdr:col>
      <xdr:colOff>9525</xdr:colOff>
      <xdr:row>37</xdr:row>
      <xdr:rowOff>85725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BD6462B-F670-65B3-047A-AE81BBCF0E31}"/>
            </a:ext>
          </a:extLst>
        </xdr:cNvPr>
        <xdr:cNvCxnSpPr/>
      </xdr:nvCxnSpPr>
      <xdr:spPr>
        <a:xfrm>
          <a:off x="3552825" y="9525"/>
          <a:ext cx="28575" cy="6934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0</xdr:row>
      <xdr:rowOff>0</xdr:rowOff>
    </xdr:from>
    <xdr:to>
      <xdr:col>15</xdr:col>
      <xdr:colOff>28575</xdr:colOff>
      <xdr:row>37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C633B661-B4C6-40FF-91D5-EDE21B27AAA1}"/>
            </a:ext>
          </a:extLst>
        </xdr:cNvPr>
        <xdr:cNvCxnSpPr/>
      </xdr:nvCxnSpPr>
      <xdr:spPr>
        <a:xfrm>
          <a:off x="9667875" y="0"/>
          <a:ext cx="28575" cy="69342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B066-5213-42B1-820E-C438AF6621F9}">
  <dimension ref="A1:D7"/>
  <sheetViews>
    <sheetView zoomScale="265" zoomScaleNormal="265" workbookViewId="0">
      <selection activeCell="D2" sqref="D2"/>
    </sheetView>
  </sheetViews>
  <sheetFormatPr defaultRowHeight="15" x14ac:dyDescent="0.25"/>
  <cols>
    <col min="4" max="4" width="10" customWidth="1"/>
  </cols>
  <sheetData>
    <row r="1" spans="1:4" x14ac:dyDescent="0.25">
      <c r="A1" s="1" t="s">
        <v>0</v>
      </c>
    </row>
    <row r="2" spans="1:4" x14ac:dyDescent="0.25">
      <c r="C2" t="s">
        <v>1</v>
      </c>
      <c r="D2" s="2">
        <v>597</v>
      </c>
    </row>
    <row r="3" spans="1:4" x14ac:dyDescent="0.25">
      <c r="C3" t="s">
        <v>2</v>
      </c>
      <c r="D3" s="2">
        <f>2189.9+343.8</f>
        <v>2533.7000000000003</v>
      </c>
    </row>
    <row r="4" spans="1:4" x14ac:dyDescent="0.25">
      <c r="C4" t="s">
        <v>3</v>
      </c>
      <c r="D4" s="2">
        <f>D3*D2</f>
        <v>1512618.9000000001</v>
      </c>
    </row>
    <row r="5" spans="1:4" x14ac:dyDescent="0.25">
      <c r="C5" t="s">
        <v>4</v>
      </c>
      <c r="D5" s="2">
        <f>43889+33926</f>
        <v>77815</v>
      </c>
    </row>
    <row r="6" spans="1:4" x14ac:dyDescent="0.25">
      <c r="C6" t="s">
        <v>5</v>
      </c>
      <c r="D6" s="2">
        <f>28826+9987+2716</f>
        <v>41529</v>
      </c>
    </row>
    <row r="7" spans="1:4" x14ac:dyDescent="0.25">
      <c r="C7" t="s">
        <v>6</v>
      </c>
      <c r="D7" s="2">
        <f>D4+D6-D5</f>
        <v>1476332.9000000001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5AA4-BDC3-4CA3-B5F0-D343E2844B7B}">
  <dimension ref="A1:DK35"/>
  <sheetViews>
    <sheetView tabSelected="1" workbookViewId="0">
      <pane xSplit="1" ySplit="1" topLeftCell="I4" activePane="bottomRight" state="frozen"/>
      <selection pane="topRight" activeCell="B1" sqref="B1"/>
      <selection pane="bottomLeft" activeCell="A2" sqref="A2"/>
      <selection pane="bottomRight" activeCell="W21" sqref="W21"/>
    </sheetView>
  </sheetViews>
  <sheetFormatPr defaultRowHeight="15" x14ac:dyDescent="0.25"/>
  <cols>
    <col min="1" max="1" width="17" style="2" customWidth="1"/>
    <col min="2" max="4" width="9.140625" style="2"/>
    <col min="5" max="5" width="9.140625" style="2" customWidth="1"/>
    <col min="6" max="15" width="9.140625" style="2"/>
    <col min="16" max="16" width="9.5703125" style="2" bestFit="1" customWidth="1"/>
    <col min="17" max="16384" width="9.140625" style="2"/>
  </cols>
  <sheetData>
    <row r="1" spans="1:111" x14ac:dyDescent="0.25">
      <c r="B1" s="2" t="s">
        <v>31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  <c r="I1" s="2" t="s">
        <v>38</v>
      </c>
      <c r="K1" s="4">
        <v>2020</v>
      </c>
      <c r="L1" s="4">
        <f>K1+1</f>
        <v>2021</v>
      </c>
      <c r="M1" s="4">
        <f t="shared" ref="M1:T1" si="0">L1+1</f>
        <v>2022</v>
      </c>
      <c r="N1" s="4">
        <f t="shared" si="0"/>
        <v>2023</v>
      </c>
      <c r="O1" s="4">
        <f t="shared" si="0"/>
        <v>2024</v>
      </c>
      <c r="P1" s="4">
        <f t="shared" si="0"/>
        <v>2025</v>
      </c>
      <c r="Q1" s="4">
        <f t="shared" si="0"/>
        <v>2026</v>
      </c>
      <c r="R1" s="4">
        <f t="shared" si="0"/>
        <v>2027</v>
      </c>
      <c r="S1" s="4">
        <f t="shared" si="0"/>
        <v>2028</v>
      </c>
      <c r="T1" s="4">
        <f t="shared" si="0"/>
        <v>2029</v>
      </c>
    </row>
    <row r="2" spans="1:111" x14ac:dyDescent="0.25">
      <c r="A2" s="2" t="s">
        <v>11</v>
      </c>
      <c r="M2" s="2">
        <v>113642</v>
      </c>
      <c r="N2" s="2">
        <v>131948</v>
      </c>
      <c r="O2" s="2">
        <v>160633</v>
      </c>
    </row>
    <row r="3" spans="1:111" x14ac:dyDescent="0.25">
      <c r="A3" s="2" t="s">
        <v>39</v>
      </c>
      <c r="M3" s="2">
        <v>808</v>
      </c>
      <c r="N3" s="2">
        <v>1058</v>
      </c>
      <c r="O3" s="2">
        <v>1722</v>
      </c>
    </row>
    <row r="4" spans="1:111" x14ac:dyDescent="0.25">
      <c r="A4" s="2" t="s">
        <v>12</v>
      </c>
      <c r="M4" s="2">
        <v>2159</v>
      </c>
      <c r="N4" s="2">
        <v>1896</v>
      </c>
      <c r="O4" s="2">
        <v>2146</v>
      </c>
    </row>
    <row r="5" spans="1:111" s="3" customFormat="1" x14ac:dyDescent="0.25">
      <c r="A5" s="3" t="s">
        <v>7</v>
      </c>
      <c r="M5" s="3">
        <f>SUM(M2:M4)</f>
        <v>116609</v>
      </c>
      <c r="N5" s="3">
        <f t="shared" ref="N5:O5" si="1">SUM(N2:N4)</f>
        <v>134902</v>
      </c>
      <c r="O5" s="3">
        <f t="shared" si="1"/>
        <v>164501</v>
      </c>
      <c r="P5" s="3">
        <f>O5*1.14</f>
        <v>187531.13999999998</v>
      </c>
      <c r="Q5" s="3">
        <f t="shared" ref="Q5:T5" si="2">P5*1.14</f>
        <v>213785.49959999995</v>
      </c>
      <c r="R5" s="3">
        <f t="shared" si="2"/>
        <v>243715.46954399993</v>
      </c>
      <c r="S5" s="3">
        <f t="shared" si="2"/>
        <v>277835.63528015988</v>
      </c>
      <c r="T5" s="3">
        <f t="shared" si="2"/>
        <v>316732.62421938224</v>
      </c>
    </row>
    <row r="6" spans="1:111" x14ac:dyDescent="0.25">
      <c r="A6" s="2" t="s">
        <v>8</v>
      </c>
      <c r="M6" s="2">
        <v>25249</v>
      </c>
      <c r="N6" s="2">
        <v>25959</v>
      </c>
      <c r="O6" s="2">
        <v>30161</v>
      </c>
      <c r="P6" s="2">
        <f>P5*(1-P23)</f>
        <v>33755.605200000005</v>
      </c>
      <c r="Q6" s="2">
        <f t="shared" ref="Q6:T6" si="3">Q5*(1-Q23)</f>
        <v>38481.389928000004</v>
      </c>
      <c r="R6" s="2">
        <f t="shared" si="3"/>
        <v>43868.784517920001</v>
      </c>
      <c r="S6" s="2">
        <f t="shared" si="3"/>
        <v>50010.414350428793</v>
      </c>
      <c r="T6" s="2">
        <f t="shared" si="3"/>
        <v>57011.872359488822</v>
      </c>
    </row>
    <row r="7" spans="1:111" x14ac:dyDescent="0.25">
      <c r="A7" s="2" t="s">
        <v>9</v>
      </c>
      <c r="M7" s="2">
        <f>M5-M6</f>
        <v>91360</v>
      </c>
      <c r="N7" s="2">
        <f t="shared" ref="N7:T7" si="4">N5-N6</f>
        <v>108943</v>
      </c>
      <c r="O7" s="2">
        <f t="shared" si="4"/>
        <v>134340</v>
      </c>
      <c r="P7" s="2">
        <f t="shared" si="4"/>
        <v>153775.53479999996</v>
      </c>
      <c r="Q7" s="2">
        <f t="shared" si="4"/>
        <v>175304.10967199993</v>
      </c>
      <c r="R7" s="2">
        <f t="shared" si="4"/>
        <v>199846.68502607994</v>
      </c>
      <c r="S7" s="2">
        <f t="shared" si="4"/>
        <v>227825.22092973109</v>
      </c>
      <c r="T7" s="2">
        <f t="shared" si="4"/>
        <v>259720.75185989341</v>
      </c>
    </row>
    <row r="8" spans="1:111" x14ac:dyDescent="0.25">
      <c r="A8" s="2" t="s">
        <v>10</v>
      </c>
      <c r="M8" s="2">
        <v>35338</v>
      </c>
      <c r="N8" s="2">
        <v>38483</v>
      </c>
      <c r="O8" s="2">
        <v>43873</v>
      </c>
    </row>
    <row r="9" spans="1:111" x14ac:dyDescent="0.25">
      <c r="A9" s="2" t="s">
        <v>13</v>
      </c>
      <c r="M9" s="2">
        <v>15262</v>
      </c>
      <c r="N9" s="2">
        <v>12301</v>
      </c>
      <c r="O9" s="2">
        <v>11347</v>
      </c>
    </row>
    <row r="10" spans="1:111" x14ac:dyDescent="0.25">
      <c r="A10" s="2" t="s">
        <v>14</v>
      </c>
      <c r="M10" s="2">
        <v>11816</v>
      </c>
      <c r="N10" s="2">
        <v>11408</v>
      </c>
      <c r="O10" s="2">
        <v>9740</v>
      </c>
    </row>
    <row r="11" spans="1:111" x14ac:dyDescent="0.25">
      <c r="A11" s="2" t="s">
        <v>15</v>
      </c>
      <c r="M11" s="2">
        <f>SUM(M8:M10)</f>
        <v>62416</v>
      </c>
      <c r="N11" s="2">
        <f t="shared" ref="N11:O11" si="5">SUM(N8:N10)</f>
        <v>62192</v>
      </c>
      <c r="O11" s="2">
        <f t="shared" si="5"/>
        <v>64960</v>
      </c>
      <c r="P11" s="2">
        <f>O11*1.06</f>
        <v>68857.600000000006</v>
      </c>
      <c r="Q11" s="2">
        <f t="shared" ref="Q11:T11" si="6">P11*1.06</f>
        <v>72989.056000000011</v>
      </c>
      <c r="R11" s="2">
        <f t="shared" si="6"/>
        <v>77368.39936000001</v>
      </c>
      <c r="S11" s="2">
        <f t="shared" si="6"/>
        <v>82010.503321600016</v>
      </c>
      <c r="T11" s="2">
        <f t="shared" si="6"/>
        <v>86931.133520896023</v>
      </c>
    </row>
    <row r="12" spans="1:111" x14ac:dyDescent="0.25">
      <c r="A12" s="2" t="s">
        <v>16</v>
      </c>
      <c r="M12" s="2">
        <f>M7-M11</f>
        <v>28944</v>
      </c>
      <c r="N12" s="2">
        <f t="shared" ref="N12:T12" si="7">N7-N11</f>
        <v>46751</v>
      </c>
      <c r="O12" s="2">
        <f t="shared" si="7"/>
        <v>69380</v>
      </c>
      <c r="P12" s="2">
        <f t="shared" si="7"/>
        <v>84917.934799999959</v>
      </c>
      <c r="Q12" s="2">
        <f t="shared" si="7"/>
        <v>102315.05367199992</v>
      </c>
      <c r="R12" s="2">
        <f t="shared" si="7"/>
        <v>122478.28566607993</v>
      </c>
      <c r="S12" s="2">
        <f t="shared" si="7"/>
        <v>145814.71760813106</v>
      </c>
      <c r="T12" s="2">
        <f t="shared" si="7"/>
        <v>172789.61833899739</v>
      </c>
    </row>
    <row r="13" spans="1:111" x14ac:dyDescent="0.25">
      <c r="A13" s="2" t="s">
        <v>18</v>
      </c>
      <c r="M13" s="2">
        <v>-125</v>
      </c>
      <c r="N13" s="2">
        <v>677</v>
      </c>
      <c r="O13" s="2">
        <v>1283</v>
      </c>
      <c r="P13" s="2">
        <f>O31*$W$19</f>
        <v>2177.16</v>
      </c>
      <c r="Q13" s="2">
        <f>P31*$W$19</f>
        <v>6305.4674935199973</v>
      </c>
      <c r="R13" s="2">
        <f>Q31*$W$19</f>
        <v>11454.080196765641</v>
      </c>
      <c r="S13" s="2">
        <f>R31*$W$19</f>
        <v>17802.47433866452</v>
      </c>
      <c r="T13" s="2">
        <f>S31*$W$19</f>
        <v>25557.929236942633</v>
      </c>
    </row>
    <row r="14" spans="1:111" x14ac:dyDescent="0.25">
      <c r="A14" s="2" t="s">
        <v>17</v>
      </c>
      <c r="M14" s="2">
        <f>M12+M13</f>
        <v>28819</v>
      </c>
      <c r="N14" s="2">
        <f t="shared" ref="N14:T14" si="8">N12+N13</f>
        <v>47428</v>
      </c>
      <c r="O14" s="2">
        <f t="shared" si="8"/>
        <v>70663</v>
      </c>
      <c r="P14" s="2">
        <f t="shared" si="8"/>
        <v>87095.094799999963</v>
      </c>
      <c r="Q14" s="2">
        <f t="shared" si="8"/>
        <v>108620.52116551992</v>
      </c>
      <c r="R14" s="2">
        <f t="shared" si="8"/>
        <v>133932.36586284556</v>
      </c>
      <c r="S14" s="2">
        <f t="shared" si="8"/>
        <v>163617.19194679559</v>
      </c>
      <c r="T14" s="2">
        <f t="shared" si="8"/>
        <v>198347.54757594003</v>
      </c>
    </row>
    <row r="15" spans="1:111" x14ac:dyDescent="0.25">
      <c r="A15" s="2" t="s">
        <v>19</v>
      </c>
      <c r="M15" s="2">
        <v>5619</v>
      </c>
      <c r="N15" s="2">
        <v>8330</v>
      </c>
      <c r="O15" s="2">
        <v>8303</v>
      </c>
      <c r="P15" s="2">
        <f>P14*P21</f>
        <v>18289.969907999992</v>
      </c>
      <c r="Q15" s="2">
        <f t="shared" ref="Q15:T15" si="9">Q14*Q21</f>
        <v>22810.309444759183</v>
      </c>
      <c r="R15" s="2">
        <f t="shared" si="9"/>
        <v>28125.796831197567</v>
      </c>
      <c r="S15" s="2">
        <f t="shared" si="9"/>
        <v>34359.610308827076</v>
      </c>
      <c r="T15" s="2">
        <f t="shared" si="9"/>
        <v>41652.984990947407</v>
      </c>
    </row>
    <row r="16" spans="1:111" s="3" customFormat="1" x14ac:dyDescent="0.25">
      <c r="A16" s="3" t="s">
        <v>20</v>
      </c>
      <c r="M16" s="3">
        <f>M14-M15</f>
        <v>23200</v>
      </c>
      <c r="N16" s="3">
        <f t="shared" ref="N16:T16" si="10">N14-N15</f>
        <v>39098</v>
      </c>
      <c r="O16" s="3">
        <f t="shared" si="10"/>
        <v>62360</v>
      </c>
      <c r="P16" s="3">
        <f t="shared" si="10"/>
        <v>68805.124891999963</v>
      </c>
      <c r="Q16" s="3">
        <f t="shared" si="10"/>
        <v>85810.211720760737</v>
      </c>
      <c r="R16" s="3">
        <f t="shared" si="10"/>
        <v>105806.56903164799</v>
      </c>
      <c r="S16" s="3">
        <f t="shared" si="10"/>
        <v>129257.58163796851</v>
      </c>
      <c r="T16" s="3">
        <f t="shared" si="10"/>
        <v>156694.56258499261</v>
      </c>
      <c r="U16" s="3">
        <f t="shared" ref="U16:AZ16" si="11">T16*(1+$W$20)</f>
        <v>158261.50821084256</v>
      </c>
      <c r="V16" s="3">
        <f t="shared" si="11"/>
        <v>159844.12329295097</v>
      </c>
      <c r="W16" s="3">
        <f t="shared" si="11"/>
        <v>161442.56452588047</v>
      </c>
      <c r="X16" s="3">
        <f t="shared" si="11"/>
        <v>163056.99017113927</v>
      </c>
      <c r="Y16" s="3">
        <f t="shared" si="11"/>
        <v>164687.56007285067</v>
      </c>
      <c r="Z16" s="3">
        <f t="shared" si="11"/>
        <v>166334.43567357917</v>
      </c>
      <c r="AA16" s="3">
        <f t="shared" si="11"/>
        <v>167997.78003031496</v>
      </c>
      <c r="AB16" s="3">
        <f t="shared" si="11"/>
        <v>169677.75783061809</v>
      </c>
      <c r="AC16" s="3">
        <f t="shared" si="11"/>
        <v>171374.53540892428</v>
      </c>
      <c r="AD16" s="3">
        <f t="shared" si="11"/>
        <v>173088.28076301352</v>
      </c>
      <c r="AE16" s="3">
        <f t="shared" si="11"/>
        <v>174819.16357064366</v>
      </c>
      <c r="AF16" s="3">
        <f t="shared" si="11"/>
        <v>176567.3552063501</v>
      </c>
      <c r="AG16" s="3">
        <f t="shared" si="11"/>
        <v>178333.02875841359</v>
      </c>
      <c r="AH16" s="3">
        <f t="shared" si="11"/>
        <v>180116.35904599773</v>
      </c>
      <c r="AI16" s="3">
        <f t="shared" si="11"/>
        <v>181917.5226364577</v>
      </c>
      <c r="AJ16" s="3">
        <f t="shared" si="11"/>
        <v>183736.69786282227</v>
      </c>
      <c r="AK16" s="3">
        <f t="shared" si="11"/>
        <v>185574.06484145048</v>
      </c>
      <c r="AL16" s="3">
        <f t="shared" si="11"/>
        <v>187429.80548986499</v>
      </c>
      <c r="AM16" s="3">
        <f t="shared" si="11"/>
        <v>189304.10354476364</v>
      </c>
      <c r="AN16" s="3">
        <f t="shared" si="11"/>
        <v>191197.14458021129</v>
      </c>
      <c r="AO16" s="3">
        <f t="shared" si="11"/>
        <v>193109.11602601339</v>
      </c>
      <c r="AP16" s="3">
        <f t="shared" si="11"/>
        <v>195040.20718627353</v>
      </c>
      <c r="AQ16" s="3">
        <f t="shared" si="11"/>
        <v>196990.60925813628</v>
      </c>
      <c r="AR16" s="3">
        <f t="shared" si="11"/>
        <v>198960.51535071764</v>
      </c>
      <c r="AS16" s="3">
        <f t="shared" si="11"/>
        <v>200950.12050422482</v>
      </c>
      <c r="AT16" s="3">
        <f t="shared" si="11"/>
        <v>202959.62170926706</v>
      </c>
      <c r="AU16" s="3">
        <f t="shared" si="11"/>
        <v>204989.21792635974</v>
      </c>
      <c r="AV16" s="3">
        <f t="shared" si="11"/>
        <v>207039.11010562335</v>
      </c>
      <c r="AW16" s="3">
        <f t="shared" si="11"/>
        <v>209109.50120667959</v>
      </c>
      <c r="AX16" s="3">
        <f t="shared" si="11"/>
        <v>211200.59621874639</v>
      </c>
      <c r="AY16" s="3">
        <f t="shared" si="11"/>
        <v>213312.60218093384</v>
      </c>
      <c r="AZ16" s="3">
        <f t="shared" si="11"/>
        <v>215445.72820274319</v>
      </c>
      <c r="BA16" s="3">
        <f t="shared" ref="BA16:CF16" si="12">AZ16*(1+$W$20)</f>
        <v>217600.18548477063</v>
      </c>
      <c r="BB16" s="3">
        <f t="shared" si="12"/>
        <v>219776.18733961834</v>
      </c>
      <c r="BC16" s="3">
        <f t="shared" si="12"/>
        <v>221973.94921301451</v>
      </c>
      <c r="BD16" s="3">
        <f t="shared" si="12"/>
        <v>224193.68870514465</v>
      </c>
      <c r="BE16" s="3">
        <f t="shared" si="12"/>
        <v>226435.6255921961</v>
      </c>
      <c r="BF16" s="3">
        <f t="shared" si="12"/>
        <v>228699.98184811807</v>
      </c>
      <c r="BG16" s="3">
        <f t="shared" si="12"/>
        <v>230986.98166659925</v>
      </c>
      <c r="BH16" s="3">
        <f t="shared" si="12"/>
        <v>233296.85148326526</v>
      </c>
      <c r="BI16" s="3">
        <f t="shared" si="12"/>
        <v>235629.81999809793</v>
      </c>
      <c r="BJ16" s="3">
        <f t="shared" si="12"/>
        <v>237986.11819807891</v>
      </c>
      <c r="BK16" s="3">
        <f t="shared" si="12"/>
        <v>240365.9793800597</v>
      </c>
      <c r="BL16" s="3">
        <f t="shared" si="12"/>
        <v>242769.63917386028</v>
      </c>
      <c r="BM16" s="3">
        <f t="shared" si="12"/>
        <v>245197.33556559889</v>
      </c>
      <c r="BN16" s="3">
        <f t="shared" si="12"/>
        <v>247649.30892125488</v>
      </c>
      <c r="BO16" s="3">
        <f t="shared" si="12"/>
        <v>250125.80201046742</v>
      </c>
      <c r="BP16" s="3">
        <f t="shared" si="12"/>
        <v>252627.06003057209</v>
      </c>
      <c r="BQ16" s="3">
        <f t="shared" si="12"/>
        <v>255153.33063087781</v>
      </c>
      <c r="BR16" s="3">
        <f t="shared" si="12"/>
        <v>257704.8639371866</v>
      </c>
      <c r="BS16" s="3">
        <f t="shared" si="12"/>
        <v>260281.91257655848</v>
      </c>
      <c r="BT16" s="3">
        <f t="shared" si="12"/>
        <v>262884.73170232406</v>
      </c>
      <c r="BU16" s="3">
        <f t="shared" si="12"/>
        <v>265513.57901934732</v>
      </c>
      <c r="BV16" s="3">
        <f t="shared" si="12"/>
        <v>268168.71480954078</v>
      </c>
      <c r="BW16" s="3">
        <f t="shared" si="12"/>
        <v>270850.40195763618</v>
      </c>
      <c r="BX16" s="3">
        <f t="shared" si="12"/>
        <v>273558.90597721253</v>
      </c>
      <c r="BY16" s="3">
        <f t="shared" si="12"/>
        <v>276294.49503698468</v>
      </c>
      <c r="BZ16" s="3">
        <f t="shared" si="12"/>
        <v>279057.4399873545</v>
      </c>
      <c r="CA16" s="3">
        <f t="shared" si="12"/>
        <v>281848.01438722806</v>
      </c>
      <c r="CB16" s="3">
        <f t="shared" si="12"/>
        <v>284666.49453110032</v>
      </c>
      <c r="CC16" s="3">
        <f t="shared" si="12"/>
        <v>287513.15947641135</v>
      </c>
      <c r="CD16" s="3">
        <f t="shared" si="12"/>
        <v>290388.29107117548</v>
      </c>
      <c r="CE16" s="3">
        <f t="shared" si="12"/>
        <v>293292.17398188723</v>
      </c>
      <c r="CF16" s="3">
        <f t="shared" si="12"/>
        <v>296225.09572170611</v>
      </c>
      <c r="CG16" s="3">
        <f t="shared" ref="CG16:DG16" si="13">CF16*(1+$W$20)</f>
        <v>299187.34667892318</v>
      </c>
      <c r="CH16" s="3">
        <f t="shared" si="13"/>
        <v>302179.22014571243</v>
      </c>
      <c r="CI16" s="3">
        <f t="shared" si="13"/>
        <v>305201.01234716957</v>
      </c>
      <c r="CJ16" s="3">
        <f t="shared" si="13"/>
        <v>308253.02247064124</v>
      </c>
      <c r="CK16" s="3">
        <f t="shared" si="13"/>
        <v>311335.55269534764</v>
      </c>
      <c r="CL16" s="3">
        <f t="shared" si="13"/>
        <v>314448.90822230111</v>
      </c>
      <c r="CM16" s="3">
        <f t="shared" si="13"/>
        <v>317593.39730452414</v>
      </c>
      <c r="CN16" s="3">
        <f t="shared" si="13"/>
        <v>320769.33127756941</v>
      </c>
      <c r="CO16" s="3">
        <f t="shared" si="13"/>
        <v>323977.0245903451</v>
      </c>
      <c r="CP16" s="3">
        <f t="shared" si="13"/>
        <v>327216.79483624856</v>
      </c>
      <c r="CQ16" s="3">
        <f t="shared" si="13"/>
        <v>330488.96278461104</v>
      </c>
      <c r="CR16" s="3">
        <f t="shared" si="13"/>
        <v>333793.85241245717</v>
      </c>
      <c r="CS16" s="3">
        <f t="shared" si="13"/>
        <v>337131.79093658173</v>
      </c>
      <c r="CT16" s="3">
        <f t="shared" si="13"/>
        <v>340503.10884594754</v>
      </c>
      <c r="CU16" s="3">
        <f t="shared" si="13"/>
        <v>343908.13993440702</v>
      </c>
      <c r="CV16" s="3">
        <f t="shared" si="13"/>
        <v>347347.22133375111</v>
      </c>
      <c r="CW16" s="3">
        <f t="shared" si="13"/>
        <v>350820.69354708859</v>
      </c>
      <c r="CX16" s="3">
        <f t="shared" si="13"/>
        <v>354328.90048255946</v>
      </c>
      <c r="CY16" s="3">
        <f t="shared" si="13"/>
        <v>357872.18948738504</v>
      </c>
      <c r="CZ16" s="3">
        <f t="shared" si="13"/>
        <v>361450.91138225887</v>
      </c>
      <c r="DA16" s="3">
        <f t="shared" si="13"/>
        <v>365065.42049608147</v>
      </c>
      <c r="DB16" s="3">
        <f t="shared" si="13"/>
        <v>368716.07470104226</v>
      </c>
      <c r="DC16" s="3">
        <f t="shared" si="13"/>
        <v>372403.2354480527</v>
      </c>
      <c r="DD16" s="3">
        <f t="shared" si="13"/>
        <v>376127.26780253323</v>
      </c>
      <c r="DE16" s="3">
        <f t="shared" si="13"/>
        <v>379888.54048055859</v>
      </c>
      <c r="DF16" s="3">
        <f t="shared" si="13"/>
        <v>383687.42588536418</v>
      </c>
      <c r="DG16" s="3">
        <f t="shared" si="13"/>
        <v>387524.30014421785</v>
      </c>
    </row>
    <row r="17" spans="1:115" x14ac:dyDescent="0.25">
      <c r="A17" s="2" t="s">
        <v>2</v>
      </c>
      <c r="N17" s="6"/>
      <c r="O17" s="6"/>
      <c r="P17" s="6"/>
      <c r="Q17" s="6"/>
      <c r="R17" s="6"/>
      <c r="S17" s="6"/>
      <c r="T17" s="6"/>
    </row>
    <row r="18" spans="1:115" x14ac:dyDescent="0.25">
      <c r="A18" s="2" t="s">
        <v>21</v>
      </c>
    </row>
    <row r="19" spans="1:115" x14ac:dyDescent="0.25">
      <c r="V19" s="2" t="s">
        <v>40</v>
      </c>
      <c r="W19" s="7">
        <v>0.06</v>
      </c>
    </row>
    <row r="20" spans="1:115" s="3" customFormat="1" x14ac:dyDescent="0.25">
      <c r="A20" s="3" t="s">
        <v>22</v>
      </c>
      <c r="N20" s="5">
        <f>N5/M5-1</f>
        <v>0.15687468377226454</v>
      </c>
      <c r="O20" s="5">
        <f>O5/N5-1</f>
        <v>0.21941112807816054</v>
      </c>
      <c r="P20" s="5">
        <f t="shared" ref="P20:T20" si="14">P5/O5-1</f>
        <v>0.1399999999999999</v>
      </c>
      <c r="Q20" s="5">
        <f t="shared" si="14"/>
        <v>0.1399999999999999</v>
      </c>
      <c r="R20" s="5">
        <f t="shared" si="14"/>
        <v>0.1399999999999999</v>
      </c>
      <c r="S20" s="5">
        <f t="shared" si="14"/>
        <v>0.1399999999999999</v>
      </c>
      <c r="T20" s="5">
        <f t="shared" si="14"/>
        <v>0.1399999999999999</v>
      </c>
      <c r="V20" s="2" t="s">
        <v>41</v>
      </c>
      <c r="W20" s="7">
        <v>0.01</v>
      </c>
    </row>
    <row r="21" spans="1:115" x14ac:dyDescent="0.25">
      <c r="A21" s="2" t="s">
        <v>30</v>
      </c>
      <c r="M21" s="6">
        <f>M15/M14</f>
        <v>0.19497553697213643</v>
      </c>
      <c r="N21" s="6">
        <f t="shared" ref="N21:O21" si="15">N15/N14</f>
        <v>0.17563464620055663</v>
      </c>
      <c r="O21" s="6">
        <f t="shared" si="15"/>
        <v>0.11750137978857393</v>
      </c>
      <c r="P21" s="6">
        <v>0.21</v>
      </c>
      <c r="Q21" s="6">
        <v>0.21</v>
      </c>
      <c r="R21" s="6">
        <v>0.21</v>
      </c>
      <c r="S21" s="6">
        <v>0.21</v>
      </c>
      <c r="T21" s="6">
        <v>0.21</v>
      </c>
      <c r="V21" s="2" t="s">
        <v>42</v>
      </c>
      <c r="W21" s="7">
        <v>0.09</v>
      </c>
    </row>
    <row r="22" spans="1:115" x14ac:dyDescent="0.25">
      <c r="V22" s="2" t="s">
        <v>43</v>
      </c>
      <c r="W22" s="2">
        <f>NPV(W21,P29:DG29)+Sheet1!D5-Sheet1!D6</f>
        <v>1895387.7972330954</v>
      </c>
    </row>
    <row r="23" spans="1:115" s="3" customFormat="1" x14ac:dyDescent="0.25">
      <c r="A23" s="3" t="s">
        <v>23</v>
      </c>
      <c r="M23" s="5">
        <f>M7/M5</f>
        <v>0.78347297378418479</v>
      </c>
      <c r="N23" s="5">
        <f t="shared" ref="N23:O23" si="16">N7/N5</f>
        <v>0.8075714222176098</v>
      </c>
      <c r="O23" s="5">
        <f t="shared" si="16"/>
        <v>0.81665157050717019</v>
      </c>
      <c r="P23" s="5">
        <v>0.82</v>
      </c>
      <c r="Q23" s="5">
        <v>0.82</v>
      </c>
      <c r="R23" s="5">
        <v>0.82</v>
      </c>
      <c r="S23" s="5">
        <v>0.82</v>
      </c>
      <c r="T23" s="5">
        <v>0.82</v>
      </c>
      <c r="V23" s="2" t="s">
        <v>1</v>
      </c>
      <c r="W23" s="3">
        <f>W22/Sheet1!D3</f>
        <v>748.07112019303599</v>
      </c>
    </row>
    <row r="24" spans="1:115" x14ac:dyDescent="0.25">
      <c r="A24" s="2" t="s">
        <v>24</v>
      </c>
      <c r="M24" s="6">
        <f>M12/M5</f>
        <v>0.24821411726367604</v>
      </c>
      <c r="N24" s="6">
        <f t="shared" ref="N24:T24" si="17">N12/N5</f>
        <v>0.34655527716416362</v>
      </c>
      <c r="O24" s="6">
        <f t="shared" si="17"/>
        <v>0.42176035404040096</v>
      </c>
      <c r="P24" s="6">
        <f t="shared" si="17"/>
        <v>0.45282044784668812</v>
      </c>
      <c r="Q24" s="6">
        <f t="shared" si="17"/>
        <v>0.47858743396270992</v>
      </c>
      <c r="R24" s="6">
        <f t="shared" si="17"/>
        <v>0.50254621052673032</v>
      </c>
      <c r="S24" s="6">
        <f t="shared" si="17"/>
        <v>0.5248236694371351</v>
      </c>
      <c r="T24" s="6">
        <f t="shared" si="17"/>
        <v>0.54553779789768697</v>
      </c>
      <c r="V24" s="2" t="s">
        <v>44</v>
      </c>
      <c r="W24" s="6">
        <f>W23/Sheet1!D2-1</f>
        <v>0.25305045258464998</v>
      </c>
    </row>
    <row r="25" spans="1:115" x14ac:dyDescent="0.25">
      <c r="A25" s="2" t="s">
        <v>25</v>
      </c>
      <c r="M25" s="6">
        <f>M29/M5</f>
        <v>0.16541604850397482</v>
      </c>
      <c r="N25" s="6">
        <f t="shared" ref="N25:T25" si="18">N29/N5</f>
        <v>0.32666676550384721</v>
      </c>
      <c r="O25" s="6">
        <f t="shared" si="18"/>
        <v>0.32870316897769619</v>
      </c>
      <c r="P25" s="6">
        <f t="shared" si="18"/>
        <v>0.33181735757592018</v>
      </c>
      <c r="Q25" s="6">
        <f t="shared" si="18"/>
        <v>0.39121248979760609</v>
      </c>
      <c r="R25" s="6">
        <f t="shared" si="18"/>
        <v>0.44774391117495838</v>
      </c>
      <c r="S25" s="6">
        <f t="shared" si="18"/>
        <v>0.50151904638311506</v>
      </c>
      <c r="T25" s="6">
        <f t="shared" si="18"/>
        <v>0.55264494381939144</v>
      </c>
    </row>
    <row r="26" spans="1:115" x14ac:dyDescent="0.25">
      <c r="M26" s="6">
        <f>M27/M16</f>
        <v>2.1756465517241379</v>
      </c>
      <c r="N26" s="6">
        <f>N27/N16</f>
        <v>1.8188398383549031</v>
      </c>
      <c r="O26" s="6">
        <f>O27/O16</f>
        <v>1.4645285439384221</v>
      </c>
      <c r="P26" s="6">
        <v>1.5</v>
      </c>
      <c r="Q26" s="6">
        <v>1.5</v>
      </c>
      <c r="R26" s="6">
        <v>1.5</v>
      </c>
      <c r="S26" s="6">
        <v>1.5</v>
      </c>
      <c r="T26" s="6">
        <v>1.5</v>
      </c>
    </row>
    <row r="27" spans="1:115" x14ac:dyDescent="0.25">
      <c r="A27" s="2" t="s">
        <v>26</v>
      </c>
      <c r="M27" s="2">
        <v>50475</v>
      </c>
      <c r="N27" s="2">
        <v>71113</v>
      </c>
      <c r="O27" s="2">
        <v>91328</v>
      </c>
      <c r="P27" s="2">
        <f>P26*P16</f>
        <v>103207.68733799995</v>
      </c>
      <c r="Q27" s="2">
        <f t="shared" ref="Q27:T27" si="19">Q26*Q16</f>
        <v>128715.31758114111</v>
      </c>
      <c r="R27" s="2">
        <f t="shared" si="19"/>
        <v>158709.85354747198</v>
      </c>
      <c r="S27" s="2">
        <f t="shared" si="19"/>
        <v>193886.37245695275</v>
      </c>
      <c r="T27" s="2">
        <f t="shared" si="19"/>
        <v>235041.84387748892</v>
      </c>
    </row>
    <row r="28" spans="1:115" x14ac:dyDescent="0.25">
      <c r="A28" s="2" t="s">
        <v>27</v>
      </c>
      <c r="M28" s="2">
        <v>31186</v>
      </c>
      <c r="N28" s="2">
        <v>27045</v>
      </c>
      <c r="O28" s="2">
        <v>37256</v>
      </c>
      <c r="P28" s="2">
        <f>O28*1.1</f>
        <v>40981.600000000006</v>
      </c>
      <c r="Q28" s="2">
        <f t="shared" ref="Q28:T28" si="20">P28*1.1</f>
        <v>45079.760000000009</v>
      </c>
      <c r="R28" s="2">
        <f t="shared" si="20"/>
        <v>49587.736000000012</v>
      </c>
      <c r="S28" s="2">
        <f t="shared" si="20"/>
        <v>54546.509600000019</v>
      </c>
      <c r="T28" s="2">
        <f t="shared" si="20"/>
        <v>60001.160560000026</v>
      </c>
    </row>
    <row r="29" spans="1:115" s="3" customFormat="1" x14ac:dyDescent="0.25">
      <c r="A29" s="3" t="s">
        <v>28</v>
      </c>
      <c r="M29" s="3">
        <f>M27-M28</f>
        <v>19289</v>
      </c>
      <c r="N29" s="3">
        <f t="shared" ref="N29:T29" si="21">N27-N28</f>
        <v>44068</v>
      </c>
      <c r="O29" s="3">
        <f t="shared" si="21"/>
        <v>54072</v>
      </c>
      <c r="P29" s="3">
        <f t="shared" si="21"/>
        <v>62226.087337999939</v>
      </c>
      <c r="Q29" s="3">
        <f t="shared" si="21"/>
        <v>83635.557581141096</v>
      </c>
      <c r="R29" s="3">
        <f t="shared" si="21"/>
        <v>109122.11754747198</v>
      </c>
      <c r="S29" s="3">
        <f t="shared" si="21"/>
        <v>139339.86285695274</v>
      </c>
      <c r="T29" s="3">
        <f t="shared" si="21"/>
        <v>175040.6833174889</v>
      </c>
      <c r="U29" s="3">
        <f t="shared" ref="U29:AZ29" si="22">T29*(1+$W$20)</f>
        <v>176791.0901506638</v>
      </c>
      <c r="V29" s="3">
        <f t="shared" si="22"/>
        <v>178559.00105217044</v>
      </c>
      <c r="W29" s="3">
        <f t="shared" si="22"/>
        <v>180344.59106269214</v>
      </c>
      <c r="X29" s="3">
        <f t="shared" si="22"/>
        <v>182148.03697331907</v>
      </c>
      <c r="Y29" s="3">
        <f t="shared" si="22"/>
        <v>183969.51734305226</v>
      </c>
      <c r="Z29" s="3">
        <f t="shared" si="22"/>
        <v>185809.21251648277</v>
      </c>
      <c r="AA29" s="3">
        <f t="shared" si="22"/>
        <v>187667.30464164761</v>
      </c>
      <c r="AB29" s="3">
        <f t="shared" si="22"/>
        <v>189543.9776880641</v>
      </c>
      <c r="AC29" s="3">
        <f t="shared" si="22"/>
        <v>191439.41746494474</v>
      </c>
      <c r="AD29" s="3">
        <f t="shared" si="22"/>
        <v>193353.81163959418</v>
      </c>
      <c r="AE29" s="3">
        <f t="shared" si="22"/>
        <v>195287.34975599012</v>
      </c>
      <c r="AF29" s="3">
        <f t="shared" si="22"/>
        <v>197240.22325355001</v>
      </c>
      <c r="AG29" s="3">
        <f t="shared" si="22"/>
        <v>199212.62548608551</v>
      </c>
      <c r="AH29" s="3">
        <f t="shared" si="22"/>
        <v>201204.75174094638</v>
      </c>
      <c r="AI29" s="3">
        <f t="shared" si="22"/>
        <v>203216.79925835584</v>
      </c>
      <c r="AJ29" s="3">
        <f t="shared" si="22"/>
        <v>205248.9672509394</v>
      </c>
      <c r="AK29" s="3">
        <f t="shared" si="22"/>
        <v>207301.4569234488</v>
      </c>
      <c r="AL29" s="3">
        <f t="shared" si="22"/>
        <v>209374.47149268328</v>
      </c>
      <c r="AM29" s="3">
        <f t="shared" si="22"/>
        <v>211468.21620761012</v>
      </c>
      <c r="AN29" s="3">
        <f t="shared" si="22"/>
        <v>213582.89836968621</v>
      </c>
      <c r="AO29" s="3">
        <f t="shared" si="22"/>
        <v>215718.72735338309</v>
      </c>
      <c r="AP29" s="3">
        <f t="shared" si="22"/>
        <v>217875.91462691693</v>
      </c>
      <c r="AQ29" s="3">
        <f t="shared" si="22"/>
        <v>220054.67377318611</v>
      </c>
      <c r="AR29" s="3">
        <f t="shared" si="22"/>
        <v>222255.22051091798</v>
      </c>
      <c r="AS29" s="3">
        <f t="shared" si="22"/>
        <v>224477.77271602716</v>
      </c>
      <c r="AT29" s="3">
        <f t="shared" si="22"/>
        <v>226722.55044318744</v>
      </c>
      <c r="AU29" s="3">
        <f t="shared" si="22"/>
        <v>228989.77594761932</v>
      </c>
      <c r="AV29" s="3">
        <f t="shared" si="22"/>
        <v>231279.6737070955</v>
      </c>
      <c r="AW29" s="3">
        <f t="shared" si="22"/>
        <v>233592.47044416645</v>
      </c>
      <c r="AX29" s="3">
        <f t="shared" si="22"/>
        <v>235928.39514860811</v>
      </c>
      <c r="AY29" s="3">
        <f t="shared" si="22"/>
        <v>238287.67910009419</v>
      </c>
      <c r="AZ29" s="3">
        <f t="shared" si="22"/>
        <v>240670.55589109514</v>
      </c>
      <c r="BA29" s="3">
        <f t="shared" ref="BA29:CF29" si="23">AZ29*(1+$W$20)</f>
        <v>243077.2614500061</v>
      </c>
      <c r="BB29" s="3">
        <f t="shared" si="23"/>
        <v>245508.03406450615</v>
      </c>
      <c r="BC29" s="3">
        <f t="shared" si="23"/>
        <v>247963.11440515122</v>
      </c>
      <c r="BD29" s="3">
        <f t="shared" si="23"/>
        <v>250442.74554920275</v>
      </c>
      <c r="BE29" s="3">
        <f t="shared" si="23"/>
        <v>252947.17300469478</v>
      </c>
      <c r="BF29" s="3">
        <f t="shared" si="23"/>
        <v>255476.64473474174</v>
      </c>
      <c r="BG29" s="3">
        <f t="shared" si="23"/>
        <v>258031.41118208916</v>
      </c>
      <c r="BH29" s="3">
        <f t="shared" si="23"/>
        <v>260611.72529391004</v>
      </c>
      <c r="BI29" s="3">
        <f t="shared" si="23"/>
        <v>263217.84254684916</v>
      </c>
      <c r="BJ29" s="3">
        <f t="shared" si="23"/>
        <v>265850.02097231767</v>
      </c>
      <c r="BK29" s="3">
        <f t="shared" si="23"/>
        <v>268508.52118204086</v>
      </c>
      <c r="BL29" s="3">
        <f t="shared" si="23"/>
        <v>271193.60639386129</v>
      </c>
      <c r="BM29" s="3">
        <f t="shared" si="23"/>
        <v>273905.54245779989</v>
      </c>
      <c r="BN29" s="3">
        <f t="shared" si="23"/>
        <v>276644.59788237792</v>
      </c>
      <c r="BO29" s="3">
        <f t="shared" si="23"/>
        <v>279411.04386120167</v>
      </c>
      <c r="BP29" s="3">
        <f t="shared" si="23"/>
        <v>282205.15429981367</v>
      </c>
      <c r="BQ29" s="3">
        <f t="shared" si="23"/>
        <v>285027.20584281179</v>
      </c>
      <c r="BR29" s="3">
        <f t="shared" si="23"/>
        <v>287877.47790123994</v>
      </c>
      <c r="BS29" s="3">
        <f t="shared" si="23"/>
        <v>290756.25268025236</v>
      </c>
      <c r="BT29" s="3">
        <f t="shared" si="23"/>
        <v>293663.8152070549</v>
      </c>
      <c r="BU29" s="3">
        <f t="shared" si="23"/>
        <v>296600.45335912547</v>
      </c>
      <c r="BV29" s="3">
        <f t="shared" si="23"/>
        <v>299566.45789271675</v>
      </c>
      <c r="BW29" s="3">
        <f t="shared" si="23"/>
        <v>302562.1224716439</v>
      </c>
      <c r="BX29" s="3">
        <f t="shared" si="23"/>
        <v>305587.74369636032</v>
      </c>
      <c r="BY29" s="3">
        <f t="shared" si="23"/>
        <v>308643.62113332393</v>
      </c>
      <c r="BZ29" s="3">
        <f t="shared" si="23"/>
        <v>311730.05734465719</v>
      </c>
      <c r="CA29" s="3">
        <f t="shared" si="23"/>
        <v>314847.35791810375</v>
      </c>
      <c r="CB29" s="3">
        <f t="shared" si="23"/>
        <v>317995.83149728482</v>
      </c>
      <c r="CC29" s="3">
        <f t="shared" si="23"/>
        <v>321175.78981225769</v>
      </c>
      <c r="CD29" s="3">
        <f t="shared" si="23"/>
        <v>324387.54771038028</v>
      </c>
      <c r="CE29" s="3">
        <f t="shared" si="23"/>
        <v>327631.42318748409</v>
      </c>
      <c r="CF29" s="3">
        <f t="shared" si="23"/>
        <v>330907.73741935892</v>
      </c>
      <c r="CG29" s="3">
        <f t="shared" ref="CG29:DK29" si="24">CF29*(1+$W$20)</f>
        <v>334216.8147935525</v>
      </c>
      <c r="CH29" s="3">
        <f t="shared" si="24"/>
        <v>337558.98294148804</v>
      </c>
      <c r="CI29" s="3">
        <f t="shared" si="24"/>
        <v>340934.57277090295</v>
      </c>
      <c r="CJ29" s="3">
        <f t="shared" si="24"/>
        <v>344343.91849861195</v>
      </c>
      <c r="CK29" s="3">
        <f t="shared" si="24"/>
        <v>347787.35768359806</v>
      </c>
      <c r="CL29" s="3">
        <f t="shared" si="24"/>
        <v>351265.23126043403</v>
      </c>
      <c r="CM29" s="3">
        <f t="shared" si="24"/>
        <v>354777.88357303839</v>
      </c>
      <c r="CN29" s="3">
        <f t="shared" si="24"/>
        <v>358325.66240876878</v>
      </c>
      <c r="CO29" s="3">
        <f t="shared" si="24"/>
        <v>361908.91903285647</v>
      </c>
      <c r="CP29" s="3">
        <f t="shared" si="24"/>
        <v>365528.00822318502</v>
      </c>
      <c r="CQ29" s="3">
        <f t="shared" si="24"/>
        <v>369183.28830541688</v>
      </c>
      <c r="CR29" s="3">
        <f t="shared" si="24"/>
        <v>372875.12118847104</v>
      </c>
      <c r="CS29" s="3">
        <f t="shared" si="24"/>
        <v>376603.87240035576</v>
      </c>
      <c r="CT29" s="3">
        <f t="shared" si="24"/>
        <v>380369.91112435929</v>
      </c>
      <c r="CU29" s="3">
        <f t="shared" si="24"/>
        <v>384173.61023560289</v>
      </c>
      <c r="CV29" s="3">
        <f t="shared" si="24"/>
        <v>388015.34633795894</v>
      </c>
      <c r="CW29" s="3">
        <f t="shared" si="24"/>
        <v>391895.49980133853</v>
      </c>
      <c r="CX29" s="3">
        <f t="shared" si="24"/>
        <v>395814.45479935192</v>
      </c>
      <c r="CY29" s="3">
        <f t="shared" si="24"/>
        <v>399772.59934734547</v>
      </c>
      <c r="CZ29" s="3">
        <f t="shared" si="24"/>
        <v>403770.3253408189</v>
      </c>
      <c r="DA29" s="3">
        <f t="shared" si="24"/>
        <v>407808.0285942271</v>
      </c>
      <c r="DB29" s="3">
        <f t="shared" si="24"/>
        <v>411886.1088801694</v>
      </c>
      <c r="DC29" s="3">
        <f t="shared" si="24"/>
        <v>416004.9699689711</v>
      </c>
      <c r="DD29" s="3">
        <f t="shared" si="24"/>
        <v>420165.01966866083</v>
      </c>
      <c r="DE29" s="3">
        <f t="shared" si="24"/>
        <v>424366.66986534745</v>
      </c>
      <c r="DF29" s="3">
        <f t="shared" si="24"/>
        <v>428610.33656400093</v>
      </c>
      <c r="DG29" s="3">
        <f t="shared" si="24"/>
        <v>432896.43992964097</v>
      </c>
      <c r="DH29" s="3">
        <f t="shared" si="24"/>
        <v>437225.40432893741</v>
      </c>
      <c r="DI29" s="3">
        <f t="shared" si="24"/>
        <v>441597.65837222681</v>
      </c>
      <c r="DJ29" s="3">
        <f t="shared" si="24"/>
        <v>446013.63495594909</v>
      </c>
      <c r="DK29" s="3">
        <f t="shared" si="24"/>
        <v>450473.77130550856</v>
      </c>
    </row>
    <row r="30" spans="1:115" x14ac:dyDescent="0.25">
      <c r="M30" s="6"/>
      <c r="N30" s="6"/>
      <c r="O30" s="6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115" x14ac:dyDescent="0.25">
      <c r="A31" s="2" t="s">
        <v>29</v>
      </c>
      <c r="O31" s="2">
        <f>O33-O35</f>
        <v>36286</v>
      </c>
      <c r="P31" s="2">
        <f>O31+P16</f>
        <v>105091.12489199996</v>
      </c>
      <c r="Q31" s="2">
        <f t="shared" ref="Q31:T31" si="25">P31+Q16</f>
        <v>190901.3366127607</v>
      </c>
      <c r="R31" s="2">
        <f t="shared" si="25"/>
        <v>296707.90564440866</v>
      </c>
      <c r="S31" s="2">
        <f t="shared" si="25"/>
        <v>425965.4872823772</v>
      </c>
      <c r="T31" s="2">
        <f t="shared" si="25"/>
        <v>582660.04986736982</v>
      </c>
    </row>
    <row r="33" spans="1:15" x14ac:dyDescent="0.25">
      <c r="A33" s="2" t="s">
        <v>4</v>
      </c>
      <c r="O33" s="2">
        <f>43889+33926</f>
        <v>77815</v>
      </c>
    </row>
    <row r="35" spans="1:15" x14ac:dyDescent="0.25">
      <c r="A35" s="2" t="s">
        <v>5</v>
      </c>
      <c r="O35" s="2">
        <f>28826+9987+2716</f>
        <v>41529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2025-04-28T19:23:20Z</dcterms:created>
  <dcterms:modified xsi:type="dcterms:W3CDTF">2025-05-07T21:17:45Z</dcterms:modified>
</cp:coreProperties>
</file>