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1B62504-0298-4FB9-8933-3856185AC304}" xr6:coauthVersionLast="47" xr6:coauthVersionMax="47" xr10:uidLastSave="{00000000-0000-0000-0000-000000000000}"/>
  <bookViews>
    <workbookView xWindow="7710" yWindow="975" windowWidth="20505" windowHeight="13845" activeTab="1" xr2:uid="{48687CDE-C838-4D92-92A6-E2D215D3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M6" i="2" s="1"/>
  <c r="N6" i="2" s="1"/>
  <c r="O6" i="2" s="1"/>
  <c r="K6" i="2"/>
  <c r="L7" i="2"/>
  <c r="M7" i="2" s="1"/>
  <c r="N7" i="2" s="1"/>
  <c r="O7" i="2" s="1"/>
  <c r="K7" i="2"/>
  <c r="L5" i="2"/>
  <c r="M5" i="2"/>
  <c r="N5" i="2" s="1"/>
  <c r="O5" i="2" s="1"/>
  <c r="K5" i="2"/>
  <c r="I22" i="2"/>
  <c r="J22" i="2"/>
  <c r="H22" i="2"/>
  <c r="H9" i="2"/>
  <c r="H12" i="2"/>
  <c r="J12" i="2"/>
  <c r="I12" i="2"/>
  <c r="J9" i="2"/>
  <c r="I9" i="2"/>
  <c r="J29" i="2"/>
  <c r="J31" i="2" s="1"/>
  <c r="K2" i="2"/>
  <c r="L2" i="2" s="1"/>
  <c r="M2" i="2" s="1"/>
  <c r="N2" i="2" s="1"/>
  <c r="O2" i="2" s="1"/>
  <c r="J34" i="2"/>
  <c r="J32" i="2" s="1"/>
  <c r="K10" i="2" s="1"/>
  <c r="H18" i="2"/>
  <c r="I18" i="2"/>
  <c r="J18" i="2"/>
  <c r="I29" i="2"/>
  <c r="I23" i="2" s="1"/>
  <c r="H29" i="2"/>
  <c r="H23" i="2" s="1"/>
  <c r="F29" i="2"/>
  <c r="B29" i="2"/>
  <c r="C29" i="2"/>
  <c r="D29" i="2"/>
  <c r="E29" i="2"/>
  <c r="I8" i="2"/>
  <c r="J8" i="2"/>
  <c r="H8" i="2"/>
  <c r="C8" i="2"/>
  <c r="D8" i="2"/>
  <c r="E8" i="2"/>
  <c r="F8" i="2"/>
  <c r="B8" i="2"/>
  <c r="B4" i="2"/>
  <c r="B20" i="2" s="1"/>
  <c r="C4" i="2"/>
  <c r="C20" i="2" s="1"/>
  <c r="D4" i="2"/>
  <c r="D20" i="2" s="1"/>
  <c r="I4" i="2"/>
  <c r="I20" i="2" s="1"/>
  <c r="J4" i="2"/>
  <c r="J20" i="2" s="1"/>
  <c r="K20" i="2" s="1"/>
  <c r="L20" i="2" s="1"/>
  <c r="M20" i="2" s="1"/>
  <c r="N20" i="2" s="1"/>
  <c r="O20" i="2" s="1"/>
  <c r="H4" i="2"/>
  <c r="E4" i="2"/>
  <c r="G17" i="1"/>
  <c r="H21" i="2"/>
  <c r="I21" i="2"/>
  <c r="J19" i="2"/>
  <c r="I19" i="2"/>
  <c r="I1" i="2"/>
  <c r="H1" i="2" s="1"/>
  <c r="K1" i="2"/>
  <c r="L1" i="2" s="1"/>
  <c r="M1" i="2" s="1"/>
  <c r="N1" i="2" s="1"/>
  <c r="O1" i="2" s="1"/>
  <c r="G23" i="1"/>
  <c r="G24" i="1" s="1"/>
  <c r="G16" i="1"/>
  <c r="G19" i="1" s="1"/>
  <c r="J23" i="2" l="1"/>
  <c r="K23" i="2" s="1"/>
  <c r="D12" i="2"/>
  <c r="K3" i="2"/>
  <c r="K4" i="2" s="1"/>
  <c r="E12" i="2"/>
  <c r="E14" i="2" s="1"/>
  <c r="E21" i="2" s="1"/>
  <c r="B12" i="2"/>
  <c r="B14" i="2" s="1"/>
  <c r="C12" i="2"/>
  <c r="C14" i="2" s="1"/>
  <c r="H25" i="2"/>
  <c r="H20" i="2"/>
  <c r="E20" i="2"/>
  <c r="D14" i="2"/>
  <c r="I25" i="2"/>
  <c r="K19" i="2"/>
  <c r="H22" i="1"/>
  <c r="H23" i="1"/>
  <c r="H24" i="1"/>
  <c r="L19" i="2"/>
  <c r="K29" i="2" l="1"/>
  <c r="L23" i="2"/>
  <c r="K18" i="2"/>
  <c r="L3" i="2"/>
  <c r="L4" i="2" s="1"/>
  <c r="M3" i="2"/>
  <c r="J25" i="2"/>
  <c r="J14" i="2"/>
  <c r="J16" i="2" s="1"/>
  <c r="M23" i="2" l="1"/>
  <c r="L29" i="2"/>
  <c r="L18" i="2"/>
  <c r="J21" i="2"/>
  <c r="N3" i="2"/>
  <c r="M4" i="2"/>
  <c r="M19" i="2"/>
  <c r="N23" i="2" l="1"/>
  <c r="M29" i="2"/>
  <c r="O3" i="2"/>
  <c r="N4" i="2"/>
  <c r="N19" i="2"/>
  <c r="O23" i="2" l="1"/>
  <c r="O29" i="2" s="1"/>
  <c r="N29" i="2"/>
  <c r="M18" i="2"/>
  <c r="O4" i="2"/>
  <c r="O19" i="2"/>
  <c r="O18" i="2" l="1"/>
  <c r="N18" i="2"/>
  <c r="F3" i="2"/>
  <c r="F4" i="2"/>
  <c r="F12" i="2" s="1"/>
  <c r="F14" i="2" s="1"/>
  <c r="F21" i="2" s="1"/>
  <c r="L8" i="2"/>
  <c r="L9" i="2" s="1"/>
  <c r="L22" i="2" s="1"/>
  <c r="K8" i="2"/>
  <c r="K9" i="2" s="1"/>
  <c r="K22" i="2" l="1"/>
  <c r="K12" i="2"/>
  <c r="M8" i="2"/>
  <c r="M9" i="2" s="1"/>
  <c r="M22" i="2" s="1"/>
  <c r="N8" i="2"/>
  <c r="N9" i="2" s="1"/>
  <c r="N22" i="2" s="1"/>
  <c r="O8" i="2"/>
  <c r="O9" i="2" s="1"/>
  <c r="O22" i="2" s="1"/>
  <c r="K13" i="2"/>
  <c r="K14" i="2" s="1"/>
  <c r="K16" i="2" l="1"/>
  <c r="K21" i="2"/>
  <c r="K32" i="2"/>
  <c r="K31" i="2" l="1"/>
  <c r="G20" i="1" s="1"/>
  <c r="L10" i="2"/>
  <c r="L12" i="2" s="1"/>
  <c r="L13" i="2" l="1"/>
  <c r="L14" i="2" s="1"/>
  <c r="L16" i="2" l="1"/>
  <c r="L21" i="2"/>
  <c r="L32" i="2"/>
  <c r="L31" i="2" l="1"/>
  <c r="M10" i="2"/>
  <c r="M12" i="2" s="1"/>
  <c r="M13" i="2" l="1"/>
  <c r="M14" i="2" s="1"/>
  <c r="M16" i="2" l="1"/>
  <c r="M21" i="2"/>
  <c r="M32" i="2"/>
  <c r="M31" i="2" l="1"/>
  <c r="N10" i="2"/>
  <c r="N12" i="2" s="1"/>
  <c r="N13" i="2" l="1"/>
  <c r="N14" i="2" s="1"/>
  <c r="N16" i="2" l="1"/>
  <c r="N21" i="2"/>
  <c r="N32" i="2"/>
  <c r="N31" i="2" l="1"/>
  <c r="O10" i="2"/>
  <c r="O12" i="2" s="1"/>
  <c r="O13" i="2" l="1"/>
  <c r="O14" i="2" s="1"/>
  <c r="O16" i="2" l="1"/>
  <c r="O21" i="2"/>
  <c r="P14" i="2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R26" i="2" s="1"/>
  <c r="O32" i="2"/>
  <c r="P29" i="2" l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R27" i="2" s="1"/>
  <c r="R28" i="2" s="1"/>
  <c r="O31" i="2"/>
</calcChain>
</file>

<file path=xl/sharedStrings.xml><?xml version="1.0" encoding="utf-8"?>
<sst xmlns="http://schemas.openxmlformats.org/spreadsheetml/2006/main" count="54" uniqueCount="46">
  <si>
    <t>PINS</t>
  </si>
  <si>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</si>
  <si>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</si>
  <si>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</si>
  <si>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</si>
  <si>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</si>
  <si>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</si>
  <si>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</si>
  <si>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</si>
  <si>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</si>
  <si>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Revenue</t>
  </si>
  <si>
    <t>Net Income</t>
  </si>
  <si>
    <t>Revenue Growth</t>
  </si>
  <si>
    <t>Gross Margin</t>
  </si>
  <si>
    <t>Net Margin</t>
  </si>
  <si>
    <t>CFFO</t>
  </si>
  <si>
    <t>Q124</t>
  </si>
  <si>
    <t>Q224</t>
  </si>
  <si>
    <t>Q324</t>
  </si>
  <si>
    <t>Q424</t>
  </si>
  <si>
    <t>Q125</t>
  </si>
  <si>
    <t>Maturity</t>
  </si>
  <si>
    <t>Discount</t>
  </si>
  <si>
    <t>NPV</t>
  </si>
  <si>
    <t>Diff</t>
  </si>
  <si>
    <t>Pretax Income</t>
  </si>
  <si>
    <t>Tax</t>
  </si>
  <si>
    <t>Tax Rate</t>
  </si>
  <si>
    <t>MAU</t>
  </si>
  <si>
    <t>COGS</t>
  </si>
  <si>
    <t>R&amp;D</t>
  </si>
  <si>
    <t>S&amp;M</t>
  </si>
  <si>
    <t>G&amp;A</t>
  </si>
  <si>
    <t>OPEX</t>
  </si>
  <si>
    <t>Other Income</t>
  </si>
  <si>
    <t>Gross Profit</t>
  </si>
  <si>
    <t>Interest</t>
  </si>
  <si>
    <t>CX</t>
  </si>
  <si>
    <t>Net Cash</t>
  </si>
  <si>
    <t>R&amp;D % of R</t>
  </si>
  <si>
    <t>ROIC</t>
  </si>
  <si>
    <t>EPS</t>
  </si>
  <si>
    <t>PE</t>
  </si>
  <si>
    <t>FCF Margin</t>
  </si>
  <si>
    <t>Operating Margin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</si>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</sst>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46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0F20E6-FE19-897D-49EA-F937B6646118}"/>
            </a:ext>
          </a:extLst>
        </xdr:cNvPr>
        <xdr:cNvCxnSpPr/>
      </xdr:nvCxnSpPr>
      <xdr:spPr>
        <a:xfrm flipH="1">
          <a:off x="6096000" y="0"/>
          <a:ext cx="19050" cy="5514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9525</xdr:rowOff>
    </xdr:from>
    <xdr:to>
      <xdr:col>5</xdr:col>
      <xdr:colOff>0</xdr:colOff>
      <xdr:row>46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86A3CB-0BEC-9DEB-5BD0-735C76F36144}"/>
            </a:ext>
          </a:extLst>
        </xdr:cNvPr>
        <xdr:cNvCxnSpPr/>
      </xdr:nvCxnSpPr>
      <xdr:spPr>
        <a:xfrm>
          <a:off x="3038475" y="9525"/>
          <a:ext cx="9525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B11-F388-4BB8-9EB8-C99DB9269CC8}">
  <dimension ref="A13:H24"/>
  <sheetViews>
    <sheetView topLeftCell="A13" zoomScale="220" zoomScaleNormal="220" workbookViewId="0">
      <selection activeCell="B26" sqref="B26"/>
    </sheetView>
  </sheetViews>
  <sheetFormatPr defaultRowHeight="15" x14ac:dyDescent="0.25"/>
  <sheetData>
    <row r="13" spans="1:8" x14ac:dyDescent="0.25">
      <c r="A13" s="1" t="s">
        <v>0</v>
      </c>
    </row>
    <row r="14" spans="1:8" x14ac:dyDescent="0.25">
      <c r="F14" t="s">
        <v>1</v>
      </c>
      <c r="G14" s="2">
        <v>27</v>
      </c>
    </row>
    <row r="15" spans="1:8" x14ac:dyDescent="0.25">
      <c r="F15" t="s">
        <v>2</v>
      </c>
      <c r="G15" s="2">
        <v>678.24</v>
      </c>
      <c r="H15" t="s">
        <v>19</v>
      </c>
    </row>
    <row r="16" spans="1:8" x14ac:dyDescent="0.25">
      <c r="F16" t="s">
        <v>3</v>
      </c>
      <c r="G16" s="2">
        <f>G15*G14</f>
        <v>18312.48</v>
      </c>
    </row>
    <row r="17" spans="6:8" x14ac:dyDescent="0.25">
      <c r="F17" t="s">
        <v>4</v>
      </c>
      <c r="G17" s="2">
        <f>1136.4+1376.4</f>
        <v>2512.8000000000002</v>
      </c>
      <c r="H17" t="s">
        <v>19</v>
      </c>
    </row>
    <row r="18" spans="6:8" x14ac:dyDescent="0.25">
      <c r="F18" t="s">
        <v>5</v>
      </c>
      <c r="G18" s="2">
        <v>0</v>
      </c>
      <c r="H18" t="s">
        <v>19</v>
      </c>
    </row>
    <row r="19" spans="6:8" x14ac:dyDescent="0.25">
      <c r="F19" t="s">
        <v>6</v>
      </c>
      <c r="G19" s="2">
        <f>G16+G18-G17</f>
        <v>15799.68</v>
      </c>
    </row>
    <row r="20" spans="6:8" x14ac:dyDescent="0.25">
      <c r="F20" t="s">
        <v>42</v>
      </c>
      <c r="G20">
        <f>G14/Sheet2!K31</f>
        <v>21.191173815838813</v>
      </c>
    </row>
    <row r="22" spans="6:8" x14ac:dyDescent="0.25">
      <c r="F22" t="s">
        <v>7</v>
      </c>
      <c r="G22" s="2">
        <v>940</v>
      </c>
      <c r="H22" s="3">
        <f>$G$19/G22</f>
        <v>16.808170212765958</v>
      </c>
    </row>
    <row r="23" spans="6:8" x14ac:dyDescent="0.25">
      <c r="F23" t="s">
        <v>8</v>
      </c>
      <c r="G23">
        <f>G22*4</f>
        <v>3760</v>
      </c>
      <c r="H23" s="3">
        <f>$G$19/G23</f>
        <v>4.2020425531914896</v>
      </c>
    </row>
    <row r="24" spans="6:8" x14ac:dyDescent="0.25">
      <c r="F24" t="s">
        <v>9</v>
      </c>
      <c r="G24">
        <f>G23*1.1</f>
        <v>4136</v>
      </c>
      <c r="H24" s="3">
        <f>$G$19/G24</f>
        <v>3.820038684719536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02D-E6E4-44F9-948E-28184C84453C}">
  <dimension ref="A1:EQ38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25" sqref="R25"/>
    </sheetView>
  </sheetViews>
  <sheetFormatPr defaultRowHeight="15" x14ac:dyDescent="0.25"/>
  <cols>
    <col min="1" max="1" width="15.85546875" style="2" customWidth="1"/>
    <col min="2" max="16" width="9.140625" style="2"/>
    <col min="17" max="17" width="10.85546875" style="2" bestFit="1" customWidth="1"/>
    <col min="18" max="16384" width="9.140625" style="2"/>
  </cols>
  <sheetData>
    <row r="1" spans="1:121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H1" s="5">
        <f>I1-1</f>
        <v>2022</v>
      </c>
      <c r="I1" s="5">
        <f>J1-1</f>
        <v>2023</v>
      </c>
      <c r="J1" s="5">
        <v>2024</v>
      </c>
      <c r="K1" s="5">
        <f>J1+1</f>
        <v>2025</v>
      </c>
      <c r="L1" s="5">
        <f t="shared" ref="L1:O1" si="0">K1+1</f>
        <v>2026</v>
      </c>
      <c r="M1" s="5">
        <f t="shared" si="0"/>
        <v>2027</v>
      </c>
      <c r="N1" s="5">
        <f t="shared" si="0"/>
        <v>2028</v>
      </c>
      <c r="O1" s="5">
        <f t="shared" si="0"/>
        <v>2029</v>
      </c>
    </row>
    <row r="2" spans="1:121" x14ac:dyDescent="0.25">
      <c r="A2" s="6" t="s">
        <v>10</v>
      </c>
      <c r="B2" s="6"/>
      <c r="C2" s="6"/>
      <c r="D2" s="6"/>
      <c r="E2" s="6">
        <v>1154</v>
      </c>
      <c r="F2" s="6">
        <v>850</v>
      </c>
      <c r="G2" s="6"/>
      <c r="H2" s="6">
        <v>2802</v>
      </c>
      <c r="I2" s="6">
        <v>3055</v>
      </c>
      <c r="J2" s="6">
        <v>3646</v>
      </c>
      <c r="K2" s="6">
        <f>J2*1.15</f>
        <v>4192.8999999999996</v>
      </c>
      <c r="L2" s="6">
        <f>K2*1.11</f>
        <v>4654.1189999999997</v>
      </c>
      <c r="M2" s="6">
        <f t="shared" ref="M2:O2" si="1">L2*1.11</f>
        <v>5166.0720899999997</v>
      </c>
      <c r="N2" s="6">
        <f t="shared" si="1"/>
        <v>5734.3400198999998</v>
      </c>
      <c r="O2" s="6">
        <f t="shared" si="1"/>
        <v>6365.1174220890007</v>
      </c>
    </row>
    <row r="3" spans="1:121" x14ac:dyDescent="0.25">
      <c r="A3" s="2" t="s">
        <v>29</v>
      </c>
      <c r="E3" s="2">
        <v>196.9</v>
      </c>
      <c r="F3" s="2">
        <f>E3*F20</f>
        <v>163.42699999999999</v>
      </c>
      <c r="I3" s="2">
        <v>688.76</v>
      </c>
      <c r="J3" s="2">
        <v>750.35500000000002</v>
      </c>
      <c r="K3" s="2">
        <f>K2*(1-K20)</f>
        <v>829.60833249999973</v>
      </c>
      <c r="L3" s="2">
        <f>L2*(1-L20)</f>
        <v>883.53271156574988</v>
      </c>
      <c r="M3" s="2">
        <f>M2*(1-M20)</f>
        <v>938.86780203636226</v>
      </c>
      <c r="N3" s="2">
        <f>N2*(1-N20)</f>
        <v>995.22129266396541</v>
      </c>
      <c r="O3" s="2">
        <f>O2*(1-O20)</f>
        <v>1052.0914169846819</v>
      </c>
    </row>
    <row r="4" spans="1:121" x14ac:dyDescent="0.25">
      <c r="A4" s="2" t="s">
        <v>35</v>
      </c>
      <c r="B4" s="2">
        <f>B2-B3</f>
        <v>0</v>
      </c>
      <c r="C4" s="2">
        <f>C2-C3</f>
        <v>0</v>
      </c>
      <c r="D4" s="2">
        <f>D2-D3</f>
        <v>0</v>
      </c>
      <c r="E4" s="2">
        <f>E2-E3</f>
        <v>957.1</v>
      </c>
      <c r="F4" s="2">
        <f>F2-F3</f>
        <v>686.57299999999998</v>
      </c>
      <c r="H4" s="2">
        <f>H2-H3</f>
        <v>2802</v>
      </c>
      <c r="I4" s="2">
        <f t="shared" ref="I4:O4" si="2">I2-I3</f>
        <v>2366.2399999999998</v>
      </c>
      <c r="J4" s="2">
        <f t="shared" si="2"/>
        <v>2895.645</v>
      </c>
      <c r="K4" s="2">
        <f t="shared" si="2"/>
        <v>3363.2916674999997</v>
      </c>
      <c r="L4" s="2">
        <f t="shared" si="2"/>
        <v>3770.5862884342496</v>
      </c>
      <c r="M4" s="2">
        <f t="shared" si="2"/>
        <v>4227.2042879636374</v>
      </c>
      <c r="N4" s="2">
        <f t="shared" si="2"/>
        <v>4739.1187272360348</v>
      </c>
      <c r="O4" s="2">
        <f t="shared" si="2"/>
        <v>5313.0260051043188</v>
      </c>
    </row>
    <row r="5" spans="1:121" x14ac:dyDescent="0.25">
      <c r="A5" s="2" t="s">
        <v>30</v>
      </c>
      <c r="E5" s="2">
        <v>320.7</v>
      </c>
      <c r="I5" s="2">
        <v>1068.4000000000001</v>
      </c>
      <c r="J5" s="2">
        <v>1240.5640000000001</v>
      </c>
      <c r="K5" s="2">
        <f>J5*1.05</f>
        <v>1302.5922</v>
      </c>
      <c r="L5" s="2">
        <f t="shared" ref="L5:O5" si="3">K5*1.05</f>
        <v>1367.72181</v>
      </c>
      <c r="M5" s="2">
        <f t="shared" si="3"/>
        <v>1436.1079005000001</v>
      </c>
      <c r="N5" s="2">
        <f t="shared" si="3"/>
        <v>1507.9132955250002</v>
      </c>
      <c r="O5" s="2">
        <f t="shared" si="3"/>
        <v>1583.3089603012502</v>
      </c>
    </row>
    <row r="6" spans="1:121" x14ac:dyDescent="0.25">
      <c r="A6" s="2" t="s">
        <v>31</v>
      </c>
      <c r="E6" s="2">
        <v>271.10000000000002</v>
      </c>
      <c r="I6" s="2">
        <v>911.1</v>
      </c>
      <c r="J6" s="2">
        <v>1011.772</v>
      </c>
      <c r="K6" s="2">
        <f>J6*1.05</f>
        <v>1062.3606000000002</v>
      </c>
      <c r="L6" s="2">
        <f t="shared" ref="L6:O6" si="4">K6*1.05</f>
        <v>1115.4786300000003</v>
      </c>
      <c r="M6" s="2">
        <f t="shared" si="4"/>
        <v>1171.2525615000004</v>
      </c>
      <c r="N6" s="2">
        <f t="shared" si="4"/>
        <v>1229.8151895750004</v>
      </c>
      <c r="O6" s="2">
        <f t="shared" si="4"/>
        <v>1291.3059490537505</v>
      </c>
    </row>
    <row r="7" spans="1:121" x14ac:dyDescent="0.25">
      <c r="A7" s="2" t="s">
        <v>32</v>
      </c>
      <c r="E7" s="2">
        <v>103.7</v>
      </c>
      <c r="I7" s="2">
        <v>512.4</v>
      </c>
      <c r="J7" s="2">
        <v>463.65800000000002</v>
      </c>
      <c r="K7" s="2">
        <f>J7*1.01</f>
        <v>468.29458</v>
      </c>
      <c r="L7" s="2">
        <f t="shared" ref="L7:O7" si="5">K7*1.01</f>
        <v>472.97752580000002</v>
      </c>
      <c r="M7" s="2">
        <f t="shared" si="5"/>
        <v>477.70730105800004</v>
      </c>
      <c r="N7" s="2">
        <f t="shared" si="5"/>
        <v>482.48437406858005</v>
      </c>
      <c r="O7" s="2">
        <f t="shared" si="5"/>
        <v>487.30921780926587</v>
      </c>
    </row>
    <row r="8" spans="1:121" x14ac:dyDescent="0.25">
      <c r="A8" s="2" t="s">
        <v>33</v>
      </c>
      <c r="B8" s="2">
        <f>SUM(B5:B7)</f>
        <v>0</v>
      </c>
      <c r="C8" s="2">
        <f t="shared" ref="C8:H8" si="6">SUM(C5:C7)</f>
        <v>0</v>
      </c>
      <c r="D8" s="2">
        <f t="shared" si="6"/>
        <v>0</v>
      </c>
      <c r="E8" s="2">
        <f t="shared" si="6"/>
        <v>695.5</v>
      </c>
      <c r="F8" s="2">
        <f t="shared" si="6"/>
        <v>0</v>
      </c>
      <c r="H8" s="2">
        <f t="shared" si="6"/>
        <v>0</v>
      </c>
      <c r="I8" s="2">
        <f t="shared" ref="I8" si="7">SUM(I5:I7)</f>
        <v>2491.9</v>
      </c>
      <c r="J8" s="2">
        <f t="shared" ref="J8" si="8">SUM(J5:J7)</f>
        <v>2715.9940000000001</v>
      </c>
      <c r="K8" s="2">
        <f t="shared" ref="K8" si="9">SUM(K5:K7)</f>
        <v>2833.2473799999998</v>
      </c>
      <c r="L8" s="2">
        <f t="shared" ref="L8" si="10">SUM(L5:L7)</f>
        <v>2956.1779658000005</v>
      </c>
      <c r="M8" s="2">
        <f t="shared" ref="M8" si="11">SUM(M5:M7)</f>
        <v>3085.0677630580008</v>
      </c>
      <c r="N8" s="2">
        <f t="shared" ref="N8" si="12">SUM(N5:N7)</f>
        <v>3220.2128591685805</v>
      </c>
      <c r="O8" s="2">
        <f t="shared" ref="O8" si="13">SUM(O5:O7)</f>
        <v>3361.9241271642668</v>
      </c>
    </row>
    <row r="9" spans="1:121" x14ac:dyDescent="0.25">
      <c r="A9" s="2" t="s">
        <v>45</v>
      </c>
      <c r="H9" s="2">
        <f>H4-H8</f>
        <v>2802</v>
      </c>
      <c r="I9" s="2">
        <f>I4-I8</f>
        <v>-125.66000000000031</v>
      </c>
      <c r="J9" s="2">
        <f t="shared" ref="J9:O9" si="14">J4-J8</f>
        <v>179.65099999999984</v>
      </c>
      <c r="K9" s="2">
        <f t="shared" si="14"/>
        <v>530.04428749999988</v>
      </c>
      <c r="L9" s="2">
        <f t="shared" si="14"/>
        <v>814.40832263424909</v>
      </c>
      <c r="M9" s="2">
        <f t="shared" si="14"/>
        <v>1142.1365249056366</v>
      </c>
      <c r="N9" s="2">
        <f t="shared" si="14"/>
        <v>1518.9058680674543</v>
      </c>
      <c r="O9" s="2">
        <f t="shared" si="14"/>
        <v>1951.101877940052</v>
      </c>
    </row>
    <row r="10" spans="1:121" x14ac:dyDescent="0.25">
      <c r="A10" s="2" t="s">
        <v>36</v>
      </c>
      <c r="E10" s="2">
        <v>28.6</v>
      </c>
      <c r="I10" s="2">
        <v>105.4</v>
      </c>
      <c r="J10" s="2">
        <v>127</v>
      </c>
      <c r="K10" s="2">
        <f>J32*$R$23</f>
        <v>150.768</v>
      </c>
      <c r="L10" s="2">
        <f>K32*$R$23</f>
        <v>183.8554771725</v>
      </c>
      <c r="M10" s="2">
        <f>L32*$R$23</f>
        <v>232.37109784310803</v>
      </c>
      <c r="N10" s="2">
        <f>M32*$R$23</f>
        <v>299.17216830869705</v>
      </c>
      <c r="O10" s="2">
        <f>N32*$R$23</f>
        <v>387.53076087657797</v>
      </c>
    </row>
    <row r="11" spans="1:121" x14ac:dyDescent="0.25">
      <c r="A11" s="2" t="s">
        <v>34</v>
      </c>
      <c r="E11" s="2">
        <v>-13.3</v>
      </c>
      <c r="I11" s="2">
        <v>3.8</v>
      </c>
      <c r="J11" s="2">
        <v>-19.215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21" x14ac:dyDescent="0.25">
      <c r="A12" s="2" t="s">
        <v>25</v>
      </c>
      <c r="B12" s="2">
        <f>B4-B8+B11+B10</f>
        <v>0</v>
      </c>
      <c r="C12" s="2">
        <f t="shared" ref="C12:D12" si="15">C4-C8+C11+C10</f>
        <v>0</v>
      </c>
      <c r="D12" s="2">
        <f t="shared" si="15"/>
        <v>0</v>
      </c>
      <c r="E12" s="2">
        <f>E4-E8+E11+E10</f>
        <v>276.90000000000003</v>
      </c>
      <c r="F12" s="2">
        <f>F4-F8+F11+F10</f>
        <v>686.57299999999998</v>
      </c>
      <c r="H12" s="2">
        <f>H9+SUM(H10:H11)</f>
        <v>2802</v>
      </c>
      <c r="I12" s="2">
        <f>I9+SUM(I10:I11)</f>
        <v>-16.460000000000306</v>
      </c>
      <c r="J12" s="2">
        <f t="shared" ref="J12:O12" si="16">J9+SUM(J10:J11)</f>
        <v>287.43599999999981</v>
      </c>
      <c r="K12" s="2">
        <f t="shared" si="16"/>
        <v>680.81228749999991</v>
      </c>
      <c r="L12" s="2">
        <f t="shared" si="16"/>
        <v>998.26379980674915</v>
      </c>
      <c r="M12" s="2">
        <f t="shared" si="16"/>
        <v>1374.5076227487448</v>
      </c>
      <c r="N12" s="2">
        <f t="shared" si="16"/>
        <v>1818.0780363761514</v>
      </c>
      <c r="O12" s="2">
        <f t="shared" si="16"/>
        <v>2338.6326388166299</v>
      </c>
    </row>
    <row r="13" spans="1:121" x14ac:dyDescent="0.25">
      <c r="A13" s="2" t="s">
        <v>26</v>
      </c>
      <c r="E13" s="2">
        <v>-1570.6</v>
      </c>
      <c r="I13" s="2">
        <v>19.170000000000002</v>
      </c>
      <c r="J13" s="2">
        <v>-1574.501</v>
      </c>
      <c r="K13" s="2">
        <f>K12*K25</f>
        <v>129.35433462499998</v>
      </c>
      <c r="L13" s="2">
        <f>L12*L25</f>
        <v>189.67012196328233</v>
      </c>
      <c r="M13" s="2">
        <f>M12*M25</f>
        <v>261.1564483222615</v>
      </c>
      <c r="N13" s="2">
        <f>N12*N25</f>
        <v>345.4348269114688</v>
      </c>
      <c r="O13" s="2">
        <f>O12*O25</f>
        <v>444.34020137515967</v>
      </c>
    </row>
    <row r="14" spans="1:121" s="6" customFormat="1" x14ac:dyDescent="0.25">
      <c r="A14" s="6" t="s">
        <v>11</v>
      </c>
      <c r="B14" s="6">
        <f>B12-B13</f>
        <v>0</v>
      </c>
      <c r="C14" s="6">
        <f>C12-C13</f>
        <v>0</v>
      </c>
      <c r="D14" s="6">
        <f>D12-D13</f>
        <v>0</v>
      </c>
      <c r="E14" s="6">
        <f>E12-E13</f>
        <v>1847.5</v>
      </c>
      <c r="F14" s="6">
        <f>F12-F13</f>
        <v>686.57299999999998</v>
      </c>
      <c r="H14" s="6">
        <v>-96</v>
      </c>
      <c r="I14" s="6">
        <v>-35</v>
      </c>
      <c r="J14" s="6">
        <f t="shared" ref="J14:O14" si="17">J12-J13</f>
        <v>1861.9369999999999</v>
      </c>
      <c r="K14" s="6">
        <f t="shared" si="17"/>
        <v>551.45795287499993</v>
      </c>
      <c r="L14" s="6">
        <f t="shared" si="17"/>
        <v>808.59367784346682</v>
      </c>
      <c r="M14" s="6">
        <f t="shared" si="17"/>
        <v>1113.3511744264833</v>
      </c>
      <c r="N14" s="6">
        <f t="shared" si="17"/>
        <v>1472.6432094646825</v>
      </c>
      <c r="O14" s="6">
        <f t="shared" si="17"/>
        <v>1894.2924374414702</v>
      </c>
      <c r="P14" s="6">
        <f>O14*(1+$R$24)</f>
        <v>1913.235361815885</v>
      </c>
      <c r="Q14" s="6">
        <f>P14*(1+$R$24)</f>
        <v>1932.3677154340439</v>
      </c>
      <c r="R14" s="6">
        <f>Q14*(1+$R$24)</f>
        <v>1951.6913925883844</v>
      </c>
      <c r="S14" s="6">
        <f>R14*(1+$R$24)</f>
        <v>1971.2083065142683</v>
      </c>
      <c r="T14" s="6">
        <f>S14*(1+$R$24)</f>
        <v>1990.920389579411</v>
      </c>
      <c r="U14" s="6">
        <f>T14*(1+$R$24)</f>
        <v>2010.8295934752052</v>
      </c>
      <c r="V14" s="6">
        <f>U14*(1+$R$24)</f>
        <v>2030.9378894099573</v>
      </c>
      <c r="W14" s="6">
        <f>V14*(1+$R$24)</f>
        <v>2051.2472683040569</v>
      </c>
      <c r="X14" s="6">
        <f>W14*(1+$R$24)</f>
        <v>2071.7597409870973</v>
      </c>
      <c r="Y14" s="6">
        <f>X14*(1+$R$24)</f>
        <v>2092.4773383969682</v>
      </c>
      <c r="Z14" s="6">
        <f>Y14*(1+$R$24)</f>
        <v>2113.402111780938</v>
      </c>
      <c r="AA14" s="6">
        <f>Z14*(1+$R$24)</f>
        <v>2134.5361328987474</v>
      </c>
      <c r="AB14" s="6">
        <f>AA14*(1+$R$24)</f>
        <v>2155.8814942277349</v>
      </c>
      <c r="AC14" s="6">
        <f>AB14*(1+$R$24)</f>
        <v>2177.4403091700124</v>
      </c>
      <c r="AD14" s="6">
        <f>AC14*(1+$R$24)</f>
        <v>2199.2147122617125</v>
      </c>
      <c r="AE14" s="6">
        <f>AD14*(1+$R$24)</f>
        <v>2221.2068593843296</v>
      </c>
      <c r="AF14" s="6">
        <f>AE14*(1+$R$24)</f>
        <v>2243.4189279781731</v>
      </c>
      <c r="AG14" s="6">
        <f>AF14*(1+$R$24)</f>
        <v>2265.8531172579546</v>
      </c>
      <c r="AH14" s="6">
        <f>AG14*(1+$R$24)</f>
        <v>2288.511648430534</v>
      </c>
      <c r="AI14" s="6">
        <f>AH14*(1+$R$24)</f>
        <v>2311.3967649148394</v>
      </c>
      <c r="AJ14" s="6">
        <f>AI14*(1+$R$24)</f>
        <v>2334.5107325639879</v>
      </c>
      <c r="AK14" s="6">
        <f>AJ14*(1+$R$24)</f>
        <v>2357.8558398896275</v>
      </c>
      <c r="AL14" s="6">
        <f>AK14*(1+$R$24)</f>
        <v>2381.4343982885239</v>
      </c>
      <c r="AM14" s="6">
        <f>AL14*(1+$R$24)</f>
        <v>2405.2487422714094</v>
      </c>
      <c r="AN14" s="6">
        <f>AM14*(1+$R$24)</f>
        <v>2429.3012296941233</v>
      </c>
      <c r="AO14" s="6">
        <f>AN14*(1+$R$24)</f>
        <v>2453.5942419910648</v>
      </c>
      <c r="AP14" s="6">
        <f>AO14*(1+$R$24)</f>
        <v>2478.1301844109753</v>
      </c>
      <c r="AQ14" s="6">
        <f>AP14*(1+$R$24)</f>
        <v>2502.911486255085</v>
      </c>
      <c r="AR14" s="6">
        <f>AQ14*(1+$R$24)</f>
        <v>2527.9406011176361</v>
      </c>
      <c r="AS14" s="6">
        <f>AR14*(1+$R$24)</f>
        <v>2553.2200071288125</v>
      </c>
      <c r="AT14" s="6">
        <f>AS14*(1+$R$24)</f>
        <v>2578.7522072001007</v>
      </c>
      <c r="AU14" s="6">
        <f>AT14*(1+$R$24)</f>
        <v>2604.5397292721018</v>
      </c>
      <c r="AV14" s="6">
        <f>AU14*(1+$R$24)</f>
        <v>2630.585126564823</v>
      </c>
      <c r="AW14" s="6">
        <f>AV14*(1+$R$24)</f>
        <v>2656.8909778304715</v>
      </c>
      <c r="AX14" s="6">
        <f>AW14*(1+$R$24)</f>
        <v>2683.4598876087762</v>
      </c>
      <c r="AY14" s="6">
        <f>AX14*(1+$R$24)</f>
        <v>2710.2944864848641</v>
      </c>
      <c r="AZ14" s="6">
        <f>AY14*(1+$R$24)</f>
        <v>2737.3974313497129</v>
      </c>
      <c r="BA14" s="6">
        <f>AZ14*(1+$R$24)</f>
        <v>2764.7714056632099</v>
      </c>
      <c r="BB14" s="6">
        <f>BA14*(1+$R$24)</f>
        <v>2792.419119719842</v>
      </c>
      <c r="BC14" s="6">
        <f>BB14*(1+$R$24)</f>
        <v>2820.3433109170405</v>
      </c>
      <c r="BD14" s="6">
        <f>BC14*(1+$R$24)</f>
        <v>2848.5467440262109</v>
      </c>
      <c r="BE14" s="6">
        <f>BD14*(1+$R$24)</f>
        <v>2877.0322114664732</v>
      </c>
      <c r="BF14" s="6">
        <f>BE14*(1+$R$24)</f>
        <v>2905.8025335811381</v>
      </c>
      <c r="BG14" s="6">
        <f>BF14*(1+$R$24)</f>
        <v>2934.8605589169492</v>
      </c>
      <c r="BH14" s="6">
        <f>BG14*(1+$R$24)</f>
        <v>2964.2091645061187</v>
      </c>
      <c r="BI14" s="6">
        <f>BH14*(1+$R$24)</f>
        <v>2993.8512561511798</v>
      </c>
      <c r="BJ14" s="6">
        <f>BI14*(1+$R$24)</f>
        <v>3023.7897687126915</v>
      </c>
      <c r="BK14" s="6">
        <f>BJ14*(1+$R$24)</f>
        <v>3054.0276663998184</v>
      </c>
      <c r="BL14" s="6">
        <f>BK14*(1+$R$24)</f>
        <v>3084.5679430638165</v>
      </c>
      <c r="BM14" s="6">
        <f>BL14*(1+$R$24)</f>
        <v>3115.4136224944546</v>
      </c>
      <c r="BN14" s="6">
        <f>BM14*(1+$R$24)</f>
        <v>3146.5677587193991</v>
      </c>
      <c r="BO14" s="6">
        <f>BN14*(1+$R$24)</f>
        <v>3178.0334363065931</v>
      </c>
      <c r="BP14" s="6">
        <f>BO14*(1+$R$24)</f>
        <v>3209.8137706696589</v>
      </c>
      <c r="BQ14" s="6">
        <f>BP14*(1+$R$24)</f>
        <v>3241.9119083763553</v>
      </c>
      <c r="BR14" s="6">
        <f>BQ14*(1+$R$24)</f>
        <v>3274.331027460119</v>
      </c>
      <c r="BS14" s="6">
        <f>BR14*(1+$R$24)</f>
        <v>3307.0743377347203</v>
      </c>
      <c r="BT14" s="6">
        <f>BS14*(1+$R$24)</f>
        <v>3340.1450811120676</v>
      </c>
      <c r="BU14" s="6">
        <f>BT14*(1+$R$24)</f>
        <v>3373.5465319231885</v>
      </c>
      <c r="BV14" s="6">
        <f>BU14*(1+$R$24)</f>
        <v>3407.2819972424204</v>
      </c>
      <c r="BW14" s="6">
        <f>BV14*(1+$R$24)</f>
        <v>3441.3548172148448</v>
      </c>
      <c r="BX14" s="6">
        <f>BW14*(1+$R$24)</f>
        <v>3475.7683653869935</v>
      </c>
      <c r="BY14" s="6">
        <f>BX14*(1+$R$24)</f>
        <v>3510.5260490408637</v>
      </c>
      <c r="BZ14" s="6">
        <f>BY14*(1+$R$24)</f>
        <v>3545.6313095312721</v>
      </c>
      <c r="CA14" s="6">
        <f>BZ14*(1+$R$24)</f>
        <v>3581.087622626585</v>
      </c>
      <c r="CB14" s="6">
        <f>CA14*(1+$R$24)</f>
        <v>3616.8984988528509</v>
      </c>
      <c r="CC14" s="6">
        <f>CB14*(1+$R$24)</f>
        <v>3653.0674838413793</v>
      </c>
      <c r="CD14" s="6">
        <f>CC14*(1+$R$24)</f>
        <v>3689.598158679793</v>
      </c>
      <c r="CE14" s="6">
        <f>CD14*(1+$R$24)</f>
        <v>3726.4941402665909</v>
      </c>
      <c r="CF14" s="6">
        <f>CE14*(1+$R$24)</f>
        <v>3763.7590816692568</v>
      </c>
      <c r="CG14" s="6">
        <f>CF14*(1+$R$24)</f>
        <v>3801.3966724859492</v>
      </c>
      <c r="CH14" s="6">
        <f>CG14*(1+$R$24)</f>
        <v>3839.4106392108088</v>
      </c>
      <c r="CI14" s="6">
        <f>CH14*(1+$R$24)</f>
        <v>3877.8047456029167</v>
      </c>
      <c r="CJ14" s="6">
        <f>CI14*(1+$R$24)</f>
        <v>3916.5827930589458</v>
      </c>
      <c r="CK14" s="6">
        <f>CJ14*(1+$R$24)</f>
        <v>3955.7486209895351</v>
      </c>
      <c r="CL14" s="6">
        <f>CK14*(1+$R$24)</f>
        <v>3995.3061071994302</v>
      </c>
      <c r="CM14" s="6">
        <f>CL14*(1+$R$24)</f>
        <v>4035.2591682714246</v>
      </c>
      <c r="CN14" s="6">
        <f>CM14*(1+$R$24)</f>
        <v>4075.611759954139</v>
      </c>
      <c r="CO14" s="6">
        <f>CN14*(1+$R$24)</f>
        <v>4116.36787755368</v>
      </c>
      <c r="CP14" s="6">
        <f>CO14*(1+$R$24)</f>
        <v>4157.531556329217</v>
      </c>
      <c r="CQ14" s="6">
        <f>CP14*(1+$R$24)</f>
        <v>4199.1068718925089</v>
      </c>
      <c r="CR14" s="6">
        <f>CQ14*(1+$R$24)</f>
        <v>4241.0979406114338</v>
      </c>
      <c r="CS14" s="6">
        <f>CR14*(1+$R$24)</f>
        <v>4283.508920017548</v>
      </c>
      <c r="CT14" s="6">
        <f>CS14*(1+$R$24)</f>
        <v>4326.3440092177234</v>
      </c>
      <c r="CU14" s="6">
        <f>CT14*(1+$R$24)</f>
        <v>4369.6074493099004</v>
      </c>
      <c r="CV14" s="6">
        <f>CU14*(1+$R$24)</f>
        <v>4413.3035238029997</v>
      </c>
      <c r="CW14" s="6">
        <f>CV14*(1+$R$24)</f>
        <v>4457.4365590410298</v>
      </c>
      <c r="CX14" s="6">
        <f>CW14*(1+$R$24)</f>
        <v>4502.0109246314405</v>
      </c>
      <c r="CY14" s="6">
        <f>CX14*(1+$R$24)</f>
        <v>4547.0310338777554</v>
      </c>
      <c r="CZ14" s="6">
        <f>CY14*(1+$R$24)</f>
        <v>4592.5013442165327</v>
      </c>
      <c r="DA14" s="6">
        <f>CZ14*(1+$R$24)</f>
        <v>4638.4263576586982</v>
      </c>
      <c r="DB14" s="6">
        <f>DA14*(1+$R$24)</f>
        <v>4684.810621235285</v>
      </c>
      <c r="DC14" s="6">
        <f>DB14*(1+$R$24)</f>
        <v>4731.6587274476378</v>
      </c>
      <c r="DD14" s="6">
        <f>DC14*(1+$R$24)</f>
        <v>4778.9753147221145</v>
      </c>
      <c r="DE14" s="6">
        <f>DD14*(1+$R$24)</f>
        <v>4826.7650678693353</v>
      </c>
      <c r="DF14" s="6">
        <f>DE14*(1+$R$24)</f>
        <v>4875.0327185480292</v>
      </c>
      <c r="DG14" s="6">
        <f>DF14*(1+$R$24)</f>
        <v>4923.7830457335094</v>
      </c>
      <c r="DH14" s="6">
        <f>DG14*(1+$R$24)</f>
        <v>4973.0208761908443</v>
      </c>
      <c r="DI14" s="6">
        <f>DH14*(1+$R$24)</f>
        <v>5022.7510849527525</v>
      </c>
      <c r="DJ14" s="6">
        <f>DI14*(1+$R$24)</f>
        <v>5072.9785958022803</v>
      </c>
      <c r="DK14" s="6">
        <f>DJ14*(1+$R$24)</f>
        <v>5123.7083817603034</v>
      </c>
      <c r="DL14" s="6">
        <f>DK14*(1+$R$24)</f>
        <v>5174.9454655779064</v>
      </c>
      <c r="DM14" s="6">
        <f>DL14*(1+$R$24)</f>
        <v>5226.6949202336855</v>
      </c>
      <c r="DN14" s="6">
        <f>DM14*(1+$R$24)</f>
        <v>5278.9618694360224</v>
      </c>
      <c r="DO14" s="6">
        <f>DN14*(1+$R$24)</f>
        <v>5331.7514881303823</v>
      </c>
      <c r="DP14" s="6">
        <f>DO14*(1+$R$24)</f>
        <v>5385.0690030116866</v>
      </c>
      <c r="DQ14" s="6">
        <f>DP14*(1+$R$24)</f>
        <v>5438.9196930418038</v>
      </c>
    </row>
    <row r="15" spans="1:121" s="6" customFormat="1" x14ac:dyDescent="0.25">
      <c r="A15" s="2" t="s">
        <v>2</v>
      </c>
      <c r="J15" s="2">
        <v>678.24</v>
      </c>
      <c r="K15" s="2">
        <v>678.24</v>
      </c>
      <c r="L15" s="2">
        <v>678.24</v>
      </c>
      <c r="M15" s="2">
        <v>678.24</v>
      </c>
      <c r="N15" s="2">
        <v>678.24</v>
      </c>
      <c r="O15" s="2">
        <v>678.24</v>
      </c>
    </row>
    <row r="16" spans="1:121" s="6" customFormat="1" x14ac:dyDescent="0.25">
      <c r="A16" s="2" t="s">
        <v>41</v>
      </c>
      <c r="J16" s="9">
        <f>J14/J15</f>
        <v>2.7452479948100965</v>
      </c>
      <c r="K16" s="9">
        <f t="shared" ref="K16:O16" si="18">K14/K15</f>
        <v>0.81307199940286612</v>
      </c>
      <c r="L16" s="9">
        <f t="shared" si="18"/>
        <v>1.1921940284316273</v>
      </c>
      <c r="M16" s="9">
        <f t="shared" si="18"/>
        <v>1.6415298042381508</v>
      </c>
      <c r="N16" s="9">
        <f t="shared" si="18"/>
        <v>2.1712715402581422</v>
      </c>
      <c r="O16" s="9">
        <f t="shared" si="18"/>
        <v>2.7929529922173129</v>
      </c>
    </row>
    <row r="17" spans="1:147" s="6" customFormat="1" x14ac:dyDescent="0.25"/>
    <row r="18" spans="1:147" x14ac:dyDescent="0.25">
      <c r="A18" s="2" t="s">
        <v>39</v>
      </c>
      <c r="H18" s="4">
        <f t="shared" ref="H18:O18" si="19">H5/H2</f>
        <v>0</v>
      </c>
      <c r="I18" s="4">
        <f t="shared" si="19"/>
        <v>0.34972176759410806</v>
      </c>
      <c r="J18" s="4">
        <f t="shared" si="19"/>
        <v>0.34025342841470108</v>
      </c>
      <c r="K18" s="4">
        <f t="shared" si="19"/>
        <v>0.31066617376994449</v>
      </c>
      <c r="L18" s="4">
        <f t="shared" si="19"/>
        <v>0.29387340762021774</v>
      </c>
      <c r="M18" s="4">
        <f t="shared" si="19"/>
        <v>0.27798835855966542</v>
      </c>
      <c r="N18" s="4">
        <f t="shared" si="19"/>
        <v>0.26296196079968354</v>
      </c>
      <c r="O18" s="4">
        <f t="shared" si="19"/>
        <v>0.24874780075645736</v>
      </c>
    </row>
    <row r="19" spans="1:147" x14ac:dyDescent="0.25">
      <c r="A19" s="6" t="s">
        <v>12</v>
      </c>
      <c r="B19" s="6"/>
      <c r="C19" s="6"/>
      <c r="D19" s="6"/>
      <c r="E19" s="6"/>
      <c r="F19" s="6"/>
      <c r="G19" s="6"/>
      <c r="H19" s="6"/>
      <c r="I19" s="7">
        <f t="shared" ref="I19:O19" si="20">I2/H2-1</f>
        <v>9.0292648108494022E-2</v>
      </c>
      <c r="J19" s="7">
        <f t="shared" si="20"/>
        <v>0.1934533551554829</v>
      </c>
      <c r="K19" s="7">
        <f t="shared" si="20"/>
        <v>0.14999999999999991</v>
      </c>
      <c r="L19" s="7">
        <f t="shared" si="20"/>
        <v>0.1100000000000001</v>
      </c>
      <c r="M19" s="7">
        <f t="shared" si="20"/>
        <v>0.1100000000000001</v>
      </c>
      <c r="N19" s="7">
        <f t="shared" si="20"/>
        <v>0.1100000000000001</v>
      </c>
      <c r="O19" s="7">
        <f t="shared" si="20"/>
        <v>0.1100000000000001</v>
      </c>
    </row>
    <row r="20" spans="1:147" x14ac:dyDescent="0.25">
      <c r="A20" s="2" t="s">
        <v>13</v>
      </c>
      <c r="B20" s="4" t="e">
        <f>B4/B2</f>
        <v>#DIV/0!</v>
      </c>
      <c r="C20" s="4" t="e">
        <f>C4/C2</f>
        <v>#DIV/0!</v>
      </c>
      <c r="D20" s="4" t="e">
        <f>D4/D2</f>
        <v>#DIV/0!</v>
      </c>
      <c r="E20" s="4">
        <f>E4/E2</f>
        <v>0.82937608318890821</v>
      </c>
      <c r="F20" s="4">
        <v>0.83</v>
      </c>
      <c r="H20" s="4">
        <f>H4/H2</f>
        <v>1</v>
      </c>
      <c r="I20" s="4">
        <f>I4/I2</f>
        <v>0.77454664484451707</v>
      </c>
      <c r="J20" s="4">
        <f>J4/J2</f>
        <v>0.79419775095995615</v>
      </c>
      <c r="K20" s="4">
        <f>J20*1.01</f>
        <v>0.80213972846955572</v>
      </c>
      <c r="L20" s="4">
        <f t="shared" ref="L20:O20" si="21">K20*1.01</f>
        <v>0.81016112575425125</v>
      </c>
      <c r="M20" s="4">
        <f t="shared" si="21"/>
        <v>0.81826273701179375</v>
      </c>
      <c r="N20" s="4">
        <f t="shared" si="21"/>
        <v>0.82644536438191174</v>
      </c>
      <c r="O20" s="4">
        <f t="shared" si="21"/>
        <v>0.83470981802573085</v>
      </c>
    </row>
    <row r="21" spans="1:147" x14ac:dyDescent="0.25">
      <c r="A21" s="2" t="s">
        <v>14</v>
      </c>
      <c r="E21" s="4">
        <f>E14/E2</f>
        <v>1.600953206239168</v>
      </c>
      <c r="F21" s="4">
        <f>F14/F2</f>
        <v>0.80773294117647054</v>
      </c>
      <c r="H21" s="4">
        <f t="shared" ref="H21:O21" si="22">H14/H2</f>
        <v>-3.4261241970021415E-2</v>
      </c>
      <c r="I21" s="4">
        <f t="shared" si="22"/>
        <v>-1.1456628477905073E-2</v>
      </c>
      <c r="J21" s="4">
        <f t="shared" si="22"/>
        <v>0.51067937465715851</v>
      </c>
      <c r="K21" s="4">
        <f t="shared" si="22"/>
        <v>0.13152184714040402</v>
      </c>
      <c r="L21" s="4">
        <f t="shared" si="22"/>
        <v>0.1737372159679344</v>
      </c>
      <c r="M21" s="4">
        <f t="shared" si="22"/>
        <v>0.21551212507885917</v>
      </c>
      <c r="N21" s="4">
        <f t="shared" si="22"/>
        <v>0.25681128156930666</v>
      </c>
      <c r="O21" s="4">
        <f t="shared" si="22"/>
        <v>0.29760526190257974</v>
      </c>
    </row>
    <row r="22" spans="1:147" x14ac:dyDescent="0.25">
      <c r="A22" s="2" t="s">
        <v>44</v>
      </c>
      <c r="E22" s="4"/>
      <c r="F22" s="4"/>
      <c r="H22" s="4">
        <f>H9/H2</f>
        <v>1</v>
      </c>
      <c r="I22" s="4">
        <f t="shared" ref="I22:O22" si="23">I9/I2</f>
        <v>-4.1132569558101573E-2</v>
      </c>
      <c r="J22" s="4">
        <f t="shared" si="23"/>
        <v>4.9273450356555087E-2</v>
      </c>
      <c r="K22" s="4">
        <f t="shared" si="23"/>
        <v>0.12641472191084926</v>
      </c>
      <c r="L22" s="4">
        <f t="shared" si="23"/>
        <v>0.1749865705269352</v>
      </c>
      <c r="M22" s="4">
        <f t="shared" si="23"/>
        <v>0.22108412445820838</v>
      </c>
      <c r="N22" s="4">
        <f t="shared" si="23"/>
        <v>0.26487893337269219</v>
      </c>
      <c r="O22" s="4">
        <f t="shared" si="23"/>
        <v>0.30653038248267067</v>
      </c>
    </row>
    <row r="23" spans="1:147" x14ac:dyDescent="0.25">
      <c r="A23" s="2" t="s">
        <v>43</v>
      </c>
      <c r="E23" s="4"/>
      <c r="F23" s="4"/>
      <c r="H23" s="4">
        <f>H29/H2</f>
        <v>0.12169878658101356</v>
      </c>
      <c r="I23" s="4">
        <f>I29/I2</f>
        <v>0.18854337152209494</v>
      </c>
      <c r="J23" s="4">
        <f>J29/J2</f>
        <v>0.20405924300603401</v>
      </c>
      <c r="K23" s="4">
        <f>J23*1.01</f>
        <v>0.20609983543609434</v>
      </c>
      <c r="L23" s="4">
        <f t="shared" ref="L23:O23" si="24">K23*1.05</f>
        <v>0.21640482720789905</v>
      </c>
      <c r="M23" s="4">
        <f t="shared" si="24"/>
        <v>0.22722506856829403</v>
      </c>
      <c r="N23" s="4">
        <f t="shared" si="24"/>
        <v>0.23858632199670873</v>
      </c>
      <c r="O23" s="4">
        <f t="shared" si="24"/>
        <v>0.2505156380965442</v>
      </c>
      <c r="Q23" s="2" t="s">
        <v>40</v>
      </c>
      <c r="R23" s="4">
        <v>0.06</v>
      </c>
    </row>
    <row r="24" spans="1:147" x14ac:dyDescent="0.25">
      <c r="H24" s="4"/>
      <c r="I24" s="4"/>
      <c r="J24" s="4"/>
      <c r="K24" s="4"/>
      <c r="L24" s="4"/>
      <c r="M24" s="4"/>
      <c r="N24" s="4"/>
      <c r="O24" s="4"/>
      <c r="Q24" s="2" t="s">
        <v>21</v>
      </c>
      <c r="R24" s="4">
        <v>0.01</v>
      </c>
    </row>
    <row r="25" spans="1:147" x14ac:dyDescent="0.25">
      <c r="A25" s="2" t="s">
        <v>27</v>
      </c>
      <c r="E25" s="4">
        <v>0.21</v>
      </c>
      <c r="F25" s="4">
        <v>0.21</v>
      </c>
      <c r="H25" s="4">
        <f>H13/H12</f>
        <v>0</v>
      </c>
      <c r="I25" s="4">
        <f>I13/I12</f>
        <v>-1.1646415552855192</v>
      </c>
      <c r="J25" s="4">
        <f>J13/J12</f>
        <v>-5.4777446109742725</v>
      </c>
      <c r="K25" s="4">
        <v>0.19</v>
      </c>
      <c r="L25" s="4">
        <v>0.19</v>
      </c>
      <c r="M25" s="4">
        <v>0.19</v>
      </c>
      <c r="N25" s="4">
        <v>0.19</v>
      </c>
      <c r="O25" s="4">
        <v>0.19</v>
      </c>
      <c r="Q25" s="2" t="s">
        <v>22</v>
      </c>
      <c r="R25" s="8">
        <v>8.5000000000000006E-2</v>
      </c>
    </row>
    <row r="26" spans="1:147" x14ac:dyDescent="0.25">
      <c r="H26" s="4"/>
      <c r="I26" s="4"/>
      <c r="J26" s="4"/>
      <c r="K26" s="4"/>
      <c r="L26" s="4"/>
      <c r="M26" s="4"/>
      <c r="N26" s="4"/>
      <c r="O26" s="4"/>
      <c r="Q26" s="2" t="s">
        <v>23</v>
      </c>
      <c r="R26" s="2">
        <f>NPV(R25,K14:EQ14)+Sheet1!G17-Sheet1!G18</f>
        <v>23858.610854950653</v>
      </c>
    </row>
    <row r="27" spans="1:147" x14ac:dyDescent="0.25">
      <c r="A27" s="2" t="s">
        <v>15</v>
      </c>
      <c r="H27" s="2">
        <v>469</v>
      </c>
      <c r="I27" s="2">
        <v>613</v>
      </c>
      <c r="J27" s="2">
        <v>965</v>
      </c>
      <c r="Q27" s="2" t="s">
        <v>1</v>
      </c>
      <c r="R27" s="2">
        <f>R26/Sheet1!G15</f>
        <v>35.177239406332056</v>
      </c>
    </row>
    <row r="28" spans="1:147" x14ac:dyDescent="0.25">
      <c r="A28" s="2" t="s">
        <v>37</v>
      </c>
      <c r="H28" s="2">
        <v>128</v>
      </c>
      <c r="I28" s="2">
        <v>37</v>
      </c>
      <c r="J28" s="2">
        <v>221</v>
      </c>
      <c r="Q28" s="2" t="s">
        <v>24</v>
      </c>
      <c r="R28" s="4">
        <f>R27/Sheet1!G14-1</f>
        <v>0.30286071875303922</v>
      </c>
    </row>
    <row r="29" spans="1:147" x14ac:dyDescent="0.25">
      <c r="A29" s="6" t="s">
        <v>7</v>
      </c>
      <c r="B29" s="6">
        <f>B27-B28</f>
        <v>0</v>
      </c>
      <c r="C29" s="6">
        <f>C27-C28</f>
        <v>0</v>
      </c>
      <c r="D29" s="6">
        <f>D27-D28</f>
        <v>0</v>
      </c>
      <c r="E29" s="6">
        <f>E27-E28</f>
        <v>0</v>
      </c>
      <c r="F29" s="6">
        <f>F27-F28</f>
        <v>0</v>
      </c>
      <c r="G29" s="6"/>
      <c r="H29" s="6">
        <f>H27-H28</f>
        <v>341</v>
      </c>
      <c r="I29" s="6">
        <f>I27-I28</f>
        <v>576</v>
      </c>
      <c r="J29" s="6">
        <f>J27-J28</f>
        <v>744</v>
      </c>
      <c r="K29" s="6">
        <f>K23*K2</f>
        <v>864.15599999999984</v>
      </c>
      <c r="L29" s="6">
        <f t="shared" ref="L29:O29" si="25">L23*L2</f>
        <v>1007.1738179999999</v>
      </c>
      <c r="M29" s="6">
        <f t="shared" si="25"/>
        <v>1173.8610848789999</v>
      </c>
      <c r="N29" s="6">
        <f t="shared" si="25"/>
        <v>1368.1350944264746</v>
      </c>
      <c r="O29" s="6">
        <f t="shared" si="25"/>
        <v>1594.5614525540566</v>
      </c>
      <c r="P29" s="6">
        <f>O29*(1+$R$24)</f>
        <v>1610.5070670795972</v>
      </c>
      <c r="Q29" s="6">
        <f>P29*(1+$R$24)</f>
        <v>1626.6121377503932</v>
      </c>
      <c r="R29" s="6">
        <f>Q29*(1+$R$24)</f>
        <v>1642.8782591278971</v>
      </c>
      <c r="S29" s="6">
        <f>R29*(1+$R$24)</f>
        <v>1659.3070417191761</v>
      </c>
      <c r="T29" s="6">
        <f>S29*(1+$R$24)</f>
        <v>1675.9001121363679</v>
      </c>
      <c r="U29" s="6">
        <f>T29*(1+$R$24)</f>
        <v>1692.6591132577316</v>
      </c>
      <c r="V29" s="6">
        <f>U29*(1+$R$24)</f>
        <v>1709.585704390309</v>
      </c>
      <c r="W29" s="6">
        <f>V29*(1+$R$24)</f>
        <v>1726.6815614342122</v>
      </c>
      <c r="X29" s="6">
        <f>W29*(1+$R$24)</f>
        <v>1743.9483770485544</v>
      </c>
      <c r="Y29" s="6">
        <f>X29*(1+$R$24)</f>
        <v>1761.38786081904</v>
      </c>
      <c r="Z29" s="6">
        <f>Y29*(1+$R$24)</f>
        <v>1779.0017394272304</v>
      </c>
      <c r="AA29" s="6">
        <f>Z29*(1+$R$24)</f>
        <v>1796.7917568215028</v>
      </c>
      <c r="AB29" s="6">
        <f>AA29*(1+$R$24)</f>
        <v>1814.7596743897177</v>
      </c>
      <c r="AC29" s="6">
        <f>AB29*(1+$R$24)</f>
        <v>1832.9072711336148</v>
      </c>
      <c r="AD29" s="6">
        <f>AC29*(1+$R$24)</f>
        <v>1851.2363438449511</v>
      </c>
      <c r="AE29" s="6">
        <f>AD29*(1+$R$24)</f>
        <v>1869.7487072834006</v>
      </c>
      <c r="AF29" s="6">
        <f>AE29*(1+$R$24)</f>
        <v>1888.4461943562346</v>
      </c>
      <c r="AG29" s="6">
        <f>AF29*(1+$R$24)</f>
        <v>1907.3306562997971</v>
      </c>
      <c r="AH29" s="6">
        <f>AG29*(1+$R$24)</f>
        <v>1926.403962862795</v>
      </c>
      <c r="AI29" s="6">
        <f>AH29*(1+$R$24)</f>
        <v>1945.6680024914228</v>
      </c>
      <c r="AJ29" s="6">
        <f>AI29*(1+$R$24)</f>
        <v>1965.1246825163371</v>
      </c>
      <c r="AK29" s="6">
        <f>AJ29*(1+$R$24)</f>
        <v>1984.7759293415004</v>
      </c>
      <c r="AL29" s="6">
        <f>AK29*(1+$R$24)</f>
        <v>2004.6236886349154</v>
      </c>
      <c r="AM29" s="6">
        <f>AL29*(1+$R$24)</f>
        <v>2024.6699255212645</v>
      </c>
      <c r="AN29" s="6">
        <f>AM29*(1+$R$24)</f>
        <v>2044.9166247764772</v>
      </c>
      <c r="AO29" s="6">
        <f>AN29*(1+$R$24)</f>
        <v>2065.3657910242418</v>
      </c>
      <c r="AP29" s="6">
        <f>AO29*(1+$R$24)</f>
        <v>2086.0194489344844</v>
      </c>
      <c r="AQ29" s="6">
        <f>AP29*(1+$R$24)</f>
        <v>2106.8796434238293</v>
      </c>
      <c r="AR29" s="6">
        <f>AQ29*(1+$R$24)</f>
        <v>2127.9484398580676</v>
      </c>
      <c r="AS29" s="6">
        <f>AR29*(1+$R$24)</f>
        <v>2149.2279242566483</v>
      </c>
      <c r="AT29" s="6">
        <f>AS29*(1+$R$24)</f>
        <v>2170.7202034992147</v>
      </c>
      <c r="AU29" s="6">
        <f>AT29*(1+$R$24)</f>
        <v>2192.4274055342066</v>
      </c>
      <c r="AV29" s="6">
        <f>AU29*(1+$R$24)</f>
        <v>2214.3516795895489</v>
      </c>
      <c r="AW29" s="6">
        <f>AV29*(1+$R$24)</f>
        <v>2236.4951963854446</v>
      </c>
      <c r="AX29" s="6">
        <f>AW29*(1+$R$24)</f>
        <v>2258.8601483492989</v>
      </c>
      <c r="AY29" s="6">
        <f>AX29*(1+$R$24)</f>
        <v>2281.4487498327921</v>
      </c>
      <c r="AZ29" s="6">
        <f>AY29*(1+$R$24)</f>
        <v>2304.2632373311203</v>
      </c>
      <c r="BA29" s="6">
        <f>AZ29*(1+$R$24)</f>
        <v>2327.3058697044316</v>
      </c>
      <c r="BB29" s="6">
        <f>BA29*(1+$R$24)</f>
        <v>2350.5789284014759</v>
      </c>
      <c r="BC29" s="6">
        <f>BB29*(1+$R$24)</f>
        <v>2374.0847176854904</v>
      </c>
      <c r="BD29" s="6">
        <f>BC29*(1+$R$24)</f>
        <v>2397.8255648623453</v>
      </c>
      <c r="BE29" s="6">
        <f>BD29*(1+$R$24)</f>
        <v>2421.8038205109688</v>
      </c>
      <c r="BF29" s="6">
        <f>BE29*(1+$R$24)</f>
        <v>2446.0218587160784</v>
      </c>
      <c r="BG29" s="6">
        <f>BF29*(1+$R$24)</f>
        <v>2470.4820773032393</v>
      </c>
      <c r="BH29" s="6">
        <f>BG29*(1+$R$24)</f>
        <v>2495.1868980762715</v>
      </c>
      <c r="BI29" s="6">
        <f>BH29*(1+$R$24)</f>
        <v>2520.1387670570343</v>
      </c>
      <c r="BJ29" s="6">
        <f>BI29*(1+$R$24)</f>
        <v>2545.3401547276048</v>
      </c>
      <c r="BK29" s="6">
        <f>BJ29*(1+$R$24)</f>
        <v>2570.7935562748808</v>
      </c>
      <c r="BL29" s="6">
        <f>BK29*(1+$R$24)</f>
        <v>2596.5014918376296</v>
      </c>
      <c r="BM29" s="6">
        <f>BL29*(1+$R$24)</f>
        <v>2622.4665067560059</v>
      </c>
      <c r="BN29" s="6">
        <f>BM29*(1+$R$24)</f>
        <v>2648.691171823566</v>
      </c>
      <c r="BO29" s="6">
        <f>BN29*(1+$R$24)</f>
        <v>2675.1780835418017</v>
      </c>
      <c r="BP29" s="6">
        <f>BO29*(1+$R$24)</f>
        <v>2701.9298643772199</v>
      </c>
      <c r="BQ29" s="6">
        <f>BP29*(1+$R$24)</f>
        <v>2728.9491630209923</v>
      </c>
      <c r="BR29" s="6">
        <f>BQ29*(1+$R$24)</f>
        <v>2756.2386546512021</v>
      </c>
      <c r="BS29" s="6">
        <f>BR29*(1+$R$24)</f>
        <v>2783.8010411977143</v>
      </c>
      <c r="BT29" s="6">
        <f>BS29*(1+$R$24)</f>
        <v>2811.6390516096917</v>
      </c>
      <c r="BU29" s="6">
        <f>BT29*(1+$R$24)</f>
        <v>2839.7554421257887</v>
      </c>
      <c r="BV29" s="6">
        <f>BU29*(1+$R$24)</f>
        <v>2868.1529965470468</v>
      </c>
      <c r="BW29" s="6">
        <f>BV29*(1+$R$24)</f>
        <v>2896.8345265125172</v>
      </c>
      <c r="BX29" s="6">
        <f>BW29*(1+$R$24)</f>
        <v>2925.8028717776424</v>
      </c>
      <c r="BY29" s="6">
        <f>BX29*(1+$R$24)</f>
        <v>2955.060900495419</v>
      </c>
      <c r="BZ29" s="6">
        <f>BY29*(1+$R$24)</f>
        <v>2984.6115095003734</v>
      </c>
      <c r="CA29" s="6">
        <f>BZ29*(1+$R$24)</f>
        <v>3014.4576245953772</v>
      </c>
      <c r="CB29" s="6">
        <f>CA29*(1+$R$24)</f>
        <v>3044.6022008413311</v>
      </c>
      <c r="CC29" s="6">
        <f>CB29*(1+$R$24)</f>
        <v>3075.0482228497444</v>
      </c>
      <c r="CD29" s="6">
        <f>CC29*(1+$R$24)</f>
        <v>3105.7987050782417</v>
      </c>
      <c r="CE29" s="6">
        <f>CD29*(1+$R$24)</f>
        <v>3136.8566921290239</v>
      </c>
      <c r="CF29" s="6">
        <f>CE29*(1+$R$24)</f>
        <v>3168.2252590503144</v>
      </c>
      <c r="CG29" s="6">
        <f>CF29*(1+$R$24)</f>
        <v>3199.9075116408176</v>
      </c>
      <c r="CH29" s="6">
        <f>CG29*(1+$R$24)</f>
        <v>3231.9065867572258</v>
      </c>
      <c r="CI29" s="6">
        <f>CH29*(1+$R$24)</f>
        <v>3264.2256526247979</v>
      </c>
      <c r="CJ29" s="6">
        <f>CI29*(1+$R$24)</f>
        <v>3296.8679091510458</v>
      </c>
      <c r="CK29" s="6">
        <f>CJ29*(1+$R$24)</f>
        <v>3329.8365882425564</v>
      </c>
      <c r="CL29" s="6">
        <f>CK29*(1+$R$24)</f>
        <v>3363.134954124982</v>
      </c>
      <c r="CM29" s="6">
        <f>CL29*(1+$R$24)</f>
        <v>3396.766303666232</v>
      </c>
      <c r="CN29" s="6">
        <f>CM29*(1+$R$24)</f>
        <v>3430.7339667028946</v>
      </c>
      <c r="CO29" s="6">
        <f>CN29*(1+$R$24)</f>
        <v>3465.0413063699234</v>
      </c>
      <c r="CP29" s="6">
        <f>CO29*(1+$R$24)</f>
        <v>3499.6917194336229</v>
      </c>
      <c r="CQ29" s="6">
        <f>CP29*(1+$R$24)</f>
        <v>3534.6886366279591</v>
      </c>
      <c r="CR29" s="6">
        <f>CQ29*(1+$R$24)</f>
        <v>3570.0355229942388</v>
      </c>
      <c r="CS29" s="6">
        <f>CR29*(1+$R$24)</f>
        <v>3605.7358782241813</v>
      </c>
      <c r="CT29" s="6">
        <f>CS29*(1+$R$24)</f>
        <v>3641.7932370064232</v>
      </c>
      <c r="CU29" s="6">
        <f>CT29*(1+$R$24)</f>
        <v>3678.2111693764873</v>
      </c>
      <c r="CV29" s="6">
        <f>CU29*(1+$R$24)</f>
        <v>3714.9932810702521</v>
      </c>
      <c r="CW29" s="6">
        <f>CV29*(1+$R$24)</f>
        <v>3752.1432138809546</v>
      </c>
      <c r="CX29" s="6">
        <f>CW29*(1+$R$24)</f>
        <v>3789.6646460197639</v>
      </c>
      <c r="CY29" s="6">
        <f>CX29*(1+$R$24)</f>
        <v>3827.5612924799616</v>
      </c>
      <c r="CZ29" s="6">
        <f>CY29*(1+$R$24)</f>
        <v>3865.8369054047612</v>
      </c>
      <c r="DA29" s="6">
        <f>CZ29*(1+$R$24)</f>
        <v>3904.495274458809</v>
      </c>
      <c r="DB29" s="6">
        <f>DA29*(1+$R$24)</f>
        <v>3943.5402272033971</v>
      </c>
      <c r="DC29" s="6">
        <f>DB29*(1+$R$24)</f>
        <v>3982.9756294754311</v>
      </c>
      <c r="DD29" s="6">
        <f>DC29*(1+$R$24)</f>
        <v>4022.8053857701852</v>
      </c>
      <c r="DE29" s="6">
        <f>DD29*(1+$R$24)</f>
        <v>4063.0334396278872</v>
      </c>
      <c r="DF29" s="6">
        <f>DE29*(1+$R$24)</f>
        <v>4103.6637740241658</v>
      </c>
      <c r="DG29" s="6">
        <f>DF29*(1+$R$24)</f>
        <v>4144.7004117644074</v>
      </c>
      <c r="DH29" s="6">
        <f>DG29*(1+$R$24)</f>
        <v>4186.1474158820511</v>
      </c>
      <c r="DI29" s="6">
        <f>DH29*(1+$R$24)</f>
        <v>4228.0088900408718</v>
      </c>
      <c r="DJ29" s="6">
        <f>DI29*(1+$R$24)</f>
        <v>4270.2889789412802</v>
      </c>
      <c r="DK29" s="6">
        <f>DJ29*(1+$R$24)</f>
        <v>4312.9918687306927</v>
      </c>
      <c r="DL29" s="6">
        <f>DK29*(1+$R$24)</f>
        <v>4356.1217874179993</v>
      </c>
      <c r="DM29" s="6">
        <f>DL29*(1+$R$24)</f>
        <v>4399.6830052921796</v>
      </c>
      <c r="DN29" s="6">
        <f>DM29*(1+$R$24)</f>
        <v>4443.6798353451013</v>
      </c>
      <c r="DO29" s="6">
        <f>DN29*(1+$R$24)</f>
        <v>4488.1166336985525</v>
      </c>
      <c r="DP29" s="6">
        <f>DO29*(1+$R$24)</f>
        <v>4532.9978000355377</v>
      </c>
      <c r="DQ29" s="6">
        <f>DP29*(1+$R$24)</f>
        <v>4578.3277780358931</v>
      </c>
      <c r="DR29" s="6">
        <f>DQ29*(1+$R$24)</f>
        <v>4624.1110558162518</v>
      </c>
      <c r="DS29" s="6">
        <f>DR29*(1+$R$24)</f>
        <v>4670.3521663744141</v>
      </c>
      <c r="DT29" s="6">
        <f>DS29*(1+$R$24)</f>
        <v>4717.0556880381582</v>
      </c>
      <c r="DU29" s="6">
        <f>DT29*(1+$R$24)</f>
        <v>4764.22624491854</v>
      </c>
      <c r="DV29" s="6">
        <f>DU29*(1+$R$24)</f>
        <v>4811.8685073677252</v>
      </c>
      <c r="DW29" s="6">
        <f>DV29*(1+$R$24)</f>
        <v>4859.9871924414028</v>
      </c>
      <c r="DX29" s="6">
        <f>DW29*(1+$R$24)</f>
        <v>4908.5870643658172</v>
      </c>
      <c r="DY29" s="6">
        <f>DX29*(1+$R$24)</f>
        <v>4957.6729350094756</v>
      </c>
      <c r="DZ29" s="6">
        <f>DY29*(1+$R$24)</f>
        <v>5007.2496643595705</v>
      </c>
      <c r="EA29" s="6">
        <f>DZ29*(1+$R$24)</f>
        <v>5057.322161003166</v>
      </c>
      <c r="EB29" s="6">
        <f>EA29*(1+$R$24)</f>
        <v>5107.8953826131974</v>
      </c>
      <c r="EC29" s="6">
        <f>EB29*(1+$R$24)</f>
        <v>5158.9743364393298</v>
      </c>
      <c r="ED29" s="6">
        <f>EC29*(1+$R$24)</f>
        <v>5210.564079803723</v>
      </c>
      <c r="EE29" s="6">
        <f>ED29*(1+$R$24)</f>
        <v>5262.6697206017607</v>
      </c>
      <c r="EF29" s="6">
        <f>EE29*(1+$R$24)</f>
        <v>5315.2964178077782</v>
      </c>
      <c r="EG29" s="6">
        <f>EF29*(1+$R$24)</f>
        <v>5368.4493819858562</v>
      </c>
      <c r="EH29" s="6">
        <f>EG29*(1+$R$24)</f>
        <v>5422.1338758057145</v>
      </c>
      <c r="EI29" s="6">
        <f>EH29*(1+$R$24)</f>
        <v>5476.3552145637714</v>
      </c>
      <c r="EJ29" s="6">
        <f>EI29*(1+$R$24)</f>
        <v>5531.1187667094091</v>
      </c>
      <c r="EK29" s="6">
        <f>EJ29*(1+$R$24)</f>
        <v>5586.4299543765028</v>
      </c>
      <c r="EL29" s="6">
        <f>EK29*(1+$R$24)</f>
        <v>5642.2942539202677</v>
      </c>
      <c r="EM29" s="6">
        <f>EL29*(1+$R$24)</f>
        <v>5698.7171964594709</v>
      </c>
      <c r="EN29" s="6">
        <f>EM29*(1+$R$24)</f>
        <v>5755.7043684240653</v>
      </c>
      <c r="EO29" s="6">
        <f>EN29*(1+$R$24)</f>
        <v>5813.2614121083061</v>
      </c>
      <c r="EP29" s="6">
        <f>EO29*(1+$R$24)</f>
        <v>5871.3940262293891</v>
      </c>
      <c r="EQ29" s="6">
        <f>EP29*(1+$R$24)</f>
        <v>5930.1079664916833</v>
      </c>
    </row>
    <row r="30" spans="1:147" x14ac:dyDescent="0.25">
      <c r="H30" s="4"/>
      <c r="I30" s="4"/>
      <c r="J30" s="4"/>
      <c r="K30" s="4"/>
      <c r="L30" s="4"/>
      <c r="M30" s="4"/>
      <c r="N30" s="4"/>
      <c r="O30" s="4"/>
    </row>
    <row r="31" spans="1:147" x14ac:dyDescent="0.25">
      <c r="H31" s="4"/>
      <c r="I31" s="4"/>
      <c r="J31" s="3">
        <f>J29/J15</f>
        <v>1.0969568294409058</v>
      </c>
      <c r="K31" s="3">
        <f t="shared" ref="K31:O31" si="26">K29/K15</f>
        <v>1.2741153573956119</v>
      </c>
      <c r="L31" s="3">
        <f t="shared" si="26"/>
        <v>1.4849814490445858</v>
      </c>
      <c r="M31" s="3">
        <f t="shared" si="26"/>
        <v>1.7307458788614649</v>
      </c>
      <c r="N31" s="3">
        <f t="shared" si="26"/>
        <v>2.0171843218130374</v>
      </c>
      <c r="O31" s="3">
        <f t="shared" si="26"/>
        <v>2.3510283270730961</v>
      </c>
    </row>
    <row r="32" spans="1:147" x14ac:dyDescent="0.25">
      <c r="A32" s="2" t="s">
        <v>38</v>
      </c>
      <c r="J32" s="2">
        <f>J34-J36</f>
        <v>2512.8000000000002</v>
      </c>
      <c r="K32" s="2">
        <f>J32+K14</f>
        <v>3064.2579528750002</v>
      </c>
      <c r="L32" s="2">
        <f t="shared" ref="L32:O32" si="27">K32+L14</f>
        <v>3872.8516307184673</v>
      </c>
      <c r="M32" s="2">
        <f t="shared" si="27"/>
        <v>4986.2028051449506</v>
      </c>
      <c r="N32" s="2">
        <f t="shared" si="27"/>
        <v>6458.8460146096331</v>
      </c>
      <c r="O32" s="2">
        <f t="shared" si="27"/>
        <v>8353.1384520511037</v>
      </c>
    </row>
    <row r="34" spans="1:10" x14ac:dyDescent="0.25">
      <c r="A34" s="2" t="s">
        <v>4</v>
      </c>
      <c r="J34" s="2">
        <f>1136.4+1376.4</f>
        <v>2512.8000000000002</v>
      </c>
    </row>
    <row r="36" spans="1:10" x14ac:dyDescent="0.25">
      <c r="A36" s="2" t="s">
        <v>5</v>
      </c>
      <c r="J36" s="2">
        <v>0</v>
      </c>
    </row>
    <row r="38" spans="1:10" x14ac:dyDescent="0.25">
      <c r="A38" s="2" t="s">
        <v>28</v>
      </c>
      <c r="E38" s="2">
        <v>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2025-02-23T08:30:41Z</dcterms:created>
  <dcterms:modified xsi:type="dcterms:W3CDTF">2025-05-03T22:49:41Z</dcterms:modified>
</cp:coreProperties>
</file>