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5973F39-C431-4DEC-B924-8253B72C112E}" xr6:coauthVersionLast="47" xr6:coauthVersionMax="47" xr10:uidLastSave="{00000000-0000-0000-0000-000000000000}"/>
  <bookViews>
    <workbookView xWindow="-105" yWindow="0" windowWidth="14610" windowHeight="15585" activeTab="1" xr2:uid="{1048AAC9-095E-4978-9899-EC26626F8B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2" l="1"/>
  <c r="T29" i="2"/>
  <c r="U29" i="2"/>
  <c r="V29" i="2"/>
  <c r="W29" i="2"/>
  <c r="T2" i="2"/>
  <c r="U2" i="2"/>
  <c r="V2" i="2"/>
  <c r="W2" i="2" s="1"/>
  <c r="S2" i="2"/>
  <c r="O8" i="2"/>
  <c r="P8" i="2"/>
  <c r="Q8" i="2"/>
  <c r="R8" i="2"/>
  <c r="S8" i="2" s="1"/>
  <c r="T8" i="2" s="1"/>
  <c r="U8" i="2" s="1"/>
  <c r="V8" i="2" s="1"/>
  <c r="W8" i="2" s="1"/>
  <c r="N8" i="2"/>
  <c r="P25" i="2"/>
  <c r="Q25" i="2"/>
  <c r="R25" i="2"/>
  <c r="S25" i="2" s="1"/>
  <c r="T25" i="2" s="1"/>
  <c r="U25" i="2" s="1"/>
  <c r="V25" i="2" s="1"/>
  <c r="W25" i="2" s="1"/>
  <c r="O25" i="2"/>
  <c r="O29" i="2"/>
  <c r="N25" i="2"/>
  <c r="D6" i="1"/>
  <c r="D5" i="1"/>
  <c r="D3" i="1"/>
  <c r="F32" i="2"/>
  <c r="H13" i="2"/>
  <c r="I13" i="2"/>
  <c r="G13" i="2"/>
  <c r="H9" i="2"/>
  <c r="I9" i="2"/>
  <c r="G9" i="2"/>
  <c r="F14" i="2"/>
  <c r="G12" i="2"/>
  <c r="G14" i="2" s="1"/>
  <c r="H12" i="2"/>
  <c r="H14" i="2" s="1"/>
  <c r="I12" i="2"/>
  <c r="I14" i="2" s="1"/>
  <c r="F12" i="2"/>
  <c r="G8" i="2"/>
  <c r="H8" i="2"/>
  <c r="I8" i="2"/>
  <c r="F8" i="2"/>
  <c r="G4" i="2"/>
  <c r="G21" i="2" s="1"/>
  <c r="H4" i="2"/>
  <c r="I4" i="2"/>
  <c r="N2" i="2"/>
  <c r="I2" i="2"/>
  <c r="I19" i="2" s="1"/>
  <c r="H2" i="2"/>
  <c r="H19" i="2"/>
  <c r="G19" i="2"/>
  <c r="F19" i="2"/>
  <c r="H18" i="2"/>
  <c r="I18" i="2"/>
  <c r="G18" i="2"/>
  <c r="G20" i="2"/>
  <c r="N18" i="2"/>
  <c r="M36" i="2"/>
  <c r="M34" i="2"/>
  <c r="O2" i="2"/>
  <c r="P2" i="2" s="1"/>
  <c r="Q2" i="2" s="1"/>
  <c r="R2" i="2" s="1"/>
  <c r="R18" i="2" s="1"/>
  <c r="N11" i="2"/>
  <c r="O11" i="2" s="1"/>
  <c r="P11" i="2" s="1"/>
  <c r="Q11" i="2" s="1"/>
  <c r="R11" i="2" s="1"/>
  <c r="S11" i="2" s="1"/>
  <c r="T11" i="2" s="1"/>
  <c r="U11" i="2" s="1"/>
  <c r="V11" i="2" s="1"/>
  <c r="W11" i="2" s="1"/>
  <c r="L29" i="2"/>
  <c r="L25" i="2" s="1"/>
  <c r="M29" i="2"/>
  <c r="M25" i="2" s="1"/>
  <c r="K29" i="2"/>
  <c r="K25" i="2" s="1"/>
  <c r="L8" i="2"/>
  <c r="M8" i="2"/>
  <c r="K8" i="2"/>
  <c r="L18" i="2"/>
  <c r="M18" i="2"/>
  <c r="L4" i="2"/>
  <c r="L21" i="2" s="1"/>
  <c r="M4" i="2"/>
  <c r="M21" i="2" s="1"/>
  <c r="N21" i="2" s="1"/>
  <c r="O21" i="2" s="1"/>
  <c r="P21" i="2" s="1"/>
  <c r="Q21" i="2" s="1"/>
  <c r="R21" i="2" s="1"/>
  <c r="K4" i="2"/>
  <c r="K21" i="2" s="1"/>
  <c r="F4" i="2"/>
  <c r="F21" i="2" s="1"/>
  <c r="B4" i="2"/>
  <c r="B21" i="2" s="1"/>
  <c r="C4" i="2"/>
  <c r="C21" i="2" s="1"/>
  <c r="D4" i="2"/>
  <c r="D21" i="2" s="1"/>
  <c r="E4" i="2"/>
  <c r="E21" i="2" s="1"/>
  <c r="F18" i="2"/>
  <c r="E20" i="2"/>
  <c r="F20" i="2"/>
  <c r="B20" i="2"/>
  <c r="B23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D4" i="1"/>
  <c r="D7" i="1" s="1"/>
  <c r="Q29" i="2" l="1"/>
  <c r="R29" i="2"/>
  <c r="P29" i="2"/>
  <c r="M32" i="2"/>
  <c r="N10" i="2" s="1"/>
  <c r="N5" i="2"/>
  <c r="N6" i="2"/>
  <c r="N7" i="2"/>
  <c r="O18" i="2"/>
  <c r="Q18" i="2"/>
  <c r="P18" i="2"/>
  <c r="K9" i="2"/>
  <c r="M9" i="2"/>
  <c r="L9" i="2"/>
  <c r="X29" i="2" l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S18" i="2"/>
  <c r="O6" i="2"/>
  <c r="P6" i="2" s="1"/>
  <c r="Q6" i="2" s="1"/>
  <c r="R6" i="2" s="1"/>
  <c r="S6" i="2" s="1"/>
  <c r="O7" i="2"/>
  <c r="P7" i="2" s="1"/>
  <c r="Q7" i="2" s="1"/>
  <c r="R7" i="2" s="1"/>
  <c r="S7" i="2" s="1"/>
  <c r="S3" i="2"/>
  <c r="S4" i="2" s="1"/>
  <c r="O5" i="2"/>
  <c r="L12" i="2"/>
  <c r="L20" i="2"/>
  <c r="L23" i="2" s="1"/>
  <c r="M12" i="2"/>
  <c r="M20" i="2"/>
  <c r="M23" i="2" s="1"/>
  <c r="K12" i="2"/>
  <c r="K20" i="2"/>
  <c r="K23" i="2" s="1"/>
  <c r="P5" i="2" l="1"/>
  <c r="T18" i="2"/>
  <c r="T7" i="2" s="1"/>
  <c r="T3" i="2"/>
  <c r="T4" i="2" s="1"/>
  <c r="K14" i="2"/>
  <c r="K24" i="2"/>
  <c r="M14" i="2"/>
  <c r="M24" i="2"/>
  <c r="L14" i="2"/>
  <c r="L24" i="2"/>
  <c r="N3" i="2"/>
  <c r="N4" i="2" s="1"/>
  <c r="N9" i="2" s="1"/>
  <c r="O3" i="2"/>
  <c r="O4" i="2" s="1"/>
  <c r="O9" i="2" s="1"/>
  <c r="O20" i="2" s="1"/>
  <c r="O23" i="2" s="1"/>
  <c r="U18" i="2" l="1"/>
  <c r="U7" i="2" s="1"/>
  <c r="U3" i="2"/>
  <c r="U4" i="2" s="1"/>
  <c r="T6" i="2"/>
  <c r="U6" i="2" s="1"/>
  <c r="Q5" i="2"/>
  <c r="N12" i="2"/>
  <c r="N13" i="2" s="1"/>
  <c r="N14" i="2" s="1"/>
  <c r="N20" i="2"/>
  <c r="N23" i="2" s="1"/>
  <c r="P3" i="2"/>
  <c r="P4" i="2" s="1"/>
  <c r="P9" i="2" s="1"/>
  <c r="P20" i="2" s="1"/>
  <c r="P23" i="2" s="1"/>
  <c r="R5" i="2" l="1"/>
  <c r="V3" i="2"/>
  <c r="V4" i="2" s="1"/>
  <c r="V18" i="2"/>
  <c r="V7" i="2" s="1"/>
  <c r="N32" i="2"/>
  <c r="O10" i="2" s="1"/>
  <c r="O12" i="2" s="1"/>
  <c r="O13" i="2" s="1"/>
  <c r="O14" i="2" s="1"/>
  <c r="O32" i="2" s="1"/>
  <c r="R3" i="2"/>
  <c r="R4" i="2" s="1"/>
  <c r="Q3" i="2"/>
  <c r="Q4" i="2" s="1"/>
  <c r="Q9" i="2" s="1"/>
  <c r="Q20" i="2" s="1"/>
  <c r="Q23" i="2" s="1"/>
  <c r="W18" i="2" l="1"/>
  <c r="W7" i="2" s="1"/>
  <c r="W3" i="2"/>
  <c r="W4" i="2" s="1"/>
  <c r="V6" i="2"/>
  <c r="W6" i="2" s="1"/>
  <c r="S5" i="2"/>
  <c r="R9" i="2"/>
  <c r="R20" i="2" s="1"/>
  <c r="R23" i="2" s="1"/>
  <c r="P10" i="2"/>
  <c r="P12" i="2" s="1"/>
  <c r="T5" i="2" l="1"/>
  <c r="S9" i="2"/>
  <c r="S20" i="2" s="1"/>
  <c r="S23" i="2" s="1"/>
  <c r="P13" i="2"/>
  <c r="P14" i="2" s="1"/>
  <c r="P32" i="2" s="1"/>
  <c r="T9" i="2" l="1"/>
  <c r="U5" i="2"/>
  <c r="Q10" i="2"/>
  <c r="Q12" i="2" s="1"/>
  <c r="Q13" i="2" s="1"/>
  <c r="Q14" i="2" s="1"/>
  <c r="V5" i="2" l="1"/>
  <c r="U9" i="2"/>
  <c r="U20" i="2" s="1"/>
  <c r="U23" i="2" s="1"/>
  <c r="T20" i="2"/>
  <c r="T23" i="2" s="1"/>
  <c r="Q32" i="2"/>
  <c r="V9" i="2" l="1"/>
  <c r="V20" i="2" s="1"/>
  <c r="V23" i="2" s="1"/>
  <c r="W5" i="2"/>
  <c r="W9" i="2" s="1"/>
  <c r="W20" i="2" s="1"/>
  <c r="W23" i="2" s="1"/>
  <c r="R10" i="2"/>
  <c r="R12" i="2" s="1"/>
  <c r="R13" i="2" s="1"/>
  <c r="R14" i="2" s="1"/>
  <c r="R32" i="2" l="1"/>
  <c r="S10" i="2" l="1"/>
  <c r="S12" i="2" s="1"/>
  <c r="S13" i="2" l="1"/>
  <c r="S14" i="2" s="1"/>
  <c r="S32" i="2" l="1"/>
  <c r="T10" i="2" s="1"/>
  <c r="T12" i="2" s="1"/>
  <c r="T13" i="2" s="1"/>
  <c r="T14" i="2" s="1"/>
  <c r="T32" i="2" l="1"/>
  <c r="U10" i="2" s="1"/>
  <c r="U12" i="2" s="1"/>
  <c r="U13" i="2" s="1"/>
  <c r="U14" i="2" s="1"/>
  <c r="U32" i="2" l="1"/>
  <c r="V10" i="2" s="1"/>
  <c r="V12" i="2" s="1"/>
  <c r="V13" i="2" s="1"/>
  <c r="V14" i="2" s="1"/>
  <c r="V32" i="2" l="1"/>
  <c r="W10" i="2" s="1"/>
  <c r="W12" i="2" s="1"/>
  <c r="W13" i="2" s="1"/>
  <c r="W14" i="2" s="1"/>
  <c r="W32" i="2" l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Z22" i="2" l="1"/>
  <c r="Z23" i="2" s="1"/>
  <c r="Z24" i="2" s="1"/>
</calcChain>
</file>

<file path=xl/sharedStrings.xml><?xml version="1.0" encoding="utf-8"?>
<sst xmlns="http://schemas.openxmlformats.org/spreadsheetml/2006/main" count="52" uniqueCount="45">
  <si>
    <t>PLTR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</si>
  <si>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</si>
  <si>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</si>
  <si>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</si>
  <si>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</si>
  <si>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</si>
  <si>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</si>
  <si>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</si>
  <si>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</si>
  <si>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</si>
  <si>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</si>
  <si>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</si>
  <si>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</si>
  <si>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Rule of 40</t>
  </si>
  <si>
    <t>EBITDA %</t>
  </si>
  <si>
    <t>FCF</t>
  </si>
  <si>
    <t>CFFO</t>
  </si>
  <si>
    <t>CX</t>
  </si>
  <si>
    <t>Net Income</t>
  </si>
  <si>
    <t>Maturity</t>
  </si>
  <si>
    <t>Discount</t>
  </si>
  <si>
    <t>NPV</t>
  </si>
  <si>
    <t>Diff</t>
  </si>
  <si>
    <t>COGS</t>
  </si>
  <si>
    <t>Gross Profit</t>
  </si>
  <si>
    <t>S&amp;M</t>
  </si>
  <si>
    <t>R&amp;D</t>
  </si>
  <si>
    <t>G&amp;A</t>
  </si>
  <si>
    <t>OPEX</t>
  </si>
  <si>
    <t>Pretax Income</t>
  </si>
  <si>
    <t>Tax</t>
  </si>
  <si>
    <t>Interest</t>
  </si>
  <si>
    <t>Other Income</t>
  </si>
  <si>
    <t>Gross Margin</t>
  </si>
  <si>
    <t>Tax Rate</t>
  </si>
  <si>
    <t>FCF Margin</t>
  </si>
  <si>
    <t>ROIC</t>
  </si>
  <si>
    <t>EPS</t>
  </si>
  <si>
    <t>Net Cash</t>
  </si>
  <si>
    <t>Operating Income</t>
  </si>
  <si>
    <t>Q225</t>
  </si>
  <si>
    <t>Q325</t>
  </si>
  <si>
    <t>Q425</t>
  </si>
  <si>
    <t>Revenue y/y</t>
  </si>
  <si>
    <t>Revenue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</si>
</sst>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28575</xdr:rowOff>
    </xdr:from>
    <xdr:to>
      <xdr:col>13</xdr:col>
      <xdr:colOff>9525</xdr:colOff>
      <xdr:row>23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D81122-4F06-16EA-0D67-4C8D7C3A90C4}"/>
            </a:ext>
          </a:extLst>
        </xdr:cNvPr>
        <xdr:cNvCxnSpPr/>
      </xdr:nvCxnSpPr>
      <xdr:spPr>
        <a:xfrm>
          <a:off x="6076950" y="28575"/>
          <a:ext cx="28575" cy="3590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0</xdr:row>
      <xdr:rowOff>9525</xdr:rowOff>
    </xdr:from>
    <xdr:to>
      <xdr:col>6</xdr:col>
      <xdr:colOff>9525</xdr:colOff>
      <xdr:row>22</xdr:row>
      <xdr:rowOff>171450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4DE834C-F0B0-2497-5AE1-977B2E68C64A}"/>
            </a:ext>
          </a:extLst>
        </xdr:cNvPr>
        <xdr:cNvCxnSpPr/>
      </xdr:nvCxnSpPr>
      <xdr:spPr>
        <a:xfrm>
          <a:off x="4200525" y="9525"/>
          <a:ext cx="0" cy="420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8D33-7BAB-4D53-9D30-0903F79F6C1F}">
  <dimension ref="A1:E7"/>
  <sheetViews>
    <sheetView zoomScale="235" zoomScaleNormal="235" workbookViewId="0">
      <selection activeCell="D7" sqref="D7"/>
    </sheetView>
  </sheetViews>
  <sheetFormatPr defaultRowHeight="14.25" x14ac:dyDescent="0.2"/>
  <cols>
    <col min="1" max="16384" width="9.140625" style="8"/>
  </cols>
  <sheetData>
    <row r="1" spans="1:5" ht="15" x14ac:dyDescent="0.25">
      <c r="A1" s="7" t="s">
        <v>0</v>
      </c>
    </row>
    <row r="2" spans="1:5" x14ac:dyDescent="0.2">
      <c r="C2" s="8" t="s">
        <v>1</v>
      </c>
      <c r="D2" s="1">
        <v>119</v>
      </c>
    </row>
    <row r="3" spans="1:5" x14ac:dyDescent="0.2">
      <c r="C3" s="8" t="s">
        <v>2</v>
      </c>
      <c r="D3" s="1">
        <f>2262.91+96+1</f>
        <v>2359.91</v>
      </c>
      <c r="E3" s="8" t="s">
        <v>11</v>
      </c>
    </row>
    <row r="4" spans="1:5" x14ac:dyDescent="0.2">
      <c r="C4" s="8" t="s">
        <v>3</v>
      </c>
      <c r="D4" s="1">
        <f>D3*D2</f>
        <v>280829.28999999998</v>
      </c>
    </row>
    <row r="5" spans="1:5" x14ac:dyDescent="0.2">
      <c r="C5" s="8" t="s">
        <v>4</v>
      </c>
      <c r="D5" s="1">
        <f>993.46+4437.22</f>
        <v>5430.68</v>
      </c>
      <c r="E5" s="8" t="s">
        <v>11</v>
      </c>
    </row>
    <row r="6" spans="1:5" x14ac:dyDescent="0.2">
      <c r="C6" s="8" t="s">
        <v>5</v>
      </c>
      <c r="D6" s="1">
        <f>36.37+1.46+200.17+12.48</f>
        <v>250.48</v>
      </c>
      <c r="E6" s="8" t="s">
        <v>11</v>
      </c>
    </row>
    <row r="7" spans="1:5" x14ac:dyDescent="0.2">
      <c r="C7" s="8" t="s">
        <v>6</v>
      </c>
      <c r="D7" s="1">
        <f>D4+D6-D5</f>
        <v>275649.08999999997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0906-26CA-4CF3-9151-8BD547BB3B30}">
  <dimension ref="A1:BZ36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Y20" sqref="Y20"/>
    </sheetView>
  </sheetViews>
  <sheetFormatPr defaultRowHeight="14.25" x14ac:dyDescent="0.2"/>
  <cols>
    <col min="1" max="1" width="17.140625" style="1" customWidth="1"/>
    <col min="2" max="16384" width="9.140625" style="1"/>
  </cols>
  <sheetData>
    <row r="1" spans="1:78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40</v>
      </c>
      <c r="H1" s="1" t="s">
        <v>41</v>
      </c>
      <c r="I1" s="1" t="s">
        <v>42</v>
      </c>
      <c r="K1" s="2">
        <v>2022</v>
      </c>
      <c r="L1" s="2">
        <f>K1+1</f>
        <v>2023</v>
      </c>
      <c r="M1" s="2">
        <f t="shared" ref="M1:S1" si="0">L1+1</f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>
        <f t="shared" si="0"/>
        <v>2030</v>
      </c>
      <c r="T1" s="2">
        <f t="shared" ref="T1" si="1">S1+1</f>
        <v>2031</v>
      </c>
      <c r="U1" s="2">
        <f t="shared" ref="U1" si="2">T1+1</f>
        <v>2032</v>
      </c>
      <c r="V1" s="2">
        <f t="shared" ref="V1" si="3">U1+1</f>
        <v>2033</v>
      </c>
      <c r="W1" s="2">
        <f t="shared" ref="W1" si="4">V1+1</f>
        <v>2034</v>
      </c>
    </row>
    <row r="2" spans="1:78" ht="15" x14ac:dyDescent="0.25">
      <c r="A2" s="3" t="s">
        <v>12</v>
      </c>
      <c r="B2" s="3"/>
      <c r="C2" s="3"/>
      <c r="D2" s="3"/>
      <c r="E2" s="3">
        <v>827.5</v>
      </c>
      <c r="F2" s="3">
        <v>860</v>
      </c>
      <c r="G2" s="3">
        <v>938</v>
      </c>
      <c r="H2" s="3">
        <f>G2*1.09</f>
        <v>1022.4200000000001</v>
      </c>
      <c r="I2" s="3">
        <f>H2*1.09</f>
        <v>1114.4378000000002</v>
      </c>
      <c r="J2" s="3"/>
      <c r="K2" s="3">
        <v>1905.8</v>
      </c>
      <c r="L2" s="3">
        <v>2225</v>
      </c>
      <c r="M2" s="3">
        <v>2865.5</v>
      </c>
      <c r="N2" s="3">
        <f>SUM(F2:I2)</f>
        <v>3934.8578000000002</v>
      </c>
      <c r="O2" s="3">
        <f>N2*1.34</f>
        <v>5272.709452000001</v>
      </c>
      <c r="P2" s="3">
        <f t="shared" ref="P2:R2" si="5">O2*1.34</f>
        <v>7065.4306656800018</v>
      </c>
      <c r="Q2" s="3">
        <f t="shared" si="5"/>
        <v>9467.6770920112031</v>
      </c>
      <c r="R2" s="3">
        <f t="shared" si="5"/>
        <v>12686.687303295013</v>
      </c>
      <c r="S2" s="3">
        <f>R2*1.2</f>
        <v>15224.024763954016</v>
      </c>
      <c r="T2" s="3">
        <f t="shared" ref="T2:W2" si="6">S2*1.2</f>
        <v>18268.829716744818</v>
      </c>
      <c r="U2" s="3">
        <f t="shared" si="6"/>
        <v>21922.595660093782</v>
      </c>
      <c r="V2" s="3">
        <f t="shared" si="6"/>
        <v>26307.114792112538</v>
      </c>
      <c r="W2" s="3">
        <f t="shared" si="6"/>
        <v>31568.537750535044</v>
      </c>
    </row>
    <row r="3" spans="1:78" x14ac:dyDescent="0.2">
      <c r="A3" s="1" t="s">
        <v>23</v>
      </c>
      <c r="K3" s="1">
        <v>408.5</v>
      </c>
      <c r="L3" s="1">
        <v>431.1</v>
      </c>
      <c r="M3" s="1">
        <v>565.99</v>
      </c>
      <c r="N3" s="1">
        <f>N2*(1-N21)</f>
        <v>745.63172836336366</v>
      </c>
      <c r="O3" s="1">
        <f>O2*(1-O21)</f>
        <v>956.41088664697656</v>
      </c>
      <c r="P3" s="1">
        <f>P2*(1-P21)</f>
        <v>1223.752187331218</v>
      </c>
      <c r="Q3" s="1">
        <f>Q2*(1-Q21)</f>
        <v>1561.5494394139582</v>
      </c>
      <c r="R3" s="1">
        <f>R2*(1-R21)</f>
        <v>1986.534138269901</v>
      </c>
      <c r="S3" s="1">
        <f t="shared" ref="S3:T3" si="7">S2*(1-S21)</f>
        <v>2435.8439622326432</v>
      </c>
      <c r="T3" s="1">
        <f t="shared" si="7"/>
        <v>2923.0127546791714</v>
      </c>
      <c r="U3" s="1">
        <f t="shared" ref="U3" si="8">U2*(1-U21)</f>
        <v>3507.615305615006</v>
      </c>
      <c r="V3" s="1">
        <f t="shared" ref="V3" si="9">V2*(1-V21)</f>
        <v>4209.1383667380069</v>
      </c>
      <c r="W3" s="1">
        <f t="shared" ref="W3" si="10">W2*(1-W21)</f>
        <v>5050.9660400856083</v>
      </c>
    </row>
    <row r="4" spans="1:78" x14ac:dyDescent="0.2">
      <c r="A4" s="1" t="s">
        <v>24</v>
      </c>
      <c r="B4" s="1">
        <f>B2-B3</f>
        <v>0</v>
      </c>
      <c r="C4" s="1">
        <f>C2-C3</f>
        <v>0</v>
      </c>
      <c r="D4" s="1">
        <f>D2-D3</f>
        <v>0</v>
      </c>
      <c r="E4" s="1">
        <f>E2-E3</f>
        <v>827.5</v>
      </c>
      <c r="F4" s="1">
        <f>F2-F3</f>
        <v>860</v>
      </c>
      <c r="G4" s="1">
        <f t="shared" ref="G4:I4" si="11">G2-G3</f>
        <v>938</v>
      </c>
      <c r="H4" s="1">
        <f t="shared" si="11"/>
        <v>1022.4200000000001</v>
      </c>
      <c r="I4" s="1">
        <f t="shared" si="11"/>
        <v>1114.4378000000002</v>
      </c>
      <c r="K4" s="1">
        <f>K2-K3</f>
        <v>1497.3</v>
      </c>
      <c r="L4" s="1">
        <f t="shared" ref="L4:R4" si="12">L2-L3</f>
        <v>1793.9</v>
      </c>
      <c r="M4" s="1">
        <f t="shared" si="12"/>
        <v>2299.5100000000002</v>
      </c>
      <c r="N4" s="1">
        <f t="shared" si="12"/>
        <v>3189.2260716366363</v>
      </c>
      <c r="O4" s="1">
        <f t="shared" si="12"/>
        <v>4316.2985653530241</v>
      </c>
      <c r="P4" s="1">
        <f t="shared" si="12"/>
        <v>5841.6784783487838</v>
      </c>
      <c r="Q4" s="1">
        <f t="shared" si="12"/>
        <v>7906.1276525972444</v>
      </c>
      <c r="R4" s="1">
        <f t="shared" si="12"/>
        <v>10700.153165025113</v>
      </c>
      <c r="S4" s="1">
        <f t="shared" ref="S4:T4" si="13">S2-S3</f>
        <v>12788.180801721373</v>
      </c>
      <c r="T4" s="1">
        <f t="shared" si="13"/>
        <v>15345.816962065646</v>
      </c>
      <c r="U4" s="1">
        <f t="shared" ref="U4:W4" si="14">U2-U3</f>
        <v>18414.980354478776</v>
      </c>
      <c r="V4" s="1">
        <f t="shared" si="14"/>
        <v>22097.976425374531</v>
      </c>
      <c r="W4" s="1">
        <f t="shared" si="14"/>
        <v>26517.571710449436</v>
      </c>
    </row>
    <row r="5" spans="1:78" x14ac:dyDescent="0.2">
      <c r="A5" s="1" t="s">
        <v>25</v>
      </c>
      <c r="K5" s="1">
        <v>702.5</v>
      </c>
      <c r="L5" s="1">
        <v>744.9</v>
      </c>
      <c r="M5" s="1">
        <v>887.7</v>
      </c>
      <c r="N5" s="1">
        <f>M5*(1+N18)</f>
        <v>1218.9751418809983</v>
      </c>
      <c r="O5" s="1">
        <f t="shared" ref="O5:R5" si="15">N5*(1+O18)</f>
        <v>1633.4266901205378</v>
      </c>
      <c r="P5" s="1">
        <f t="shared" si="15"/>
        <v>2188.7917647615209</v>
      </c>
      <c r="Q5" s="1">
        <f t="shared" si="15"/>
        <v>2932.9809647804382</v>
      </c>
      <c r="R5" s="1">
        <f t="shared" si="15"/>
        <v>3930.1944928057874</v>
      </c>
      <c r="S5" s="1">
        <f t="shared" ref="S5:T5" si="16">R5*(1+S18)</f>
        <v>4716.2333913669445</v>
      </c>
      <c r="T5" s="1">
        <f t="shared" si="16"/>
        <v>5659.4800696403336</v>
      </c>
      <c r="U5" s="1">
        <f t="shared" ref="U5:W5" si="17">T5*(1+U18)</f>
        <v>6791.3760835683997</v>
      </c>
      <c r="V5" s="1">
        <f t="shared" si="17"/>
        <v>8149.6513002820793</v>
      </c>
      <c r="W5" s="1">
        <f t="shared" si="17"/>
        <v>9779.5815603384945</v>
      </c>
    </row>
    <row r="6" spans="1:78" x14ac:dyDescent="0.2">
      <c r="A6" s="1" t="s">
        <v>26</v>
      </c>
      <c r="K6" s="1">
        <v>359.6</v>
      </c>
      <c r="L6" s="1">
        <v>404.6</v>
      </c>
      <c r="M6" s="1">
        <v>507.9</v>
      </c>
      <c r="N6" s="1">
        <f>M6*(1+N18)</f>
        <v>697.43998486128078</v>
      </c>
      <c r="O6" s="1">
        <f t="shared" ref="O6:R6" si="18">N6*(1+O18)</f>
        <v>934.56957971411634</v>
      </c>
      <c r="P6" s="1">
        <f t="shared" si="18"/>
        <v>1252.3232368169161</v>
      </c>
      <c r="Q6" s="1">
        <f t="shared" si="18"/>
        <v>1678.1131373346675</v>
      </c>
      <c r="R6" s="1">
        <f t="shared" si="18"/>
        <v>2248.6716040284546</v>
      </c>
      <c r="S6" s="1">
        <f t="shared" ref="S6:T6" si="19">R6*(1+S18)</f>
        <v>2698.4059248341455</v>
      </c>
      <c r="T6" s="1">
        <f t="shared" si="19"/>
        <v>3238.0871098009743</v>
      </c>
      <c r="U6" s="1">
        <f t="shared" ref="U6:W6" si="20">T6*(1+U18)</f>
        <v>3885.7045317611692</v>
      </c>
      <c r="V6" s="1">
        <f t="shared" si="20"/>
        <v>4662.8454381134025</v>
      </c>
      <c r="W6" s="1">
        <f t="shared" si="20"/>
        <v>5595.4145257360824</v>
      </c>
    </row>
    <row r="7" spans="1:78" x14ac:dyDescent="0.2">
      <c r="A7" s="1" t="s">
        <v>27</v>
      </c>
      <c r="K7" s="1">
        <v>596.29999999999995</v>
      </c>
      <c r="L7" s="1">
        <v>524.29999999999995</v>
      </c>
      <c r="M7" s="1">
        <v>593.4</v>
      </c>
      <c r="N7" s="1">
        <f>M7*(1+N18)</f>
        <v>814.84718845576697</v>
      </c>
      <c r="O7" s="1">
        <f t="shared" ref="O7:R7" si="21">N7*(1+O18)</f>
        <v>1091.8952325307278</v>
      </c>
      <c r="P7" s="1">
        <f t="shared" si="21"/>
        <v>1463.1396115911753</v>
      </c>
      <c r="Q7" s="1">
        <f t="shared" si="21"/>
        <v>1960.607079532175</v>
      </c>
      <c r="R7" s="1">
        <f t="shared" si="21"/>
        <v>2627.2134865731146</v>
      </c>
      <c r="S7" s="1">
        <f t="shared" ref="S7:T7" si="22">R7*(1+S18)</f>
        <v>3152.6561838877374</v>
      </c>
      <c r="T7" s="1">
        <f t="shared" si="22"/>
        <v>3783.1874206652847</v>
      </c>
      <c r="U7" s="1">
        <f t="shared" ref="U7:W7" si="23">T7*(1+U18)</f>
        <v>4539.8249047983418</v>
      </c>
      <c r="V7" s="1">
        <f t="shared" si="23"/>
        <v>5447.7898857580103</v>
      </c>
      <c r="W7" s="1">
        <f t="shared" si="23"/>
        <v>6537.3478629096126</v>
      </c>
    </row>
    <row r="8" spans="1:78" x14ac:dyDescent="0.2">
      <c r="A8" s="1" t="s">
        <v>28</v>
      </c>
      <c r="F8" s="1">
        <f>SUM(F5:F7)</f>
        <v>0</v>
      </c>
      <c r="G8" s="1">
        <f t="shared" ref="G8:I8" si="24">SUM(G5:G7)</f>
        <v>0</v>
      </c>
      <c r="H8" s="1">
        <f t="shared" si="24"/>
        <v>0</v>
      </c>
      <c r="I8" s="1">
        <f t="shared" si="24"/>
        <v>0</v>
      </c>
      <c r="K8" s="1">
        <f>SUM(K5:K7)</f>
        <v>1658.3999999999999</v>
      </c>
      <c r="L8" s="1">
        <f t="shared" ref="L8:R8" si="25">SUM(L5:L7)</f>
        <v>1673.8</v>
      </c>
      <c r="M8" s="1">
        <f t="shared" si="25"/>
        <v>1989</v>
      </c>
      <c r="N8" s="1">
        <f>M8*1.2</f>
        <v>2386.7999999999997</v>
      </c>
      <c r="O8" s="1">
        <f t="shared" ref="O8:R8" si="26">N8*1.2</f>
        <v>2864.1599999999994</v>
      </c>
      <c r="P8" s="1">
        <f t="shared" si="26"/>
        <v>3436.9919999999993</v>
      </c>
      <c r="Q8" s="1">
        <f t="shared" si="26"/>
        <v>4124.3903999999993</v>
      </c>
      <c r="R8" s="1">
        <f t="shared" si="26"/>
        <v>4949.2684799999988</v>
      </c>
      <c r="S8" s="1">
        <f>R8*1.1</f>
        <v>5444.1953279999989</v>
      </c>
      <c r="T8" s="1">
        <f t="shared" ref="T8:W8" si="27">S8*1.1</f>
        <v>5988.6148607999994</v>
      </c>
      <c r="U8" s="1">
        <f t="shared" si="27"/>
        <v>6587.4763468800002</v>
      </c>
      <c r="V8" s="1">
        <f t="shared" si="27"/>
        <v>7246.2239815680005</v>
      </c>
      <c r="W8" s="1">
        <f t="shared" si="27"/>
        <v>7970.8463797248014</v>
      </c>
    </row>
    <row r="9" spans="1:78" x14ac:dyDescent="0.2">
      <c r="A9" s="1" t="s">
        <v>39</v>
      </c>
      <c r="E9" s="1">
        <v>379.5</v>
      </c>
      <c r="F9" s="1">
        <v>356</v>
      </c>
      <c r="G9" s="1">
        <f t="shared" ref="G9:I9" si="28">G4-G8</f>
        <v>938</v>
      </c>
      <c r="H9" s="1">
        <f t="shared" si="28"/>
        <v>1022.4200000000001</v>
      </c>
      <c r="I9" s="1">
        <f t="shared" si="28"/>
        <v>1114.4378000000002</v>
      </c>
      <c r="K9" s="1">
        <f t="shared" ref="K9:R9" si="29">K4-K8</f>
        <v>-161.09999999999991</v>
      </c>
      <c r="L9" s="1">
        <f t="shared" si="29"/>
        <v>120.10000000000014</v>
      </c>
      <c r="M9" s="1">
        <f t="shared" si="29"/>
        <v>310.51000000000022</v>
      </c>
      <c r="N9" s="1">
        <f t="shared" si="29"/>
        <v>802.42607163663661</v>
      </c>
      <c r="O9" s="1">
        <f t="shared" si="29"/>
        <v>1452.1385653530247</v>
      </c>
      <c r="P9" s="1">
        <f t="shared" si="29"/>
        <v>2404.6864783487845</v>
      </c>
      <c r="Q9" s="1">
        <f t="shared" si="29"/>
        <v>3781.7372525972451</v>
      </c>
      <c r="R9" s="1">
        <f t="shared" si="29"/>
        <v>5750.8846850251139</v>
      </c>
      <c r="S9" s="1">
        <f t="shared" ref="S9:T9" si="30">S4-S8</f>
        <v>7343.9854737213745</v>
      </c>
      <c r="T9" s="1">
        <f t="shared" si="30"/>
        <v>9357.2021012656478</v>
      </c>
      <c r="U9" s="1">
        <f t="shared" ref="U9:W9" si="31">U4-U8</f>
        <v>11827.504007598774</v>
      </c>
      <c r="V9" s="1">
        <f t="shared" si="31"/>
        <v>14851.75244380653</v>
      </c>
      <c r="W9" s="1">
        <f t="shared" si="31"/>
        <v>18546.725330724636</v>
      </c>
    </row>
    <row r="10" spans="1:78" x14ac:dyDescent="0.2">
      <c r="A10" s="1" t="s">
        <v>31</v>
      </c>
      <c r="K10" s="1">
        <v>20.3</v>
      </c>
      <c r="L10" s="1">
        <v>132.5</v>
      </c>
      <c r="M10" s="1">
        <v>196.8</v>
      </c>
      <c r="N10" s="1">
        <f>M32*$Z$19</f>
        <v>298.73399999999998</v>
      </c>
      <c r="O10" s="1">
        <f>N32*$Z$19</f>
        <v>358.51449995434228</v>
      </c>
      <c r="P10" s="1">
        <f>O32*$Z$19</f>
        <v>457.44897779930898</v>
      </c>
      <c r="Q10" s="1">
        <f>P32*$Z$19</f>
        <v>614.41514790508381</v>
      </c>
      <c r="R10" s="1">
        <f>Q32*$Z$19</f>
        <v>856.04881626847646</v>
      </c>
      <c r="S10" s="1">
        <f>R32*$Z$19</f>
        <v>1219.7072619541032</v>
      </c>
      <c r="T10" s="1">
        <f>S32*$Z$19</f>
        <v>1691.3683745417525</v>
      </c>
      <c r="U10" s="1">
        <f>T32*$Z$19</f>
        <v>2300.1841911204679</v>
      </c>
      <c r="V10" s="1">
        <f>U32*$Z$19</f>
        <v>3078.9566532670574</v>
      </c>
      <c r="W10" s="1">
        <f>V32*$Z$19</f>
        <v>4067.6451097385798</v>
      </c>
    </row>
    <row r="11" spans="1:78" ht="15.75" customHeight="1" x14ac:dyDescent="0.2">
      <c r="A11" s="1" t="s">
        <v>32</v>
      </c>
      <c r="K11" s="1">
        <v>-220</v>
      </c>
      <c r="L11" s="1">
        <v>-15.4</v>
      </c>
      <c r="M11" s="1">
        <v>-18</v>
      </c>
      <c r="N11" s="1">
        <f>M11*1.01</f>
        <v>-18.18</v>
      </c>
      <c r="O11" s="1">
        <f t="shared" ref="O11:R11" si="32">N11*1.01</f>
        <v>-18.361799999999999</v>
      </c>
      <c r="P11" s="1">
        <f t="shared" si="32"/>
        <v>-18.545417999999998</v>
      </c>
      <c r="Q11" s="1">
        <f t="shared" si="32"/>
        <v>-18.730872179999999</v>
      </c>
      <c r="R11" s="1">
        <f t="shared" si="32"/>
        <v>-18.9181809018</v>
      </c>
      <c r="S11" s="1">
        <f t="shared" ref="S11" si="33">R11*1.01</f>
        <v>-19.107362710817998</v>
      </c>
      <c r="T11" s="1">
        <f t="shared" ref="T11" si="34">S11*1.01</f>
        <v>-19.29843633792618</v>
      </c>
      <c r="U11" s="1">
        <f t="shared" ref="U11" si="35">T11*1.01</f>
        <v>-19.491420701305444</v>
      </c>
      <c r="V11" s="1">
        <f t="shared" ref="V11" si="36">U11*1.01</f>
        <v>-19.6863349083185</v>
      </c>
      <c r="W11" s="1">
        <f t="shared" ref="W11" si="37">V11*1.01</f>
        <v>-19.883198257401684</v>
      </c>
    </row>
    <row r="12" spans="1:78" x14ac:dyDescent="0.2">
      <c r="A12" s="1" t="s">
        <v>29</v>
      </c>
      <c r="F12" s="1">
        <f>F9+SUM(F10:F11)</f>
        <v>356</v>
      </c>
      <c r="G12" s="1">
        <f t="shared" ref="G12:I12" si="38">G9+SUM(G10:G11)</f>
        <v>938</v>
      </c>
      <c r="H12" s="1">
        <f t="shared" si="38"/>
        <v>1022.4200000000001</v>
      </c>
      <c r="I12" s="1">
        <f t="shared" si="38"/>
        <v>1114.4378000000002</v>
      </c>
      <c r="K12" s="1">
        <f t="shared" ref="K12:R12" si="39">K9+SUM(K10:K11)</f>
        <v>-360.7999999999999</v>
      </c>
      <c r="L12" s="1">
        <f t="shared" si="39"/>
        <v>237.20000000000013</v>
      </c>
      <c r="M12" s="1">
        <f t="shared" si="39"/>
        <v>489.31000000000023</v>
      </c>
      <c r="N12" s="1">
        <f t="shared" si="39"/>
        <v>1082.9800716366367</v>
      </c>
      <c r="O12" s="1">
        <f t="shared" si="39"/>
        <v>1792.291265307367</v>
      </c>
      <c r="P12" s="1">
        <f t="shared" si="39"/>
        <v>2843.5900381480933</v>
      </c>
      <c r="Q12" s="1">
        <f t="shared" si="39"/>
        <v>4377.4215283223293</v>
      </c>
      <c r="R12" s="1">
        <f t="shared" si="39"/>
        <v>6588.0153203917907</v>
      </c>
      <c r="S12" s="1">
        <f t="shared" ref="S12:T12" si="40">S9+SUM(S10:S11)</f>
        <v>8544.5853729646587</v>
      </c>
      <c r="T12" s="1">
        <f t="shared" si="40"/>
        <v>11029.272039469473</v>
      </c>
      <c r="U12" s="1">
        <f t="shared" ref="U12:W12" si="41">U9+SUM(U10:U11)</f>
        <v>14108.196778017937</v>
      </c>
      <c r="V12" s="1">
        <f t="shared" si="41"/>
        <v>17911.02276216527</v>
      </c>
      <c r="W12" s="1">
        <f t="shared" si="41"/>
        <v>22594.487242205814</v>
      </c>
    </row>
    <row r="13" spans="1:78" x14ac:dyDescent="0.2">
      <c r="A13" s="1" t="s">
        <v>30</v>
      </c>
      <c r="G13" s="1">
        <f>G24*G12</f>
        <v>0</v>
      </c>
      <c r="H13" s="1">
        <f t="shared" ref="H13:I13" si="42">H24*H12</f>
        <v>0</v>
      </c>
      <c r="I13" s="1">
        <f t="shared" si="42"/>
        <v>0</v>
      </c>
      <c r="K13" s="1">
        <v>10</v>
      </c>
      <c r="L13" s="1">
        <v>19.7</v>
      </c>
      <c r="M13" s="1">
        <v>21.2</v>
      </c>
      <c r="N13" s="1">
        <f>N24*N12</f>
        <v>86.638405730930941</v>
      </c>
      <c r="O13" s="1">
        <f>O24*O12</f>
        <v>143.38330122458936</v>
      </c>
      <c r="P13" s="1">
        <f>P24*P12</f>
        <v>227.48720305184747</v>
      </c>
      <c r="Q13" s="1">
        <f>Q24*Q12</f>
        <v>350.19372226578633</v>
      </c>
      <c r="R13" s="1">
        <f>R24*R12</f>
        <v>527.04122563134331</v>
      </c>
      <c r="S13" s="1">
        <f t="shared" ref="S13:T13" si="43">S24*S12</f>
        <v>683.56682983717269</v>
      </c>
      <c r="T13" s="1">
        <f t="shared" si="43"/>
        <v>882.34176315755792</v>
      </c>
      <c r="U13" s="1">
        <f t="shared" ref="U13" si="44">U24*U12</f>
        <v>1128.6557422414351</v>
      </c>
      <c r="V13" s="1">
        <f t="shared" ref="V13" si="45">V24*V12</f>
        <v>1432.8818209732217</v>
      </c>
      <c r="W13" s="1">
        <f t="shared" ref="W13" si="46">W24*W12</f>
        <v>1807.5589793764652</v>
      </c>
    </row>
    <row r="14" spans="1:78" ht="15" x14ac:dyDescent="0.25">
      <c r="A14" s="3" t="s">
        <v>18</v>
      </c>
      <c r="B14" s="3"/>
      <c r="C14" s="3"/>
      <c r="D14" s="3"/>
      <c r="E14" s="3"/>
      <c r="F14" s="3">
        <f>F12-F13</f>
        <v>356</v>
      </c>
      <c r="G14" s="3">
        <f t="shared" ref="G14:I14" si="47">G12-G13</f>
        <v>938</v>
      </c>
      <c r="H14" s="3">
        <f t="shared" si="47"/>
        <v>1022.4200000000001</v>
      </c>
      <c r="I14" s="3">
        <f t="shared" si="47"/>
        <v>1114.4378000000002</v>
      </c>
      <c r="J14" s="3"/>
      <c r="K14" s="3">
        <f>K12-K13</f>
        <v>-370.7999999999999</v>
      </c>
      <c r="L14" s="3">
        <f>L12-L13</f>
        <v>217.50000000000014</v>
      </c>
      <c r="M14" s="3">
        <f>M12-M13</f>
        <v>468.11000000000024</v>
      </c>
      <c r="N14" s="3">
        <f>N12-N13</f>
        <v>996.34166590570578</v>
      </c>
      <c r="O14" s="3">
        <f t="shared" ref="O14:W14" si="48">O12-O13</f>
        <v>1648.9079640827777</v>
      </c>
      <c r="P14" s="3">
        <f t="shared" si="48"/>
        <v>2616.1028350962461</v>
      </c>
      <c r="Q14" s="3">
        <f t="shared" si="48"/>
        <v>4027.2278060565432</v>
      </c>
      <c r="R14" s="3">
        <f t="shared" si="48"/>
        <v>6060.9740947604478</v>
      </c>
      <c r="S14" s="3">
        <f t="shared" si="48"/>
        <v>7861.0185431274858</v>
      </c>
      <c r="T14" s="3">
        <f t="shared" si="48"/>
        <v>10146.930276311916</v>
      </c>
      <c r="U14" s="3">
        <f t="shared" si="48"/>
        <v>12979.541035776501</v>
      </c>
      <c r="V14" s="3">
        <f t="shared" si="48"/>
        <v>16478.140941192047</v>
      </c>
      <c r="W14" s="3">
        <f t="shared" si="48"/>
        <v>20786.928262829348</v>
      </c>
      <c r="X14" s="3">
        <f t="shared" ref="X14:BC14" si="49">W14*(1+$Z$20)</f>
        <v>21410.536110714227</v>
      </c>
      <c r="Y14" s="3">
        <f t="shared" si="49"/>
        <v>22052.852194035655</v>
      </c>
      <c r="Z14" s="3">
        <f t="shared" si="49"/>
        <v>22714.437759856726</v>
      </c>
      <c r="AA14" s="3">
        <f t="shared" si="49"/>
        <v>23395.870892652427</v>
      </c>
      <c r="AB14" s="3">
        <f t="shared" si="49"/>
        <v>24097.747019432001</v>
      </c>
      <c r="AC14" s="3">
        <f t="shared" si="49"/>
        <v>24820.679430014963</v>
      </c>
      <c r="AD14" s="3">
        <f t="shared" si="49"/>
        <v>25565.299812915411</v>
      </c>
      <c r="AE14" s="3">
        <f t="shared" si="49"/>
        <v>26332.258807302875</v>
      </c>
      <c r="AF14" s="3">
        <f t="shared" si="49"/>
        <v>27122.226571521962</v>
      </c>
      <c r="AG14" s="3">
        <f t="shared" si="49"/>
        <v>27935.893368667621</v>
      </c>
      <c r="AH14" s="3">
        <f t="shared" si="49"/>
        <v>28773.970169727651</v>
      </c>
      <c r="AI14" s="3">
        <f t="shared" si="49"/>
        <v>29637.18927481948</v>
      </c>
      <c r="AJ14" s="3">
        <f t="shared" si="49"/>
        <v>30526.304953064067</v>
      </c>
      <c r="AK14" s="3">
        <f t="shared" si="49"/>
        <v>31442.094101655992</v>
      </c>
      <c r="AL14" s="3">
        <f t="shared" si="49"/>
        <v>32385.356924705673</v>
      </c>
      <c r="AM14" s="3">
        <f t="shared" si="49"/>
        <v>33356.917632446843</v>
      </c>
      <c r="AN14" s="3">
        <f t="shared" si="49"/>
        <v>34357.625161420248</v>
      </c>
      <c r="AO14" s="3">
        <f t="shared" si="49"/>
        <v>35388.353916262859</v>
      </c>
      <c r="AP14" s="3">
        <f t="shared" si="49"/>
        <v>36450.004533750747</v>
      </c>
      <c r="AQ14" s="3">
        <f t="shared" si="49"/>
        <v>37543.504669763272</v>
      </c>
      <c r="AR14" s="3">
        <f t="shared" si="49"/>
        <v>38669.809809856168</v>
      </c>
      <c r="AS14" s="3">
        <f t="shared" si="49"/>
        <v>39829.90410415185</v>
      </c>
      <c r="AT14" s="3">
        <f t="shared" si="49"/>
        <v>41024.80122727641</v>
      </c>
      <c r="AU14" s="3">
        <f t="shared" si="49"/>
        <v>42255.545264094704</v>
      </c>
      <c r="AV14" s="3">
        <f t="shared" si="49"/>
        <v>43523.211622017545</v>
      </c>
      <c r="AW14" s="3">
        <f t="shared" si="49"/>
        <v>44828.907970678076</v>
      </c>
      <c r="AX14" s="3">
        <f t="shared" si="49"/>
        <v>46173.775209798419</v>
      </c>
      <c r="AY14" s="3">
        <f t="shared" si="49"/>
        <v>47558.988466092371</v>
      </c>
      <c r="AZ14" s="3">
        <f t="shared" si="49"/>
        <v>48985.758120075145</v>
      </c>
      <c r="BA14" s="3">
        <f t="shared" si="49"/>
        <v>50455.330863677402</v>
      </c>
      <c r="BB14" s="3">
        <f t="shared" si="49"/>
        <v>51968.990789587726</v>
      </c>
      <c r="BC14" s="3">
        <f t="shared" si="49"/>
        <v>53528.060513275363</v>
      </c>
      <c r="BD14" s="3">
        <f t="shared" ref="BD14:BZ14" si="50">BC14*(1+$Z$20)</f>
        <v>55133.902328673626</v>
      </c>
      <c r="BE14" s="3">
        <f t="shared" si="50"/>
        <v>56787.919398533835</v>
      </c>
      <c r="BF14" s="3">
        <f t="shared" si="50"/>
        <v>58491.556980489855</v>
      </c>
      <c r="BG14" s="3">
        <f t="shared" si="50"/>
        <v>60246.303689904555</v>
      </c>
      <c r="BH14" s="3">
        <f t="shared" si="50"/>
        <v>62053.69280060169</v>
      </c>
      <c r="BI14" s="3">
        <f t="shared" si="50"/>
        <v>63915.303584619745</v>
      </c>
      <c r="BJ14" s="3">
        <f t="shared" si="50"/>
        <v>65832.762692158343</v>
      </c>
      <c r="BK14" s="3">
        <f t="shared" si="50"/>
        <v>67807.745572923101</v>
      </c>
      <c r="BL14" s="3">
        <f t="shared" si="50"/>
        <v>69841.977940110795</v>
      </c>
      <c r="BM14" s="3">
        <f t="shared" si="50"/>
        <v>71937.237278314118</v>
      </c>
      <c r="BN14" s="3">
        <f t="shared" si="50"/>
        <v>74095.354396663548</v>
      </c>
      <c r="BO14" s="3">
        <f t="shared" si="50"/>
        <v>76318.215028563456</v>
      </c>
      <c r="BP14" s="3">
        <f t="shared" si="50"/>
        <v>78607.761479420355</v>
      </c>
      <c r="BQ14" s="3">
        <f t="shared" si="50"/>
        <v>80965.994323802966</v>
      </c>
      <c r="BR14" s="3">
        <f t="shared" si="50"/>
        <v>83394.974153517061</v>
      </c>
      <c r="BS14" s="3">
        <f t="shared" si="50"/>
        <v>85896.823378122572</v>
      </c>
      <c r="BT14" s="3">
        <f t="shared" si="50"/>
        <v>88473.728079466251</v>
      </c>
      <c r="BU14" s="3">
        <f t="shared" si="50"/>
        <v>91127.939921850237</v>
      </c>
      <c r="BV14" s="3">
        <f t="shared" si="50"/>
        <v>93861.778119505747</v>
      </c>
      <c r="BW14" s="3">
        <f t="shared" si="50"/>
        <v>96677.631463090918</v>
      </c>
      <c r="BX14" s="3">
        <f t="shared" si="50"/>
        <v>99577.96040698365</v>
      </c>
      <c r="BY14" s="3">
        <f t="shared" si="50"/>
        <v>102565.29921919316</v>
      </c>
      <c r="BZ14" s="3">
        <f t="shared" si="50"/>
        <v>105642.25819576895</v>
      </c>
    </row>
    <row r="15" spans="1:78" x14ac:dyDescent="0.2">
      <c r="A15" s="1" t="s">
        <v>2</v>
      </c>
      <c r="L15" s="6"/>
      <c r="M15" s="6"/>
    </row>
    <row r="16" spans="1:78" x14ac:dyDescent="0.2">
      <c r="A16" s="1" t="s">
        <v>37</v>
      </c>
    </row>
    <row r="18" spans="1:73" ht="15" x14ac:dyDescent="0.25">
      <c r="A18" s="3" t="s">
        <v>43</v>
      </c>
      <c r="B18" s="3"/>
      <c r="C18" s="3"/>
      <c r="D18" s="3"/>
      <c r="E18" s="3"/>
      <c r="F18" s="4" t="e">
        <f>F2/B2-1</f>
        <v>#DIV/0!</v>
      </c>
      <c r="G18" s="4" t="e">
        <f>G2/C2-1</f>
        <v>#DIV/0!</v>
      </c>
      <c r="H18" s="4" t="e">
        <f t="shared" ref="H18:I18" si="51">H2/D2-1</f>
        <v>#DIV/0!</v>
      </c>
      <c r="I18" s="4">
        <f t="shared" si="51"/>
        <v>0.34675262839879162</v>
      </c>
      <c r="J18" s="3"/>
      <c r="K18" s="3"/>
      <c r="L18" s="4">
        <f>L2/K2-1</f>
        <v>0.1674887186483367</v>
      </c>
      <c r="M18" s="4">
        <f>M2/L2-1</f>
        <v>0.28786516853932587</v>
      </c>
      <c r="N18" s="4">
        <f>N2/M2-1</f>
        <v>0.3731836677717677</v>
      </c>
      <c r="O18" s="4">
        <f t="shared" ref="O18:W18" si="52">O2/N2-1</f>
        <v>0.34000000000000008</v>
      </c>
      <c r="P18" s="4">
        <f t="shared" si="52"/>
        <v>0.34000000000000008</v>
      </c>
      <c r="Q18" s="4">
        <f t="shared" si="52"/>
        <v>0.34000000000000008</v>
      </c>
      <c r="R18" s="4">
        <f t="shared" si="52"/>
        <v>0.34000000000000008</v>
      </c>
      <c r="S18" s="4">
        <f t="shared" si="52"/>
        <v>0.19999999999999996</v>
      </c>
      <c r="T18" s="4">
        <f t="shared" si="52"/>
        <v>0.19999999999999996</v>
      </c>
      <c r="U18" s="4">
        <f t="shared" si="52"/>
        <v>0.19999999999999996</v>
      </c>
      <c r="V18" s="4">
        <f t="shared" si="52"/>
        <v>0.19999999999999996</v>
      </c>
      <c r="W18" s="4">
        <f t="shared" si="52"/>
        <v>0.19999999999999996</v>
      </c>
    </row>
    <row r="19" spans="1:73" ht="15" x14ac:dyDescent="0.25">
      <c r="A19" s="3" t="s">
        <v>44</v>
      </c>
      <c r="B19" s="3"/>
      <c r="C19" s="3"/>
      <c r="D19" s="3"/>
      <c r="E19" s="3"/>
      <c r="F19" s="4">
        <f>F2/E2-1</f>
        <v>3.92749244712991E-2</v>
      </c>
      <c r="G19" s="4">
        <f>G2/F2-1</f>
        <v>9.0697674418604546E-2</v>
      </c>
      <c r="H19" s="4">
        <f t="shared" ref="H19:I19" si="53">H2/G2-1</f>
        <v>9.000000000000008E-2</v>
      </c>
      <c r="I19" s="4">
        <f t="shared" si="53"/>
        <v>9.000000000000008E-2</v>
      </c>
      <c r="J19" s="3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Y19" s="1" t="s">
        <v>36</v>
      </c>
      <c r="Z19" s="5">
        <v>0.06</v>
      </c>
    </row>
    <row r="20" spans="1:73" x14ac:dyDescent="0.2">
      <c r="A20" s="1" t="s">
        <v>14</v>
      </c>
      <c r="B20" s="1" t="e">
        <f>#REF!/B2</f>
        <v>#REF!</v>
      </c>
      <c r="E20" s="6" t="e">
        <f>#REF!/E2</f>
        <v>#REF!</v>
      </c>
      <c r="F20" s="6" t="e">
        <f>#REF!/F2</f>
        <v>#REF!</v>
      </c>
      <c r="G20" s="6" t="e">
        <f>#REF!/G2</f>
        <v>#REF!</v>
      </c>
      <c r="H20" s="6"/>
      <c r="I20" s="6"/>
      <c r="J20" s="6"/>
      <c r="K20" s="6">
        <f>K9/K2</f>
        <v>-8.4531430370448066E-2</v>
      </c>
      <c r="L20" s="6">
        <f>L9/L2</f>
        <v>5.3977528089887705E-2</v>
      </c>
      <c r="M20" s="6">
        <f>M9/M2</f>
        <v>0.10836154248822202</v>
      </c>
      <c r="N20" s="6">
        <f>N9/N2</f>
        <v>0.20392759088692775</v>
      </c>
      <c r="O20" s="6">
        <f t="shared" ref="O20:W20" si="54">O9/O2</f>
        <v>0.27540652079780564</v>
      </c>
      <c r="P20" s="6">
        <f t="shared" si="54"/>
        <v>0.34034535078370187</v>
      </c>
      <c r="Q20" s="6">
        <f t="shared" si="54"/>
        <v>0.39943665334639089</v>
      </c>
      <c r="R20" s="6">
        <f t="shared" si="54"/>
        <v>0.45330073545136418</v>
      </c>
      <c r="S20" s="6">
        <f t="shared" si="54"/>
        <v>0.48239447764889076</v>
      </c>
      <c r="T20" s="6">
        <f t="shared" si="54"/>
        <v>0.5121949378448164</v>
      </c>
      <c r="U20" s="6">
        <f t="shared" si="54"/>
        <v>0.53951202635774831</v>
      </c>
      <c r="V20" s="6">
        <f t="shared" si="54"/>
        <v>0.56455269082793591</v>
      </c>
      <c r="W20" s="6">
        <f t="shared" si="54"/>
        <v>0.58750663325894126</v>
      </c>
      <c r="Y20" s="1" t="s">
        <v>19</v>
      </c>
      <c r="Z20" s="5">
        <v>0.03</v>
      </c>
    </row>
    <row r="21" spans="1:73" x14ac:dyDescent="0.2">
      <c r="A21" s="1" t="s">
        <v>33</v>
      </c>
      <c r="B21" s="6" t="e">
        <f>B4/B2-1</f>
        <v>#DIV/0!</v>
      </c>
      <c r="C21" s="6" t="e">
        <f>C4/C2-1</f>
        <v>#DIV/0!</v>
      </c>
      <c r="D21" s="6" t="e">
        <f>D4/D2-1</f>
        <v>#DIV/0!</v>
      </c>
      <c r="E21" s="6">
        <f>E4/E2-1</f>
        <v>0</v>
      </c>
      <c r="F21" s="6">
        <f>F4/F2-1</f>
        <v>0</v>
      </c>
      <c r="G21" s="6">
        <f>G4/G2-1</f>
        <v>0</v>
      </c>
      <c r="H21" s="6"/>
      <c r="I21" s="6"/>
      <c r="K21" s="6">
        <f>K4/K2</f>
        <v>0.78565431839647393</v>
      </c>
      <c r="L21" s="6">
        <f>L4/L2</f>
        <v>0.80624719101123599</v>
      </c>
      <c r="M21" s="6">
        <f>M4/M2</f>
        <v>0.80248124236607932</v>
      </c>
      <c r="N21" s="6">
        <f>M21*1.01</f>
        <v>0.81050605478974014</v>
      </c>
      <c r="O21" s="6">
        <f t="shared" ref="O21:R21" si="55">N21*1.01</f>
        <v>0.81861111533763753</v>
      </c>
      <c r="P21" s="6">
        <f t="shared" si="55"/>
        <v>0.82679722649101395</v>
      </c>
      <c r="Q21" s="6">
        <f t="shared" si="55"/>
        <v>0.83506519875592411</v>
      </c>
      <c r="R21" s="6">
        <f t="shared" si="55"/>
        <v>0.84341585074348335</v>
      </c>
      <c r="S21" s="6">
        <v>0.84</v>
      </c>
      <c r="T21" s="6">
        <v>0.84</v>
      </c>
      <c r="U21" s="6">
        <v>0.84</v>
      </c>
      <c r="V21" s="6">
        <v>0.84</v>
      </c>
      <c r="W21" s="6">
        <v>0.84</v>
      </c>
      <c r="Y21" s="1" t="s">
        <v>20</v>
      </c>
      <c r="Z21" s="5">
        <v>8.5000000000000006E-2</v>
      </c>
    </row>
    <row r="22" spans="1:73" x14ac:dyDescent="0.2">
      <c r="Y22" s="1" t="s">
        <v>21</v>
      </c>
      <c r="Z22" s="1">
        <f>NPV(Z21,N29:BZ29)+Sheet1!D5-Sheet1!D6</f>
        <v>257220.41037733594</v>
      </c>
    </row>
    <row r="23" spans="1:73" x14ac:dyDescent="0.2">
      <c r="A23" s="1" t="s">
        <v>13</v>
      </c>
      <c r="B23" s="1" t="e">
        <f>B20+B18</f>
        <v>#REF!</v>
      </c>
      <c r="K23" s="6">
        <f t="shared" ref="K23:N23" si="56">K20+K18</f>
        <v>-8.4531430370448066E-2</v>
      </c>
      <c r="L23" s="6">
        <f t="shared" si="56"/>
        <v>0.2214662467382244</v>
      </c>
      <c r="M23" s="6">
        <f t="shared" si="56"/>
        <v>0.39622671102754792</v>
      </c>
      <c r="N23" s="6">
        <f t="shared" si="56"/>
        <v>0.5771112586586955</v>
      </c>
      <c r="O23" s="6">
        <f t="shared" ref="O23:W23" si="57">O20+O18</f>
        <v>0.61540652079780567</v>
      </c>
      <c r="P23" s="6">
        <f t="shared" si="57"/>
        <v>0.68034535078370195</v>
      </c>
      <c r="Q23" s="6">
        <f t="shared" si="57"/>
        <v>0.73943665334639097</v>
      </c>
      <c r="R23" s="6">
        <f t="shared" si="57"/>
        <v>0.79330073545136426</v>
      </c>
      <c r="S23" s="6">
        <f t="shared" si="57"/>
        <v>0.68239447764889072</v>
      </c>
      <c r="T23" s="6">
        <f t="shared" si="57"/>
        <v>0.71219493784481636</v>
      </c>
      <c r="U23" s="6">
        <f t="shared" si="57"/>
        <v>0.73951202635774826</v>
      </c>
      <c r="V23" s="6">
        <f t="shared" si="57"/>
        <v>0.76455269082793587</v>
      </c>
      <c r="W23" s="6">
        <f t="shared" si="57"/>
        <v>0.78750663325894121</v>
      </c>
      <c r="Y23" s="1" t="s">
        <v>1</v>
      </c>
      <c r="Z23" s="1">
        <f>Z22/Sheet1!D3</f>
        <v>108.99585593405509</v>
      </c>
    </row>
    <row r="24" spans="1:73" x14ac:dyDescent="0.2">
      <c r="A24" s="1" t="s">
        <v>34</v>
      </c>
      <c r="K24" s="6">
        <f>K13/K12</f>
        <v>-2.7716186252771627E-2</v>
      </c>
      <c r="L24" s="6">
        <f>L13/L12</f>
        <v>8.3052276559865038E-2</v>
      </c>
      <c r="M24" s="6">
        <f>M13/M12</f>
        <v>4.3326316649976479E-2</v>
      </c>
      <c r="N24" s="6">
        <v>0.08</v>
      </c>
      <c r="O24" s="6">
        <v>0.08</v>
      </c>
      <c r="P24" s="6">
        <v>0.08</v>
      </c>
      <c r="Q24" s="6">
        <v>0.08</v>
      </c>
      <c r="R24" s="6">
        <v>0.08</v>
      </c>
      <c r="S24" s="6">
        <v>0.08</v>
      </c>
      <c r="T24" s="6">
        <v>0.08</v>
      </c>
      <c r="U24" s="6">
        <v>0.08</v>
      </c>
      <c r="V24" s="6">
        <v>0.08</v>
      </c>
      <c r="W24" s="6">
        <v>0.08</v>
      </c>
      <c r="Y24" s="1" t="s">
        <v>22</v>
      </c>
      <c r="Z24" s="6">
        <f>Z23/Sheet1!D2-1</f>
        <v>-8.4068437528948881E-2</v>
      </c>
    </row>
    <row r="25" spans="1:73" x14ac:dyDescent="0.2">
      <c r="A25" s="1" t="s">
        <v>35</v>
      </c>
      <c r="K25" s="6">
        <f>K29/K2</f>
        <v>-6.1339070206737345E-2</v>
      </c>
      <c r="L25" s="6">
        <f>L29/L2</f>
        <v>-0.8984269662921347</v>
      </c>
      <c r="M25" s="6">
        <f>M29/M2</f>
        <v>0.38680858488919906</v>
      </c>
      <c r="N25" s="6">
        <f>N29/N2</f>
        <v>0.40662206395361983</v>
      </c>
      <c r="O25" s="6">
        <f>N25*1.08</f>
        <v>0.43915182906990946</v>
      </c>
      <c r="P25" s="6">
        <f t="shared" ref="P25:W25" si="58">O25*1.08</f>
        <v>0.47428397539550227</v>
      </c>
      <c r="Q25" s="6">
        <f t="shared" si="58"/>
        <v>0.51222669342714244</v>
      </c>
      <c r="R25" s="6">
        <f t="shared" si="58"/>
        <v>0.55320482890131384</v>
      </c>
      <c r="S25" s="6">
        <f t="shared" si="58"/>
        <v>0.59746121521341899</v>
      </c>
      <c r="T25" s="6">
        <f t="shared" si="58"/>
        <v>0.64525811243049258</v>
      </c>
      <c r="U25" s="6">
        <f t="shared" si="58"/>
        <v>0.69687876142493199</v>
      </c>
      <c r="V25" s="6">
        <f t="shared" si="58"/>
        <v>0.75262906233892657</v>
      </c>
      <c r="W25" s="6">
        <f t="shared" si="58"/>
        <v>0.81283938732604077</v>
      </c>
    </row>
    <row r="26" spans="1:73" x14ac:dyDescent="0.2">
      <c r="M26" s="6"/>
    </row>
    <row r="27" spans="1:73" x14ac:dyDescent="0.2">
      <c r="A27" s="1" t="s">
        <v>16</v>
      </c>
      <c r="K27" s="1">
        <v>223.7</v>
      </c>
      <c r="L27" s="1">
        <v>712.2</v>
      </c>
      <c r="M27" s="1">
        <v>1153.8</v>
      </c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73" x14ac:dyDescent="0.2">
      <c r="A28" s="1" t="s">
        <v>17</v>
      </c>
      <c r="K28" s="1">
        <v>340.6</v>
      </c>
      <c r="L28" s="1">
        <v>2711.2</v>
      </c>
      <c r="M28" s="1">
        <v>45.4</v>
      </c>
    </row>
    <row r="29" spans="1:73" s="3" customFormat="1" ht="15" x14ac:dyDescent="0.25">
      <c r="A29" s="3" t="s">
        <v>15</v>
      </c>
      <c r="E29" s="3">
        <v>517</v>
      </c>
      <c r="K29" s="3">
        <f>K27-K28</f>
        <v>-116.90000000000003</v>
      </c>
      <c r="L29" s="3">
        <f t="shared" ref="L29:M29" si="59">L27-L28</f>
        <v>-1998.9999999999998</v>
      </c>
      <c r="M29" s="3">
        <f t="shared" si="59"/>
        <v>1108.3999999999999</v>
      </c>
      <c r="N29" s="3">
        <v>1600</v>
      </c>
      <c r="O29" s="3">
        <f>O25*O2</f>
        <v>2315.5200000000004</v>
      </c>
      <c r="P29" s="3">
        <f t="shared" ref="P29:W29" si="60">P25*P2</f>
        <v>3351.0205440000013</v>
      </c>
      <c r="Q29" s="3">
        <f t="shared" si="60"/>
        <v>4849.596931276802</v>
      </c>
      <c r="R29" s="3">
        <f t="shared" si="60"/>
        <v>7018.3366789437887</v>
      </c>
      <c r="S29" s="3">
        <f t="shared" si="60"/>
        <v>9095.7643359111498</v>
      </c>
      <c r="T29" s="3">
        <f t="shared" si="60"/>
        <v>11788.110579340851</v>
      </c>
      <c r="U29" s="3">
        <f t="shared" si="60"/>
        <v>15277.391310825744</v>
      </c>
      <c r="V29" s="3">
        <f t="shared" si="60"/>
        <v>19799.499138830164</v>
      </c>
      <c r="W29" s="3">
        <f t="shared" si="60"/>
        <v>25660.150883923896</v>
      </c>
      <c r="X29" s="3">
        <f t="shared" ref="X29:BC29" si="61">W29*(1+$Z$20)</f>
        <v>26429.955410441613</v>
      </c>
      <c r="Y29" s="3">
        <f t="shared" si="61"/>
        <v>27222.854072754861</v>
      </c>
      <c r="Z29" s="3">
        <f t="shared" si="61"/>
        <v>28039.539694937506</v>
      </c>
      <c r="AA29" s="3">
        <f t="shared" si="61"/>
        <v>28880.725885785632</v>
      </c>
      <c r="AB29" s="3">
        <f t="shared" si="61"/>
        <v>29747.147662359203</v>
      </c>
      <c r="AC29" s="3">
        <f t="shared" si="61"/>
        <v>30639.562092229979</v>
      </c>
      <c r="AD29" s="3">
        <f t="shared" si="61"/>
        <v>31558.748954996878</v>
      </c>
      <c r="AE29" s="3">
        <f t="shared" si="61"/>
        <v>32505.511423646785</v>
      </c>
      <c r="AF29" s="3">
        <f t="shared" si="61"/>
        <v>33480.676766356191</v>
      </c>
      <c r="AG29" s="3">
        <f t="shared" si="61"/>
        <v>34485.097069346877</v>
      </c>
      <c r="AH29" s="3">
        <f t="shared" si="61"/>
        <v>35519.649981427283</v>
      </c>
      <c r="AI29" s="3">
        <f t="shared" si="61"/>
        <v>36585.239480870099</v>
      </c>
      <c r="AJ29" s="3">
        <f t="shared" si="61"/>
        <v>37682.796665296206</v>
      </c>
      <c r="AK29" s="3">
        <f t="shared" si="61"/>
        <v>38813.280565255096</v>
      </c>
      <c r="AL29" s="3">
        <f t="shared" si="61"/>
        <v>39977.678982212747</v>
      </c>
      <c r="AM29" s="3">
        <f t="shared" si="61"/>
        <v>41177.009351679131</v>
      </c>
      <c r="AN29" s="3">
        <f t="shared" si="61"/>
        <v>42412.319632229504</v>
      </c>
      <c r="AO29" s="3">
        <f t="shared" si="61"/>
        <v>43684.689221196393</v>
      </c>
      <c r="AP29" s="3">
        <f t="shared" si="61"/>
        <v>44995.229897832287</v>
      </c>
      <c r="AQ29" s="3">
        <f t="shared" si="61"/>
        <v>46345.08679476726</v>
      </c>
      <c r="AR29" s="3">
        <f t="shared" si="61"/>
        <v>47735.43939861028</v>
      </c>
      <c r="AS29" s="3">
        <f t="shared" si="61"/>
        <v>49167.502580568587</v>
      </c>
      <c r="AT29" s="3">
        <f t="shared" si="61"/>
        <v>50642.527657985644</v>
      </c>
      <c r="AU29" s="3">
        <f t="shared" si="61"/>
        <v>52161.803487725214</v>
      </c>
      <c r="AV29" s="3">
        <f t="shared" si="61"/>
        <v>53726.657592356969</v>
      </c>
      <c r="AW29" s="3">
        <f t="shared" si="61"/>
        <v>55338.45732012768</v>
      </c>
      <c r="AX29" s="3">
        <f t="shared" si="61"/>
        <v>56998.611039731513</v>
      </c>
      <c r="AY29" s="3">
        <f t="shared" si="61"/>
        <v>58708.569370923462</v>
      </c>
      <c r="AZ29" s="3">
        <f t="shared" si="61"/>
        <v>60469.826452051166</v>
      </c>
      <c r="BA29" s="3">
        <f t="shared" si="61"/>
        <v>62283.921245612699</v>
      </c>
      <c r="BB29" s="3">
        <f t="shared" si="61"/>
        <v>64152.438882981085</v>
      </c>
      <c r="BC29" s="3">
        <f t="shared" si="61"/>
        <v>66077.012049470519</v>
      </c>
      <c r="BD29" s="3">
        <f t="shared" ref="BD29:BU29" si="62">BC29*(1+$Z$20)</f>
        <v>68059.322410954643</v>
      </c>
      <c r="BE29" s="3">
        <f t="shared" si="62"/>
        <v>70101.102083283287</v>
      </c>
      <c r="BF29" s="3">
        <f t="shared" si="62"/>
        <v>72204.135145781795</v>
      </c>
      <c r="BG29" s="3">
        <f t="shared" si="62"/>
        <v>74370.259200155255</v>
      </c>
      <c r="BH29" s="3">
        <f t="shared" si="62"/>
        <v>76601.366976159916</v>
      </c>
      <c r="BI29" s="3">
        <f t="shared" si="62"/>
        <v>78899.407985444719</v>
      </c>
      <c r="BJ29" s="3">
        <f t="shared" si="62"/>
        <v>81266.390225008057</v>
      </c>
      <c r="BK29" s="3">
        <f t="shared" si="62"/>
        <v>83704.381931758297</v>
      </c>
      <c r="BL29" s="3">
        <f t="shared" si="62"/>
        <v>86215.51338971105</v>
      </c>
      <c r="BM29" s="3">
        <f t="shared" si="62"/>
        <v>88801.978791402391</v>
      </c>
      <c r="BN29" s="3">
        <f t="shared" si="62"/>
        <v>91466.038155144459</v>
      </c>
      <c r="BO29" s="3">
        <f t="shared" si="62"/>
        <v>94210.019299798791</v>
      </c>
      <c r="BP29" s="3">
        <f t="shared" si="62"/>
        <v>97036.319878792754</v>
      </c>
      <c r="BQ29" s="3">
        <f t="shared" si="62"/>
        <v>99947.409475156543</v>
      </c>
      <c r="BR29" s="3">
        <f t="shared" si="62"/>
        <v>102945.83175941125</v>
      </c>
      <c r="BS29" s="3">
        <f t="shared" si="62"/>
        <v>106034.20671219358</v>
      </c>
      <c r="BT29" s="3">
        <f t="shared" si="62"/>
        <v>109215.23291355939</v>
      </c>
      <c r="BU29" s="3">
        <f t="shared" si="62"/>
        <v>112491.68990096617</v>
      </c>
    </row>
    <row r="30" spans="1:73" x14ac:dyDescent="0.2"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73" x14ac:dyDescent="0.2"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73" x14ac:dyDescent="0.2">
      <c r="A32" s="1" t="s">
        <v>38</v>
      </c>
      <c r="F32" s="1">
        <f>F34-F36</f>
        <v>0</v>
      </c>
      <c r="M32" s="1">
        <f>M34-M36</f>
        <v>4978.8999999999996</v>
      </c>
      <c r="N32" s="1">
        <f>M32+N14</f>
        <v>5975.2416659057053</v>
      </c>
      <c r="O32" s="1">
        <f t="shared" ref="O32:R32" si="63">N32+O14</f>
        <v>7624.149629988483</v>
      </c>
      <c r="P32" s="1">
        <f t="shared" si="63"/>
        <v>10240.25246508473</v>
      </c>
      <c r="Q32" s="1">
        <f t="shared" si="63"/>
        <v>14267.480271141274</v>
      </c>
      <c r="R32" s="1">
        <f t="shared" si="63"/>
        <v>20328.454365901722</v>
      </c>
      <c r="S32" s="1">
        <f t="shared" ref="S32:W32" si="64">R32+S14</f>
        <v>28189.472909029209</v>
      </c>
      <c r="T32" s="1">
        <f t="shared" si="64"/>
        <v>38336.403185341129</v>
      </c>
      <c r="U32" s="1">
        <f t="shared" si="64"/>
        <v>51315.944221117628</v>
      </c>
      <c r="V32" s="1">
        <f t="shared" si="64"/>
        <v>67794.085162309668</v>
      </c>
      <c r="W32" s="1">
        <f t="shared" si="64"/>
        <v>88581.013425139012</v>
      </c>
    </row>
    <row r="34" spans="1:13" x14ac:dyDescent="0.2">
      <c r="A34" s="1" t="s">
        <v>4</v>
      </c>
      <c r="M34" s="1">
        <f>2098+3131</f>
        <v>5229</v>
      </c>
    </row>
    <row r="36" spans="1:13" x14ac:dyDescent="0.2">
      <c r="A36" s="1" t="s">
        <v>5</v>
      </c>
      <c r="M36" s="1">
        <f>39.8+1.5+195.2+13.6</f>
        <v>250.1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2025-03-17T23:13:16Z</dcterms:created>
  <dcterms:modified xsi:type="dcterms:W3CDTF">2025-05-09T01:15:32Z</dcterms:modified>
</cp:coreProperties>
</file>