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65852BA0-049E-43CF-B1F9-BE7883503A44}" xr6:coauthVersionLast="47" xr6:coauthVersionMax="47" xr10:uidLastSave="{00000000-0000-0000-0000-000000000000}"/>
  <bookViews>
    <workbookView xWindow="45" yWindow="450" windowWidth="21120" windowHeight="14670" activeTab="1" xr2:uid="{DF0DB4ED-CAE9-4E97-ABC6-569A6BB0D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2" l="1"/>
  <c r="N24" i="2"/>
  <c r="K2" i="2"/>
  <c r="L2" i="2" s="1"/>
  <c r="U2" i="2"/>
  <c r="V2" i="2" s="1"/>
  <c r="W2" i="2" s="1"/>
  <c r="X2" i="2" s="1"/>
  <c r="Y2" i="2" s="1"/>
  <c r="Z2" i="2" s="1"/>
  <c r="J3" i="2"/>
  <c r="I3" i="2"/>
  <c r="Q24" i="2"/>
  <c r="Q4" i="2"/>
  <c r="R4" i="2"/>
  <c r="Q8" i="2"/>
  <c r="R8" i="2"/>
  <c r="P8" i="2"/>
  <c r="P4" i="2"/>
  <c r="P20" i="2" s="1"/>
  <c r="R18" i="2"/>
  <c r="S18" i="2"/>
  <c r="Q18" i="2"/>
  <c r="P24" i="2"/>
  <c r="D27" i="2"/>
  <c r="E27" i="2"/>
  <c r="F27" i="2"/>
  <c r="D28" i="2"/>
  <c r="E28" i="2"/>
  <c r="F28" i="2"/>
  <c r="C28" i="2"/>
  <c r="C27" i="2"/>
  <c r="C24" i="2"/>
  <c r="C25" i="2" s="1"/>
  <c r="D24" i="2"/>
  <c r="D25" i="2" s="1"/>
  <c r="E24" i="2"/>
  <c r="E25" i="2" s="1"/>
  <c r="F24" i="2"/>
  <c r="F25" i="2" s="1"/>
  <c r="C20" i="2"/>
  <c r="D20" i="2"/>
  <c r="E20" i="2"/>
  <c r="F20" i="2"/>
  <c r="D19" i="2"/>
  <c r="E19" i="2"/>
  <c r="F19" i="2"/>
  <c r="G19" i="2"/>
  <c r="G18" i="2"/>
  <c r="H18" i="2"/>
  <c r="I18" i="2"/>
  <c r="J18" i="2"/>
  <c r="R24" i="2"/>
  <c r="S24" i="2"/>
  <c r="S25" i="2" s="1"/>
  <c r="T24" i="2"/>
  <c r="T25" i="2" s="1"/>
  <c r="T30" i="2"/>
  <c r="H30" i="2"/>
  <c r="U11" i="2" s="1"/>
  <c r="I11" i="1"/>
  <c r="I24" i="2"/>
  <c r="K24" i="2"/>
  <c r="L24" i="2"/>
  <c r="I5" i="2"/>
  <c r="J5" i="2" s="1"/>
  <c r="K5" i="2" s="1"/>
  <c r="H19" i="2"/>
  <c r="T18" i="2"/>
  <c r="S8" i="2"/>
  <c r="S4" i="2"/>
  <c r="S20" i="2" s="1"/>
  <c r="J24" i="2"/>
  <c r="T4" i="2"/>
  <c r="T20" i="2" s="1"/>
  <c r="T8" i="2"/>
  <c r="G24" i="2"/>
  <c r="G25" i="2" s="1"/>
  <c r="G8" i="2"/>
  <c r="G4" i="2"/>
  <c r="G20" i="2" s="1"/>
  <c r="H24" i="2"/>
  <c r="H25" i="2" s="1"/>
  <c r="H8" i="2"/>
  <c r="H4" i="2"/>
  <c r="H20" i="2" s="1"/>
  <c r="I6" i="1"/>
  <c r="U1" i="2"/>
  <c r="V1" i="2" s="1"/>
  <c r="W1" i="2" s="1"/>
  <c r="X1" i="2" s="1"/>
  <c r="Y1" i="2" s="1"/>
  <c r="Z1" i="2" s="1"/>
  <c r="I4" i="1"/>
  <c r="I7" i="1" s="1"/>
  <c r="J11" i="1" s="1"/>
  <c r="L3" i="2" l="1"/>
  <c r="M2" i="2"/>
  <c r="I11" i="2"/>
  <c r="R9" i="2"/>
  <c r="Q9" i="2"/>
  <c r="R12" i="2"/>
  <c r="R14" i="2" s="1"/>
  <c r="R25" i="2" s="1"/>
  <c r="R28" i="2"/>
  <c r="Q12" i="2"/>
  <c r="Q14" i="2" s="1"/>
  <c r="Q28" i="2"/>
  <c r="Q20" i="2"/>
  <c r="R20" i="2"/>
  <c r="Z3" i="2"/>
  <c r="Z4" i="2" s="1"/>
  <c r="Z18" i="2"/>
  <c r="K3" i="2"/>
  <c r="P9" i="2"/>
  <c r="J10" i="1"/>
  <c r="L5" i="2"/>
  <c r="M5" i="2" s="1"/>
  <c r="N5" i="2" s="1"/>
  <c r="S9" i="2"/>
  <c r="I19" i="2"/>
  <c r="G9" i="2"/>
  <c r="T9" i="2"/>
  <c r="H9" i="2"/>
  <c r="X18" i="2"/>
  <c r="W18" i="2"/>
  <c r="M3" i="2" l="1"/>
  <c r="M4" i="2"/>
  <c r="M18" i="2"/>
  <c r="M19" i="2"/>
  <c r="N2" i="2"/>
  <c r="Q16" i="2"/>
  <c r="Q27" i="2"/>
  <c r="R16" i="2"/>
  <c r="R27" i="2"/>
  <c r="P12" i="2"/>
  <c r="P14" i="2" s="1"/>
  <c r="P16" i="2" s="1"/>
  <c r="P28" i="2"/>
  <c r="P27" i="2"/>
  <c r="Y18" i="2"/>
  <c r="I6" i="2"/>
  <c r="I4" i="2"/>
  <c r="I7" i="2"/>
  <c r="H12" i="2"/>
  <c r="H14" i="2" s="1"/>
  <c r="H27" i="2" s="1"/>
  <c r="H28" i="2"/>
  <c r="G12" i="2"/>
  <c r="G14" i="2" s="1"/>
  <c r="G16" i="2" s="1"/>
  <c r="G28" i="2"/>
  <c r="S12" i="2"/>
  <c r="S14" i="2" s="1"/>
  <c r="S16" i="2" s="1"/>
  <c r="S28" i="2"/>
  <c r="J19" i="2"/>
  <c r="T12" i="2"/>
  <c r="T14" i="2" s="1"/>
  <c r="T28" i="2"/>
  <c r="N3" i="2" l="1"/>
  <c r="N4" i="2" s="1"/>
  <c r="N18" i="2"/>
  <c r="N19" i="2"/>
  <c r="S27" i="2"/>
  <c r="T27" i="2"/>
  <c r="G27" i="2"/>
  <c r="H16" i="2"/>
  <c r="J7" i="2"/>
  <c r="J4" i="2"/>
  <c r="I8" i="2"/>
  <c r="I9" i="2" s="1"/>
  <c r="J6" i="2"/>
  <c r="T16" i="2"/>
  <c r="K18" i="2"/>
  <c r="K19" i="2"/>
  <c r="U3" i="2" l="1"/>
  <c r="U18" i="2"/>
  <c r="V18" i="2"/>
  <c r="K6" i="2"/>
  <c r="J8" i="2"/>
  <c r="K4" i="2"/>
  <c r="K7" i="2"/>
  <c r="L18" i="2"/>
  <c r="L19" i="2"/>
  <c r="I13" i="2"/>
  <c r="J13" i="2" s="1"/>
  <c r="K13" i="2" s="1"/>
  <c r="L13" i="2" s="1"/>
  <c r="M13" i="2" s="1"/>
  <c r="N13" i="2" s="1"/>
  <c r="I12" i="2"/>
  <c r="J9" i="2"/>
  <c r="U5" i="2" l="1"/>
  <c r="U7" i="2"/>
  <c r="V7" i="2" s="1"/>
  <c r="W7" i="2" s="1"/>
  <c r="X7" i="2" s="1"/>
  <c r="Y7" i="2" s="1"/>
  <c r="Z7" i="2" s="1"/>
  <c r="U6" i="2"/>
  <c r="V6" i="2" s="1"/>
  <c r="W6" i="2" s="1"/>
  <c r="U23" i="2"/>
  <c r="V23" i="2" s="1"/>
  <c r="W23" i="2" s="1"/>
  <c r="X23" i="2" s="1"/>
  <c r="Y23" i="2" s="1"/>
  <c r="Z23" i="2" s="1"/>
  <c r="L7" i="2"/>
  <c r="M7" i="2" s="1"/>
  <c r="N7" i="2" s="1"/>
  <c r="L6" i="2"/>
  <c r="M6" i="2" s="1"/>
  <c r="K8" i="2"/>
  <c r="K9" i="2" s="1"/>
  <c r="I14" i="2"/>
  <c r="I30" i="2" s="1"/>
  <c r="J11" i="2" s="1"/>
  <c r="L4" i="2"/>
  <c r="I27" i="2"/>
  <c r="I16" i="2"/>
  <c r="N6" i="2" l="1"/>
  <c r="N8" i="2" s="1"/>
  <c r="N9" i="2" s="1"/>
  <c r="M8" i="2"/>
  <c r="M9" i="2" s="1"/>
  <c r="J12" i="2"/>
  <c r="J14" i="2" s="1"/>
  <c r="V5" i="2"/>
  <c r="U8" i="2"/>
  <c r="L8" i="2"/>
  <c r="X6" i="2"/>
  <c r="L9" i="2"/>
  <c r="J27" i="2" l="1"/>
  <c r="J16" i="2"/>
  <c r="J30" i="2"/>
  <c r="K11" i="2" s="1"/>
  <c r="W5" i="2"/>
  <c r="V8" i="2"/>
  <c r="Y6" i="2"/>
  <c r="Z6" i="2" s="1"/>
  <c r="K12" i="2" l="1"/>
  <c r="K14" i="2" s="1"/>
  <c r="X5" i="2"/>
  <c r="W8" i="2"/>
  <c r="K27" i="2" l="1"/>
  <c r="K16" i="2"/>
  <c r="K30" i="2"/>
  <c r="Y5" i="2"/>
  <c r="X8" i="2"/>
  <c r="U4" i="2"/>
  <c r="U9" i="2" s="1"/>
  <c r="L11" i="2" l="1"/>
  <c r="L12" i="2" s="1"/>
  <c r="L14" i="2" s="1"/>
  <c r="Y8" i="2"/>
  <c r="Z5" i="2"/>
  <c r="Z8" i="2" s="1"/>
  <c r="Z9" i="2" s="1"/>
  <c r="Z13" i="2" s="1"/>
  <c r="U13" i="2"/>
  <c r="U12" i="2"/>
  <c r="L27" i="2" l="1"/>
  <c r="L16" i="2"/>
  <c r="L30" i="2"/>
  <c r="M11" i="2" s="1"/>
  <c r="M12" i="2"/>
  <c r="M14" i="2" s="1"/>
  <c r="U14" i="2"/>
  <c r="U22" i="2" s="1"/>
  <c r="Y3" i="2"/>
  <c r="Y4" i="2" s="1"/>
  <c r="Y9" i="2" s="1"/>
  <c r="X3" i="2"/>
  <c r="X4" i="2" s="1"/>
  <c r="X9" i="2" s="1"/>
  <c r="W3" i="2"/>
  <c r="W4" i="2" s="1"/>
  <c r="W9" i="2" s="1"/>
  <c r="V3" i="2"/>
  <c r="V4" i="2" s="1"/>
  <c r="V9" i="2" s="1"/>
  <c r="V13" i="2" s="1"/>
  <c r="M27" i="2" l="1"/>
  <c r="M16" i="2"/>
  <c r="M30" i="2"/>
  <c r="N11" i="2" s="1"/>
  <c r="U24" i="2"/>
  <c r="U25" i="2" s="1"/>
  <c r="U27" i="2"/>
  <c r="U30" i="2"/>
  <c r="V11" i="2" s="1"/>
  <c r="V12" i="2" s="1"/>
  <c r="V14" i="2" s="1"/>
  <c r="V22" i="2" s="1"/>
  <c r="U16" i="2"/>
  <c r="W13" i="2"/>
  <c r="X13" i="2"/>
  <c r="Y13" i="2"/>
  <c r="N12" i="2" l="1"/>
  <c r="N14" i="2" s="1"/>
  <c r="V24" i="2"/>
  <c r="V25" i="2" s="1"/>
  <c r="I8" i="1"/>
  <c r="AC33" i="2"/>
  <c r="V16" i="2"/>
  <c r="AC34" i="2" s="1"/>
  <c r="V30" i="2"/>
  <c r="V27" i="2"/>
  <c r="N16" i="2" l="1"/>
  <c r="N27" i="2"/>
  <c r="N30" i="2"/>
  <c r="W11" i="2"/>
  <c r="W12" i="2" s="1"/>
  <c r="W14" i="2" s="1"/>
  <c r="W22" i="2" s="1"/>
  <c r="W24" i="2" l="1"/>
  <c r="W25" i="2" s="1"/>
  <c r="W30" i="2"/>
  <c r="X11" i="2" s="1"/>
  <c r="X12" i="2" s="1"/>
  <c r="X14" i="2" s="1"/>
  <c r="X22" i="2" s="1"/>
  <c r="W16" i="2"/>
  <c r="W27" i="2"/>
  <c r="X24" i="2" l="1"/>
  <c r="X25" i="2" s="1"/>
  <c r="X16" i="2"/>
  <c r="X27" i="2"/>
  <c r="X30" i="2"/>
  <c r="Y11" i="2" l="1"/>
  <c r="Y12" i="2" s="1"/>
  <c r="Y14" i="2" s="1"/>
  <c r="Y22" i="2" l="1"/>
  <c r="Y24" i="2" s="1"/>
  <c r="Y16" i="2"/>
  <c r="Y27" i="2"/>
  <c r="Y30" i="2"/>
  <c r="Z11" i="2" l="1"/>
  <c r="Z12" i="2" s="1"/>
  <c r="Z14" i="2" s="1"/>
  <c r="Z30" i="2" s="1"/>
  <c r="Y25" i="2"/>
  <c r="AA14" i="2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Z16" i="2" l="1"/>
  <c r="Z27" i="2"/>
  <c r="Z22" i="2"/>
  <c r="Z24" i="2" l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EF24" i="2" s="1"/>
  <c r="EG24" i="2" s="1"/>
  <c r="EH24" i="2" s="1"/>
  <c r="EI24" i="2" s="1"/>
  <c r="EJ24" i="2" s="1"/>
  <c r="EK24" i="2" s="1"/>
  <c r="EL24" i="2" s="1"/>
  <c r="EM24" i="2" s="1"/>
  <c r="EN24" i="2" s="1"/>
  <c r="EO24" i="2" s="1"/>
  <c r="EP24" i="2" s="1"/>
  <c r="EQ24" i="2" s="1"/>
  <c r="ER24" i="2" s="1"/>
  <c r="ES24" i="2" s="1"/>
  <c r="ET24" i="2" s="1"/>
  <c r="EU24" i="2" s="1"/>
  <c r="EV24" i="2" s="1"/>
  <c r="AC29" i="2" l="1"/>
  <c r="AC30" i="2" s="1"/>
  <c r="AC31" i="2" s="1"/>
  <c r="Z25" i="2"/>
</calcChain>
</file>

<file path=xl/sharedStrings.xml><?xml version="1.0" encoding="utf-8"?>
<sst xmlns="http://schemas.openxmlformats.org/spreadsheetml/2006/main" count="67" uniqueCount="59">
  <si>
    <t>SMCI</t>
  </si>
  <si>
    <t>Price</t>
  </si>
  <si>
    <t>Shares</t>
  </si>
  <si>
    <t>MC</t>
  </si>
  <si>
    <t>Cash</t>
  </si>
  <si>
    <t>Debt</t>
  </si>
  <si>
    <t>EV</t>
  </si>
  <si>
    <t>Revenue</t>
  </si>
  <si>
    <t>Net Income</t>
  </si>
  <si>
    <t>Gross Margin</t>
  </si>
  <si>
    <t>Discount</t>
  </si>
  <si>
    <t>R&amp;D</t>
  </si>
  <si>
    <t>Maturity</t>
  </si>
  <si>
    <t>NPV</t>
  </si>
  <si>
    <t>Diff</t>
  </si>
  <si>
    <t>FCF</t>
  </si>
  <si>
    <t>CFFO</t>
  </si>
  <si>
    <t>CX</t>
  </si>
  <si>
    <t>NTM</t>
  </si>
  <si>
    <t>Net Margin</t>
  </si>
  <si>
    <t>Q125</t>
  </si>
  <si>
    <t>Q225</t>
  </si>
  <si>
    <t>Q325</t>
  </si>
  <si>
    <t>Q425</t>
  </si>
  <si>
    <t>COGS</t>
  </si>
  <si>
    <t>Gross Profit</t>
  </si>
  <si>
    <t>Revenue y/y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</si>
  <si>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</si>
  <si>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</si>
  <si>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</si>
  <si>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</si>
  <si>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</si>
  <si>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</si>
  <si>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</si>
  <si>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</si>
  <si>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Other Income</t>
  </si>
  <si>
    <t>FCF Margin</t>
  </si>
  <si>
    <t>Q126</t>
  </si>
  <si>
    <t>Q226</t>
  </si>
  <si>
    <t>notes:</t>
  </si>
  <si>
    <t>Tax Rate</t>
  </si>
  <si>
    <t>Revenue q/q</t>
  </si>
  <si>
    <t>"40b revenue by 2026 conservative"</t>
  </si>
  <si>
    <t>"23.5-25b in 2025"</t>
  </si>
  <si>
    <t>Nvidia Blackwell in 2026 main revenue growth</t>
  </si>
  <si>
    <t>Company makes highly energy efficient server-stacks</t>
  </si>
  <si>
    <t>and work with companies like AMD INTC NVDA to</t>
  </si>
  <si>
    <t>implement specific systems like DGX B200, HGX, etc.</t>
  </si>
  <si>
    <t>Forward PE</t>
  </si>
  <si>
    <t>PE</t>
  </si>
  <si>
    <t>ROIC</t>
  </si>
  <si>
    <t>Net Cash</t>
  </si>
  <si>
    <t>Q124</t>
  </si>
  <si>
    <t>Q224</t>
  </si>
  <si>
    <t>Q324</t>
  </si>
  <si>
    <t>Q424</t>
  </si>
  <si>
    <t>Q326</t>
  </si>
  <si>
    <t>Q426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</si>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</sst>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%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1" fillId="0" borderId="0" xfId="0" applyFont="1"/>
    <xf numFmtId="4" fontId="0" fillId="0" borderId="0" xfId="0" applyNumberFormat="1"/>
    <xf numFmtId="3" fontId="3" fillId="0" borderId="0" xfId="1" applyNumberFormat="1" applyFont="1"/>
    <xf numFmtId="3" fontId="4" fillId="0" borderId="0" xfId="0" applyNumberFormat="1" applyFont="1"/>
    <xf numFmtId="1" fontId="4" fillId="0" borderId="0" xfId="0" applyNumberFormat="1" applyFont="1"/>
    <xf numFmtId="1" fontId="4" fillId="0" borderId="1" xfId="0" applyNumberFormat="1" applyFont="1" applyBorder="1"/>
    <xf numFmtId="3" fontId="5" fillId="0" borderId="0" xfId="0" applyNumberFormat="1" applyFont="1"/>
    <xf numFmtId="4" fontId="4" fillId="0" borderId="0" xfId="0" applyNumberFormat="1" applyFont="1"/>
    <xf numFmtId="10" fontId="4" fillId="0" borderId="0" xfId="0" applyNumberFormat="1" applyFont="1"/>
    <xf numFmtId="9" fontId="5" fillId="0" borderId="0" xfId="0" applyNumberFormat="1" applyFont="1"/>
    <xf numFmtId="9" fontId="4" fillId="0" borderId="0" xfId="0" applyNumberFormat="1" applyFont="1"/>
    <xf numFmtId="10" fontId="5" fillId="0" borderId="0" xfId="0" applyNumberFormat="1" applyFont="1"/>
    <xf numFmtId="164" fontId="5" fillId="0" borderId="0" xfId="0" applyNumberFormat="1" applyFont="1"/>
    <xf numFmtId="164" fontId="4" fillId="0" borderId="0" xfId="0" applyNumberFormat="1" applyFont="1"/>
    <xf numFmtId="8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38100</xdr:colOff>
      <xdr:row>21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EC3652-0265-712B-B45A-694F749AA1D9}"/>
            </a:ext>
          </a:extLst>
        </xdr:cNvPr>
        <xdr:cNvCxnSpPr/>
      </xdr:nvCxnSpPr>
      <xdr:spPr>
        <a:xfrm>
          <a:off x="2419350" y="0"/>
          <a:ext cx="38100" cy="4152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0</xdr:row>
      <xdr:rowOff>0</xdr:rowOff>
    </xdr:from>
    <xdr:to>
      <xdr:col>20</xdr:col>
      <xdr:colOff>9525</xdr:colOff>
      <xdr:row>21</xdr:row>
      <xdr:rowOff>142875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348FFB5-0C39-F80A-F9CA-576D491C9A35}"/>
            </a:ext>
          </a:extLst>
        </xdr:cNvPr>
        <xdr:cNvCxnSpPr/>
      </xdr:nvCxnSpPr>
      <xdr:spPr>
        <a:xfrm>
          <a:off x="8524875" y="0"/>
          <a:ext cx="0" cy="41433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14CC-655A-4E11-87EC-D301395A4983}">
  <dimension ref="A1:J12"/>
  <sheetViews>
    <sheetView zoomScale="205" zoomScaleNormal="205" workbookViewId="0"/>
  </sheetViews>
  <sheetFormatPr defaultRowHeight="15" x14ac:dyDescent="0.25"/>
  <sheetData>
    <row r="1" spans="1:10" x14ac:dyDescent="0.25">
      <c r="A1" s="2" t="s">
        <v>0</v>
      </c>
    </row>
    <row r="2" spans="1:10" x14ac:dyDescent="0.25">
      <c r="B2" t="s">
        <v>39</v>
      </c>
      <c r="H2" t="s">
        <v>1</v>
      </c>
      <c r="I2" s="1">
        <v>30</v>
      </c>
    </row>
    <row r="3" spans="1:10" x14ac:dyDescent="0.25">
      <c r="B3" t="s">
        <v>42</v>
      </c>
      <c r="H3" t="s">
        <v>2</v>
      </c>
      <c r="I3" s="1">
        <v>593.48099999999999</v>
      </c>
      <c r="J3" t="s">
        <v>21</v>
      </c>
    </row>
    <row r="4" spans="1:10" x14ac:dyDescent="0.25">
      <c r="B4" t="s">
        <v>43</v>
      </c>
      <c r="H4" t="s">
        <v>3</v>
      </c>
      <c r="I4" s="1">
        <f>I3*I2</f>
        <v>17804.43</v>
      </c>
    </row>
    <row r="5" spans="1:10" x14ac:dyDescent="0.25">
      <c r="B5" t="s">
        <v>44</v>
      </c>
      <c r="H5" t="s">
        <v>4</v>
      </c>
      <c r="I5" s="1">
        <v>1430</v>
      </c>
      <c r="J5" t="s">
        <v>21</v>
      </c>
    </row>
    <row r="6" spans="1:10" x14ac:dyDescent="0.25">
      <c r="B6" t="s">
        <v>45</v>
      </c>
      <c r="H6" t="s">
        <v>5</v>
      </c>
      <c r="I6" s="1">
        <f>1700+53+289</f>
        <v>2042</v>
      </c>
      <c r="J6" t="s">
        <v>21</v>
      </c>
    </row>
    <row r="7" spans="1:10" x14ac:dyDescent="0.25">
      <c r="B7" t="s">
        <v>46</v>
      </c>
      <c r="H7" t="s">
        <v>6</v>
      </c>
      <c r="I7" s="1">
        <f>I4+I6-I5</f>
        <v>18416.43</v>
      </c>
    </row>
    <row r="8" spans="1:10" x14ac:dyDescent="0.25">
      <c r="B8" t="s">
        <v>47</v>
      </c>
      <c r="H8" t="s">
        <v>49</v>
      </c>
      <c r="I8" s="3">
        <f>I2/model!U16</f>
        <v>16.162709673910157</v>
      </c>
    </row>
    <row r="10" spans="1:10" x14ac:dyDescent="0.25">
      <c r="H10" t="s">
        <v>15</v>
      </c>
      <c r="I10">
        <v>409</v>
      </c>
      <c r="J10" s="3">
        <f>$I$7/I10</f>
        <v>45.027946210268951</v>
      </c>
    </row>
    <row r="11" spans="1:10" x14ac:dyDescent="0.25">
      <c r="H11" t="s">
        <v>18</v>
      </c>
      <c r="I11">
        <f>I10*4*1.6</f>
        <v>2617.6000000000004</v>
      </c>
      <c r="J11" s="3">
        <f>$I$7/I11</f>
        <v>7.0356165953545222</v>
      </c>
    </row>
    <row r="12" spans="1:10" x14ac:dyDescent="0.25">
      <c r="J1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DAD7-B3FD-4340-A438-67E4C3210CEC}">
  <dimension ref="A1:EV34"/>
  <sheetViews>
    <sheetView tabSelected="1" zoomScaleNormal="100" workbookViewId="0">
      <pane xSplit="2" ySplit="1" topLeftCell="S5" activePane="bottomRight" state="frozen"/>
      <selection pane="topRight" activeCell="B1" sqref="B1"/>
      <selection pane="bottomLeft" activeCell="A2" sqref="A2"/>
      <selection pane="bottomRight" activeCell="Y15" sqref="Y15"/>
    </sheetView>
  </sheetViews>
  <sheetFormatPr defaultRowHeight="14.25" x14ac:dyDescent="0.2"/>
  <cols>
    <col min="1" max="1" width="6" style="5" customWidth="1"/>
    <col min="2" max="2" width="18" style="5" customWidth="1"/>
    <col min="3" max="20" width="9.140625" style="5"/>
    <col min="21" max="21" width="9.85546875" style="5" bestFit="1" customWidth="1"/>
    <col min="22" max="22" width="10.85546875" style="5" customWidth="1"/>
    <col min="23" max="25" width="9.140625" style="5"/>
    <col min="26" max="26" width="11" style="5" customWidth="1"/>
    <col min="27" max="16384" width="9.140625" style="5"/>
  </cols>
  <sheetData>
    <row r="1" spans="1:92" x14ac:dyDescent="0.2">
      <c r="A1" s="4" t="s">
        <v>58</v>
      </c>
      <c r="C1" s="5" t="s">
        <v>52</v>
      </c>
      <c r="D1" s="5" t="s">
        <v>53</v>
      </c>
      <c r="E1" s="5" t="s">
        <v>54</v>
      </c>
      <c r="F1" s="5" t="s">
        <v>55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37</v>
      </c>
      <c r="L1" s="5" t="s">
        <v>38</v>
      </c>
      <c r="M1" s="5" t="s">
        <v>56</v>
      </c>
      <c r="N1" s="5" t="s">
        <v>57</v>
      </c>
      <c r="P1" s="6">
        <v>2020</v>
      </c>
      <c r="Q1" s="6">
        <v>2021</v>
      </c>
      <c r="R1" s="6">
        <v>2022</v>
      </c>
      <c r="S1" s="6">
        <v>2023</v>
      </c>
      <c r="T1" s="6">
        <v>2024</v>
      </c>
      <c r="U1" s="7">
        <f t="shared" ref="U1:Z1" si="0">T1+1</f>
        <v>2025</v>
      </c>
      <c r="V1" s="6">
        <f t="shared" si="0"/>
        <v>2026</v>
      </c>
      <c r="W1" s="6">
        <f t="shared" si="0"/>
        <v>2027</v>
      </c>
      <c r="X1" s="6">
        <f t="shared" si="0"/>
        <v>2028</v>
      </c>
      <c r="Y1" s="6">
        <f t="shared" si="0"/>
        <v>2029</v>
      </c>
      <c r="Z1" s="6">
        <f t="shared" si="0"/>
        <v>2030</v>
      </c>
    </row>
    <row r="2" spans="1:92" s="8" customFormat="1" ht="15" x14ac:dyDescent="0.25">
      <c r="B2" s="8" t="s">
        <v>7</v>
      </c>
      <c r="G2" s="8">
        <v>5937</v>
      </c>
      <c r="H2" s="8">
        <v>5678</v>
      </c>
      <c r="I2" s="8">
        <v>4600</v>
      </c>
      <c r="J2" s="8">
        <v>6000</v>
      </c>
      <c r="K2" s="8">
        <f>J2*1.21</f>
        <v>7260</v>
      </c>
      <c r="L2" s="8">
        <f t="shared" ref="L2:N2" si="1">K2*1.21</f>
        <v>8784.6</v>
      </c>
      <c r="M2" s="8">
        <f t="shared" si="1"/>
        <v>10629.366</v>
      </c>
      <c r="N2" s="8">
        <f t="shared" si="1"/>
        <v>12861.532859999999</v>
      </c>
      <c r="S2" s="8">
        <v>7123.4</v>
      </c>
      <c r="T2" s="8">
        <v>14989.2</v>
      </c>
      <c r="U2" s="8">
        <f>SUM(G2:J2)</f>
        <v>22215</v>
      </c>
      <c r="V2" s="8">
        <f>U2*1.16</f>
        <v>25769.399999999998</v>
      </c>
      <c r="W2" s="8">
        <f>V2*1.16</f>
        <v>29892.503999999997</v>
      </c>
      <c r="X2" s="8">
        <f t="shared" ref="X2:Y2" si="2">W2*1.16</f>
        <v>34675.304639999995</v>
      </c>
      <c r="Y2" s="8">
        <f t="shared" si="2"/>
        <v>40223.35338239999</v>
      </c>
      <c r="Z2" s="8">
        <f>Y2*1.01</f>
        <v>40625.586916223991</v>
      </c>
      <c r="AA2" s="5"/>
    </row>
    <row r="3" spans="1:92" x14ac:dyDescent="0.2">
      <c r="B3" s="5" t="s">
        <v>24</v>
      </c>
      <c r="G3" s="5">
        <v>5161.6000000000004</v>
      </c>
      <c r="H3" s="5">
        <v>5007.8999999999996</v>
      </c>
      <c r="I3" s="5">
        <f>I2*(1-I20)</f>
        <v>4048</v>
      </c>
      <c r="J3" s="5">
        <f t="shared" ref="J3:L3" si="3">J2*(1-J20)</f>
        <v>5280</v>
      </c>
      <c r="K3" s="5">
        <f t="shared" si="3"/>
        <v>6388.8</v>
      </c>
      <c r="L3" s="5">
        <f t="shared" si="3"/>
        <v>7730.4480000000003</v>
      </c>
      <c r="M3" s="5">
        <f t="shared" ref="M3:N3" si="4">M2*(1-M20)</f>
        <v>9353.8420800000004</v>
      </c>
      <c r="N3" s="5">
        <f t="shared" si="4"/>
        <v>11318.148916799999</v>
      </c>
      <c r="S3" s="5">
        <v>5840.4</v>
      </c>
      <c r="T3" s="5">
        <v>12927.8</v>
      </c>
      <c r="U3" s="5">
        <f>U2*(1-U20)</f>
        <v>19549.2</v>
      </c>
      <c r="V3" s="5">
        <f t="shared" ref="V3:Y3" si="5">V2*(1-V20)</f>
        <v>22677.071999999996</v>
      </c>
      <c r="W3" s="5">
        <f t="shared" si="5"/>
        <v>26305.403519999996</v>
      </c>
      <c r="X3" s="5">
        <f t="shared" si="5"/>
        <v>30514.268083199997</v>
      </c>
      <c r="Y3" s="5">
        <f t="shared" si="5"/>
        <v>35396.550976511993</v>
      </c>
      <c r="Z3" s="5">
        <f t="shared" ref="Z3" si="6">Z2*(1-Z20)</f>
        <v>35750.516486277113</v>
      </c>
    </row>
    <row r="4" spans="1:92" x14ac:dyDescent="0.2">
      <c r="B4" s="5" t="s">
        <v>25</v>
      </c>
      <c r="G4" s="5">
        <f>G2-G3</f>
        <v>775.39999999999964</v>
      </c>
      <c r="H4" s="5">
        <f>H2-H3</f>
        <v>670.10000000000036</v>
      </c>
      <c r="I4" s="5">
        <f t="shared" ref="I4:L4" si="7">I2-I3</f>
        <v>552</v>
      </c>
      <c r="J4" s="5">
        <f t="shared" si="7"/>
        <v>720</v>
      </c>
      <c r="K4" s="5">
        <f t="shared" si="7"/>
        <v>871.19999999999982</v>
      </c>
      <c r="L4" s="5">
        <f t="shared" si="7"/>
        <v>1054.152</v>
      </c>
      <c r="M4" s="5">
        <f t="shared" ref="M4:N4" si="8">M2-M3</f>
        <v>1275.5239199999996</v>
      </c>
      <c r="N4" s="5">
        <f t="shared" si="8"/>
        <v>1543.3839432000004</v>
      </c>
      <c r="P4" s="5">
        <f t="shared" ref="P4:R4" si="9">P2-P3</f>
        <v>0</v>
      </c>
      <c r="Q4" s="5">
        <f t="shared" si="9"/>
        <v>0</v>
      </c>
      <c r="R4" s="5">
        <f t="shared" si="9"/>
        <v>0</v>
      </c>
      <c r="S4" s="5">
        <f t="shared" ref="S4:T4" si="10">S2-S3</f>
        <v>1283</v>
      </c>
      <c r="T4" s="5">
        <f t="shared" si="10"/>
        <v>2061.4000000000015</v>
      </c>
      <c r="U4" s="5">
        <f t="shared" ref="U4" si="11">U2-U3</f>
        <v>2665.7999999999993</v>
      </c>
      <c r="V4" s="5">
        <f t="shared" ref="V4" si="12">V2-V3</f>
        <v>3092.3280000000013</v>
      </c>
      <c r="W4" s="5">
        <f t="shared" ref="W4" si="13">W2-W3</f>
        <v>3587.100480000001</v>
      </c>
      <c r="X4" s="5">
        <f t="shared" ref="X4" si="14">X2-X3</f>
        <v>4161.0365567999979</v>
      </c>
      <c r="Y4" s="5">
        <f t="shared" ref="Y4:Z4" si="15">Y2-Y3</f>
        <v>4826.8024058879964</v>
      </c>
      <c r="Z4" s="5">
        <f t="shared" si="15"/>
        <v>4875.070429946878</v>
      </c>
    </row>
    <row r="5" spans="1:92" x14ac:dyDescent="0.2">
      <c r="B5" s="5" t="s">
        <v>11</v>
      </c>
      <c r="G5" s="5">
        <v>132.19999999999999</v>
      </c>
      <c r="H5" s="5">
        <v>158.19999999999999</v>
      </c>
      <c r="I5" s="5">
        <f t="shared" ref="I5:J5" si="16">H5*1.01</f>
        <v>159.78199999999998</v>
      </c>
      <c r="J5" s="5">
        <f t="shared" si="16"/>
        <v>161.37982</v>
      </c>
      <c r="K5" s="5">
        <f t="shared" ref="K5:L5" si="17">J5*1.01</f>
        <v>162.99361819999999</v>
      </c>
      <c r="L5" s="5">
        <f t="shared" si="17"/>
        <v>164.62355438199998</v>
      </c>
      <c r="M5" s="5">
        <f t="shared" ref="M5" si="18">L5*1.01</f>
        <v>166.26978992581999</v>
      </c>
      <c r="N5" s="5">
        <f t="shared" ref="N5" si="19">M5*1.01</f>
        <v>167.9324878250782</v>
      </c>
      <c r="S5" s="5">
        <v>307.26</v>
      </c>
      <c r="T5" s="5">
        <v>463.5</v>
      </c>
      <c r="U5" s="5">
        <f>T5*(1+U18)</f>
        <v>686.93809542870861</v>
      </c>
      <c r="V5" s="5">
        <f t="shared" ref="V5:Z5" si="20">U5*(1+V18)</f>
        <v>796.8481906973019</v>
      </c>
      <c r="W5" s="5">
        <f t="shared" si="20"/>
        <v>924.34390120887019</v>
      </c>
      <c r="X5" s="5">
        <f t="shared" si="20"/>
        <v>1072.2389254022894</v>
      </c>
      <c r="Y5" s="5">
        <f t="shared" si="20"/>
        <v>1243.7971534666556</v>
      </c>
      <c r="Z5" s="5">
        <f t="shared" si="20"/>
        <v>1256.2351250013221</v>
      </c>
    </row>
    <row r="6" spans="1:92" x14ac:dyDescent="0.2">
      <c r="B6" s="5" t="s">
        <v>27</v>
      </c>
      <c r="G6" s="5">
        <v>68.8</v>
      </c>
      <c r="H6" s="5">
        <v>79.5</v>
      </c>
      <c r="I6" s="5">
        <f t="shared" ref="I6:L6" si="21">H6*(1+I19)</f>
        <v>64.406481155336394</v>
      </c>
      <c r="J6" s="5">
        <f t="shared" si="21"/>
        <v>84.008453680873558</v>
      </c>
      <c r="K6" s="5">
        <f t="shared" si="21"/>
        <v>101.650228953857</v>
      </c>
      <c r="L6" s="5">
        <f t="shared" si="21"/>
        <v>122.99677703416697</v>
      </c>
      <c r="M6" s="5">
        <f t="shared" ref="M6" si="22">L6*(1+M19)</f>
        <v>148.82610021134204</v>
      </c>
      <c r="N6" s="5">
        <f t="shared" ref="N6" si="23">M6*(1+N19)</f>
        <v>180.07958125572387</v>
      </c>
      <c r="S6" s="5">
        <v>115</v>
      </c>
      <c r="T6" s="5">
        <v>189.7</v>
      </c>
      <c r="U6" s="5">
        <f>T6*(1+U18)</f>
        <v>281.14812665118882</v>
      </c>
      <c r="V6" s="5">
        <f t="shared" ref="V6:Z6" si="24">U6*(1+V18)</f>
        <v>326.13182691537901</v>
      </c>
      <c r="W6" s="5">
        <f t="shared" si="24"/>
        <v>378.31291922183965</v>
      </c>
      <c r="X6" s="5">
        <f t="shared" si="24"/>
        <v>438.84298629733394</v>
      </c>
      <c r="Y6" s="5">
        <f t="shared" si="24"/>
        <v>509.05786410490731</v>
      </c>
      <c r="Z6" s="5">
        <f t="shared" si="24"/>
        <v>514.14844274595634</v>
      </c>
    </row>
    <row r="7" spans="1:92" x14ac:dyDescent="0.2">
      <c r="B7" s="5" t="s">
        <v>28</v>
      </c>
      <c r="G7" s="5">
        <v>65.2</v>
      </c>
      <c r="H7" s="5">
        <v>63.6</v>
      </c>
      <c r="I7" s="5">
        <f t="shared" ref="I7:L7" si="25">H7*(1+I19)</f>
        <v>51.525184924269112</v>
      </c>
      <c r="J7" s="5">
        <f t="shared" si="25"/>
        <v>67.206762944698838</v>
      </c>
      <c r="K7" s="5">
        <f t="shared" si="25"/>
        <v>81.320183163085588</v>
      </c>
      <c r="L7" s="5">
        <f t="shared" si="25"/>
        <v>98.397421627333557</v>
      </c>
      <c r="M7" s="5">
        <f t="shared" ref="M7" si="26">L7*(1+M19)</f>
        <v>119.0608801690736</v>
      </c>
      <c r="N7" s="5">
        <f t="shared" ref="N7" si="27">M7*(1+N19)</f>
        <v>144.06366500457904</v>
      </c>
      <c r="S7" s="5">
        <v>99.5</v>
      </c>
      <c r="T7" s="5">
        <v>197.3</v>
      </c>
      <c r="U7" s="5">
        <f>T7*(1+U18)</f>
        <v>292.41183652229603</v>
      </c>
      <c r="V7" s="5">
        <f t="shared" ref="V7:Z7" si="28">U7*(1+V18)</f>
        <v>339.19773036586338</v>
      </c>
      <c r="W7" s="5">
        <f t="shared" si="28"/>
        <v>393.46936722440148</v>
      </c>
      <c r="X7" s="5">
        <f t="shared" si="28"/>
        <v>456.42446598030568</v>
      </c>
      <c r="Y7" s="5">
        <f t="shared" si="28"/>
        <v>529.45238053715457</v>
      </c>
      <c r="Z7" s="5">
        <f t="shared" si="28"/>
        <v>534.74690434252614</v>
      </c>
    </row>
    <row r="8" spans="1:92" x14ac:dyDescent="0.2">
      <c r="B8" s="5" t="s">
        <v>29</v>
      </c>
      <c r="G8" s="5">
        <f>SUM(G5:G7)</f>
        <v>266.2</v>
      </c>
      <c r="H8" s="5">
        <f>SUM(H5:H7)</f>
        <v>301.3</v>
      </c>
      <c r="I8" s="5">
        <f t="shared" ref="I8:L8" si="29">SUM(I5:I7)</f>
        <v>275.7136660796055</v>
      </c>
      <c r="J8" s="5">
        <f t="shared" si="29"/>
        <v>312.59503662557239</v>
      </c>
      <c r="K8" s="5">
        <f t="shared" si="29"/>
        <v>345.96403031694257</v>
      </c>
      <c r="L8" s="5">
        <f t="shared" si="29"/>
        <v>386.01775304350053</v>
      </c>
      <c r="M8" s="5">
        <f t="shared" ref="M8:N8" si="30">SUM(M5:M7)</f>
        <v>434.15677030623561</v>
      </c>
      <c r="N8" s="5">
        <f t="shared" si="30"/>
        <v>492.0757340853811</v>
      </c>
      <c r="P8" s="5">
        <f t="shared" ref="P8:R8" si="31">SUM(P5:P7)</f>
        <v>0</v>
      </c>
      <c r="Q8" s="5">
        <f t="shared" si="31"/>
        <v>0</v>
      </c>
      <c r="R8" s="5">
        <f t="shared" si="31"/>
        <v>0</v>
      </c>
      <c r="S8" s="5">
        <f t="shared" ref="S8:T8" si="32">SUM(S5:S7)</f>
        <v>521.76</v>
      </c>
      <c r="T8" s="5">
        <f t="shared" si="32"/>
        <v>850.5</v>
      </c>
      <c r="U8" s="5">
        <f t="shared" ref="U8:Y8" si="33">SUM(U5:U7)</f>
        <v>1260.4980586021934</v>
      </c>
      <c r="V8" s="5">
        <f t="shared" si="33"/>
        <v>1462.1777479785444</v>
      </c>
      <c r="W8" s="5">
        <f t="shared" si="33"/>
        <v>1696.1261876551112</v>
      </c>
      <c r="X8" s="5">
        <f t="shared" si="33"/>
        <v>1967.5063776799291</v>
      </c>
      <c r="Y8" s="5">
        <f t="shared" si="33"/>
        <v>2282.3073981087173</v>
      </c>
      <c r="Z8" s="5">
        <f t="shared" ref="Z8" si="34">SUM(Z5:Z7)</f>
        <v>2305.1304720898047</v>
      </c>
    </row>
    <row r="9" spans="1:92" s="8" customFormat="1" ht="15" x14ac:dyDescent="0.25">
      <c r="B9" s="8" t="s">
        <v>30</v>
      </c>
      <c r="G9" s="8">
        <f>G4-G8</f>
        <v>509.19999999999965</v>
      </c>
      <c r="H9" s="8">
        <f>H4-H8</f>
        <v>368.80000000000035</v>
      </c>
      <c r="I9" s="8">
        <f t="shared" ref="I9:L9" si="35">I4-I8</f>
        <v>276.2863339203945</v>
      </c>
      <c r="J9" s="8">
        <f t="shared" si="35"/>
        <v>407.40496337442761</v>
      </c>
      <c r="K9" s="8">
        <f t="shared" si="35"/>
        <v>525.23596968305719</v>
      </c>
      <c r="L9" s="8">
        <f t="shared" si="35"/>
        <v>668.13424695649951</v>
      </c>
      <c r="M9" s="8">
        <f t="shared" ref="M9:N9" si="36">M4-M8</f>
        <v>841.36714969376408</v>
      </c>
      <c r="N9" s="8">
        <f t="shared" si="36"/>
        <v>1051.3082091146193</v>
      </c>
      <c r="P9" s="8">
        <f t="shared" ref="P9:R9" si="37">P4-P8</f>
        <v>0</v>
      </c>
      <c r="Q9" s="8">
        <f t="shared" si="37"/>
        <v>0</v>
      </c>
      <c r="R9" s="8">
        <f t="shared" si="37"/>
        <v>0</v>
      </c>
      <c r="S9" s="8">
        <f t="shared" ref="S9:T9" si="38">S4-S8</f>
        <v>761.24</v>
      </c>
      <c r="T9" s="8">
        <f t="shared" si="38"/>
        <v>1210.9000000000015</v>
      </c>
      <c r="U9" s="8">
        <f t="shared" ref="U9" si="39">U4-U8</f>
        <v>1405.3019413978059</v>
      </c>
      <c r="V9" s="8">
        <f t="shared" ref="V9" si="40">V4-V8</f>
        <v>1630.1502520214569</v>
      </c>
      <c r="W9" s="8">
        <f t="shared" ref="W9" si="41">W4-W8</f>
        <v>1890.9742923448898</v>
      </c>
      <c r="X9" s="8">
        <f t="shared" ref="X9" si="42">X4-X8</f>
        <v>2193.5301791200691</v>
      </c>
      <c r="Y9" s="8">
        <f t="shared" ref="Y9:Z9" si="43">Y4-Y8</f>
        <v>2544.4950077792791</v>
      </c>
      <c r="Z9" s="8">
        <f t="shared" si="43"/>
        <v>2569.9399578570733</v>
      </c>
    </row>
    <row r="10" spans="1:92" x14ac:dyDescent="0.2">
      <c r="B10" s="5" t="s">
        <v>35</v>
      </c>
      <c r="G10" s="5">
        <v>7.2</v>
      </c>
      <c r="H10" s="5">
        <v>12.9</v>
      </c>
      <c r="T10" s="5">
        <v>22.7</v>
      </c>
    </row>
    <row r="11" spans="1:92" x14ac:dyDescent="0.2">
      <c r="B11" s="5" t="s">
        <v>31</v>
      </c>
      <c r="G11" s="5">
        <v>-17.3</v>
      </c>
      <c r="H11" s="5">
        <v>-6.5</v>
      </c>
      <c r="I11" s="5">
        <f>H30*$AC$26/4</f>
        <v>-9.18</v>
      </c>
      <c r="J11" s="5">
        <f t="shared" ref="J11:N11" si="44">I30*$AC$26/4</f>
        <v>-5.7950492425149704</v>
      </c>
      <c r="K11" s="5">
        <f t="shared" si="44"/>
        <v>-0.40497766688358611</v>
      </c>
      <c r="L11" s="5">
        <f t="shared" si="44"/>
        <v>6.8207285342847657</v>
      </c>
      <c r="M11" s="5">
        <f t="shared" si="44"/>
        <v>16.285359313990796</v>
      </c>
      <c r="N11" s="5">
        <f t="shared" si="44"/>
        <v>28.477259219398267</v>
      </c>
      <c r="T11" s="5">
        <v>-19.350000000000001</v>
      </c>
      <c r="U11" s="5">
        <f>H30*$AC$26</f>
        <v>-36.72</v>
      </c>
      <c r="V11" s="5">
        <f>U30*$AC$26</f>
        <v>43.760434351933363</v>
      </c>
      <c r="W11" s="5">
        <f>V30*$AC$26</f>
        <v>125.61136266129218</v>
      </c>
      <c r="X11" s="5">
        <f>W30*$AC$26</f>
        <v>225.04939502893134</v>
      </c>
      <c r="Y11" s="5">
        <f>X30*$AC$26</f>
        <v>345.1579254359026</v>
      </c>
      <c r="Z11" s="5">
        <f>Y30*$AC$26</f>
        <v>489.52985834012975</v>
      </c>
    </row>
    <row r="12" spans="1:92" x14ac:dyDescent="0.2">
      <c r="B12" s="5" t="s">
        <v>32</v>
      </c>
      <c r="G12" s="5">
        <f>G9+SUM(G10:G11)</f>
        <v>499.09999999999962</v>
      </c>
      <c r="H12" s="5">
        <f>H9+SUM(H10:H11)</f>
        <v>375.20000000000033</v>
      </c>
      <c r="I12" s="5">
        <f t="shared" ref="I12:L12" si="45">I9+SUM(I10:I11)</f>
        <v>267.10633392039449</v>
      </c>
      <c r="J12" s="5">
        <f t="shared" si="45"/>
        <v>401.60991413191266</v>
      </c>
      <c r="K12" s="5">
        <f t="shared" si="45"/>
        <v>524.83099201617358</v>
      </c>
      <c r="L12" s="5">
        <f t="shared" si="45"/>
        <v>674.95497549078425</v>
      </c>
      <c r="M12" s="5">
        <f t="shared" ref="M12:N12" si="46">M9+SUM(M10:M11)</f>
        <v>857.65250900775482</v>
      </c>
      <c r="N12" s="5">
        <f t="shared" si="46"/>
        <v>1079.7854683340177</v>
      </c>
      <c r="P12" s="5">
        <f t="shared" ref="P12:R12" si="47">P9+SUM(P10:P11)</f>
        <v>0</v>
      </c>
      <c r="Q12" s="5">
        <f t="shared" si="47"/>
        <v>0</v>
      </c>
      <c r="R12" s="5">
        <f t="shared" si="47"/>
        <v>0</v>
      </c>
      <c r="S12" s="5">
        <f t="shared" ref="S12:T12" si="48">S9+SUM(S10:S11)</f>
        <v>761.24</v>
      </c>
      <c r="T12" s="5">
        <f t="shared" si="48"/>
        <v>1214.2500000000014</v>
      </c>
      <c r="U12" s="5">
        <f t="shared" ref="U12" si="49">U9+SUM(U10:U11)</f>
        <v>1368.5819413978058</v>
      </c>
      <c r="V12" s="5">
        <f t="shared" ref="V12" si="50">V9+SUM(V10:V11)</f>
        <v>1673.9106863733903</v>
      </c>
      <c r="W12" s="5">
        <f t="shared" ref="W12" si="51">W9+SUM(W10:W11)</f>
        <v>2016.5856550061819</v>
      </c>
      <c r="X12" s="5">
        <f t="shared" ref="X12" si="52">X9+SUM(X10:X11)</f>
        <v>2418.5795741490006</v>
      </c>
      <c r="Y12" s="5">
        <f t="shared" ref="Y12:Z12" si="53">Y9+SUM(Y10:Y11)</f>
        <v>2889.6529332151817</v>
      </c>
      <c r="Z12" s="5">
        <f t="shared" si="53"/>
        <v>3059.4698161972028</v>
      </c>
    </row>
    <row r="13" spans="1:92" x14ac:dyDescent="0.2">
      <c r="B13" s="5" t="s">
        <v>33</v>
      </c>
      <c r="G13" s="5">
        <v>74.7</v>
      </c>
      <c r="H13" s="5">
        <v>56.9</v>
      </c>
      <c r="I13" s="5">
        <f>I28*I9</f>
        <v>41.44295008805917</v>
      </c>
      <c r="J13" s="5">
        <f>I13*1.02</f>
        <v>42.271809089820351</v>
      </c>
      <c r="K13" s="5">
        <f t="shared" ref="K13:L13" si="54">J13*1.02</f>
        <v>43.11724527161676</v>
      </c>
      <c r="L13" s="5">
        <f t="shared" si="54"/>
        <v>43.979590177049097</v>
      </c>
      <c r="M13" s="5">
        <f t="shared" ref="M13" si="55">L13*1.02</f>
        <v>44.85918198059008</v>
      </c>
      <c r="N13" s="5">
        <f t="shared" ref="N13" si="56">M13*1.02</f>
        <v>45.756365620201883</v>
      </c>
      <c r="S13" s="5">
        <v>110.6</v>
      </c>
      <c r="T13" s="5">
        <v>63.3</v>
      </c>
      <c r="U13" s="5">
        <f t="shared" ref="U13:Y13" si="57">U28*U9</f>
        <v>267.00736886558315</v>
      </c>
      <c r="V13" s="5">
        <f t="shared" si="57"/>
        <v>309.72854788407682</v>
      </c>
      <c r="W13" s="5">
        <f t="shared" si="57"/>
        <v>359.2851155455291</v>
      </c>
      <c r="X13" s="5">
        <f t="shared" si="57"/>
        <v>416.77073403281315</v>
      </c>
      <c r="Y13" s="5">
        <f t="shared" si="57"/>
        <v>483.45405147806304</v>
      </c>
      <c r="Z13" s="5">
        <f t="shared" ref="Z13" si="58">Z28*Z9</f>
        <v>488.28859199284392</v>
      </c>
    </row>
    <row r="14" spans="1:92" ht="15" x14ac:dyDescent="0.25">
      <c r="B14" s="8" t="s">
        <v>8</v>
      </c>
      <c r="G14" s="8">
        <f>G12-G13</f>
        <v>424.39999999999964</v>
      </c>
      <c r="H14" s="8">
        <f>H12-H13</f>
        <v>318.30000000000035</v>
      </c>
      <c r="I14" s="8">
        <f>I12-I13</f>
        <v>225.66338383233531</v>
      </c>
      <c r="J14" s="8">
        <f>J12-J13</f>
        <v>359.33810504209231</v>
      </c>
      <c r="K14" s="8">
        <f t="shared" ref="K14:L14" si="59">K12-K13</f>
        <v>481.71374674455683</v>
      </c>
      <c r="L14" s="8">
        <f t="shared" si="59"/>
        <v>630.97538531373516</v>
      </c>
      <c r="M14" s="8">
        <f t="shared" ref="M14:N14" si="60">M12-M13</f>
        <v>812.79332702716476</v>
      </c>
      <c r="N14" s="8">
        <f t="shared" si="60"/>
        <v>1034.0291027138157</v>
      </c>
      <c r="O14" s="8"/>
      <c r="P14" s="8">
        <f t="shared" ref="P14:R14" si="61">P12-P13</f>
        <v>0</v>
      </c>
      <c r="Q14" s="8">
        <f t="shared" si="61"/>
        <v>0</v>
      </c>
      <c r="R14" s="8">
        <f t="shared" si="61"/>
        <v>0</v>
      </c>
      <c r="S14" s="8">
        <f t="shared" ref="S14:Y14" si="62">S12-S13</f>
        <v>650.64</v>
      </c>
      <c r="T14" s="8">
        <f t="shared" si="62"/>
        <v>1150.9500000000014</v>
      </c>
      <c r="U14" s="8">
        <f t="shared" si="62"/>
        <v>1101.5745725322226</v>
      </c>
      <c r="V14" s="8">
        <f t="shared" si="62"/>
        <v>1364.1821384893135</v>
      </c>
      <c r="W14" s="8">
        <f t="shared" si="62"/>
        <v>1657.3005394606528</v>
      </c>
      <c r="X14" s="8">
        <f t="shared" si="62"/>
        <v>2001.8088401161874</v>
      </c>
      <c r="Y14" s="8">
        <f t="shared" si="62"/>
        <v>2406.1988817371189</v>
      </c>
      <c r="Z14" s="8">
        <f t="shared" ref="Z14" si="63">Z12-Z13</f>
        <v>2571.1812242043588</v>
      </c>
      <c r="AA14" s="8">
        <f t="shared" ref="AA14:BF14" si="64">Z14*(1+$AC$27)</f>
        <v>2596.8930364464027</v>
      </c>
      <c r="AB14" s="8">
        <f t="shared" si="64"/>
        <v>2622.8619668108668</v>
      </c>
      <c r="AC14" s="8">
        <f t="shared" si="64"/>
        <v>2649.0905864789756</v>
      </c>
      <c r="AD14" s="8">
        <f t="shared" si="64"/>
        <v>2675.5814923437656</v>
      </c>
      <c r="AE14" s="8">
        <f t="shared" si="64"/>
        <v>2702.3373072672034</v>
      </c>
      <c r="AF14" s="8">
        <f t="shared" si="64"/>
        <v>2729.3606803398757</v>
      </c>
      <c r="AG14" s="8">
        <f t="shared" si="64"/>
        <v>2756.6542871432744</v>
      </c>
      <c r="AH14" s="8">
        <f t="shared" si="64"/>
        <v>2784.2208300147072</v>
      </c>
      <c r="AI14" s="8">
        <f t="shared" si="64"/>
        <v>2812.0630383148541</v>
      </c>
      <c r="AJ14" s="8">
        <f t="shared" si="64"/>
        <v>2840.1836686980027</v>
      </c>
      <c r="AK14" s="8">
        <f t="shared" si="64"/>
        <v>2868.5855053849828</v>
      </c>
      <c r="AL14" s="8">
        <f t="shared" si="64"/>
        <v>2897.2713604388327</v>
      </c>
      <c r="AM14" s="8">
        <f t="shared" si="64"/>
        <v>2926.2440740432212</v>
      </c>
      <c r="AN14" s="8">
        <f t="shared" si="64"/>
        <v>2955.5065147836535</v>
      </c>
      <c r="AO14" s="8">
        <f t="shared" si="64"/>
        <v>2985.0615799314901</v>
      </c>
      <c r="AP14" s="8">
        <f t="shared" si="64"/>
        <v>3014.9121957308048</v>
      </c>
      <c r="AQ14" s="8">
        <f t="shared" si="64"/>
        <v>3045.0613176881129</v>
      </c>
      <c r="AR14" s="8">
        <f t="shared" si="64"/>
        <v>3075.5119308649942</v>
      </c>
      <c r="AS14" s="8">
        <f t="shared" si="64"/>
        <v>3106.2670501736443</v>
      </c>
      <c r="AT14" s="8">
        <f t="shared" si="64"/>
        <v>3137.3297206753809</v>
      </c>
      <c r="AU14" s="8">
        <f t="shared" si="64"/>
        <v>3168.7030178821346</v>
      </c>
      <c r="AV14" s="8">
        <f t="shared" si="64"/>
        <v>3200.3900480609559</v>
      </c>
      <c r="AW14" s="8">
        <f t="shared" si="64"/>
        <v>3232.3939485415654</v>
      </c>
      <c r="AX14" s="8">
        <f t="shared" si="64"/>
        <v>3264.7178880269812</v>
      </c>
      <c r="AY14" s="8">
        <f t="shared" si="64"/>
        <v>3297.3650669072508</v>
      </c>
      <c r="AZ14" s="8">
        <f t="shared" si="64"/>
        <v>3330.3387175763232</v>
      </c>
      <c r="BA14" s="8">
        <f t="shared" si="64"/>
        <v>3363.6421047520867</v>
      </c>
      <c r="BB14" s="8">
        <f t="shared" si="64"/>
        <v>3397.2785257996075</v>
      </c>
      <c r="BC14" s="8">
        <f t="shared" si="64"/>
        <v>3431.2513110576037</v>
      </c>
      <c r="BD14" s="8">
        <f t="shared" si="64"/>
        <v>3465.56382416818</v>
      </c>
      <c r="BE14" s="8">
        <f t="shared" si="64"/>
        <v>3500.219462409862</v>
      </c>
      <c r="BF14" s="8">
        <f t="shared" si="64"/>
        <v>3535.2216570339606</v>
      </c>
      <c r="BG14" s="8">
        <f t="shared" ref="BG14:CN14" si="65">BF14*(1+$AC$27)</f>
        <v>3570.5738736043004</v>
      </c>
      <c r="BH14" s="8">
        <f t="shared" si="65"/>
        <v>3606.2796123403436</v>
      </c>
      <c r="BI14" s="8">
        <f t="shared" si="65"/>
        <v>3642.3424084637472</v>
      </c>
      <c r="BJ14" s="8">
        <f t="shared" si="65"/>
        <v>3678.7658325483849</v>
      </c>
      <c r="BK14" s="8">
        <f t="shared" si="65"/>
        <v>3715.5534908738687</v>
      </c>
      <c r="BL14" s="8">
        <f t="shared" si="65"/>
        <v>3752.7090257826076</v>
      </c>
      <c r="BM14" s="8">
        <f t="shared" si="65"/>
        <v>3790.2361160404339</v>
      </c>
      <c r="BN14" s="8">
        <f t="shared" si="65"/>
        <v>3828.1384772008382</v>
      </c>
      <c r="BO14" s="8">
        <f t="shared" si="65"/>
        <v>3866.4198619728468</v>
      </c>
      <c r="BP14" s="8">
        <f t="shared" si="65"/>
        <v>3905.0840605925755</v>
      </c>
      <c r="BQ14" s="8">
        <f t="shared" si="65"/>
        <v>3944.1349011985012</v>
      </c>
      <c r="BR14" s="8">
        <f t="shared" si="65"/>
        <v>3983.5762502104863</v>
      </c>
      <c r="BS14" s="8">
        <f t="shared" si="65"/>
        <v>4023.4120127125911</v>
      </c>
      <c r="BT14" s="8">
        <f t="shared" si="65"/>
        <v>4063.6461328397172</v>
      </c>
      <c r="BU14" s="8">
        <f t="shared" si="65"/>
        <v>4104.282594168114</v>
      </c>
      <c r="BV14" s="8">
        <f t="shared" si="65"/>
        <v>4145.3254201097952</v>
      </c>
      <c r="BW14" s="8">
        <f t="shared" si="65"/>
        <v>4186.7786743108936</v>
      </c>
      <c r="BX14" s="8">
        <f t="shared" si="65"/>
        <v>4228.6464610540024</v>
      </c>
      <c r="BY14" s="8">
        <f t="shared" si="65"/>
        <v>4270.9329256645424</v>
      </c>
      <c r="BZ14" s="8">
        <f t="shared" si="65"/>
        <v>4313.6422549211875</v>
      </c>
      <c r="CA14" s="8">
        <f t="shared" si="65"/>
        <v>4356.7786774703991</v>
      </c>
      <c r="CB14" s="8">
        <f t="shared" si="65"/>
        <v>4400.3464642451036</v>
      </c>
      <c r="CC14" s="8">
        <f t="shared" si="65"/>
        <v>4444.3499288875546</v>
      </c>
      <c r="CD14" s="8">
        <f t="shared" si="65"/>
        <v>4488.7934281764301</v>
      </c>
      <c r="CE14" s="8">
        <f t="shared" si="65"/>
        <v>4533.6813624581946</v>
      </c>
      <c r="CF14" s="8">
        <f t="shared" si="65"/>
        <v>4579.0181760827763</v>
      </c>
      <c r="CG14" s="8">
        <f t="shared" si="65"/>
        <v>4624.8083578436044</v>
      </c>
      <c r="CH14" s="8">
        <f t="shared" si="65"/>
        <v>4671.0564414220407</v>
      </c>
      <c r="CI14" s="8">
        <f t="shared" si="65"/>
        <v>4717.767005836261</v>
      </c>
      <c r="CJ14" s="8">
        <f t="shared" si="65"/>
        <v>4764.9446758946233</v>
      </c>
      <c r="CK14" s="8">
        <f t="shared" si="65"/>
        <v>4812.5941226535697</v>
      </c>
      <c r="CL14" s="8">
        <f t="shared" si="65"/>
        <v>4860.720063880105</v>
      </c>
      <c r="CM14" s="8">
        <f t="shared" si="65"/>
        <v>4909.3272645189063</v>
      </c>
      <c r="CN14" s="8">
        <f t="shared" si="65"/>
        <v>4958.4205371640955</v>
      </c>
    </row>
    <row r="15" spans="1:92" x14ac:dyDescent="0.2">
      <c r="B15" s="5" t="s">
        <v>2</v>
      </c>
      <c r="G15" s="5">
        <v>593.48099999999999</v>
      </c>
      <c r="H15" s="5">
        <v>593.48099999999999</v>
      </c>
      <c r="I15" s="5">
        <v>593.48099999999999</v>
      </c>
      <c r="J15" s="5">
        <v>593.48099999999999</v>
      </c>
      <c r="K15" s="5">
        <v>593.48099999999999</v>
      </c>
      <c r="L15" s="5">
        <v>593.48099999999999</v>
      </c>
      <c r="M15" s="5">
        <v>593.48099999999999</v>
      </c>
      <c r="N15" s="5">
        <v>593.48099999999999</v>
      </c>
      <c r="T15" s="5">
        <v>593.48099999999999</v>
      </c>
      <c r="U15" s="5">
        <v>593.48099999999999</v>
      </c>
      <c r="V15" s="5">
        <v>593.48099999999999</v>
      </c>
      <c r="W15" s="5">
        <v>593.48099999999999</v>
      </c>
      <c r="X15" s="5">
        <v>593.48099999999999</v>
      </c>
      <c r="Y15" s="5">
        <v>593.48099999999999</v>
      </c>
      <c r="Z15" s="5">
        <v>593.48099999999999</v>
      </c>
    </row>
    <row r="16" spans="1:92" x14ac:dyDescent="0.2">
      <c r="B16" s="5" t="s">
        <v>34</v>
      </c>
      <c r="G16" s="9">
        <f>G14/G15</f>
        <v>0.71510292663118047</v>
      </c>
      <c r="H16" s="9">
        <f>H14/H15</f>
        <v>0.53632719497338643</v>
      </c>
      <c r="I16" s="9">
        <f t="shared" ref="I16:L16" si="66">I14/I15</f>
        <v>0.38023691378887498</v>
      </c>
      <c r="J16" s="9">
        <f t="shared" si="66"/>
        <v>0.60547533121042174</v>
      </c>
      <c r="K16" s="9">
        <f t="shared" si="66"/>
        <v>0.81167509447574027</v>
      </c>
      <c r="L16" s="9">
        <f t="shared" si="66"/>
        <v>1.0631770609568549</v>
      </c>
      <c r="M16" s="9">
        <f t="shared" ref="M16:N16" si="67">M14/M15</f>
        <v>1.3695355487827998</v>
      </c>
      <c r="N16" s="9">
        <f t="shared" si="67"/>
        <v>1.7423120583705556</v>
      </c>
      <c r="O16" s="9"/>
      <c r="P16" s="9" t="e">
        <f t="shared" ref="P16:S16" si="68">P14/P15</f>
        <v>#DIV/0!</v>
      </c>
      <c r="Q16" s="9" t="e">
        <f t="shared" si="68"/>
        <v>#DIV/0!</v>
      </c>
      <c r="R16" s="9" t="e">
        <f t="shared" si="68"/>
        <v>#DIV/0!</v>
      </c>
      <c r="S16" s="9" t="e">
        <f t="shared" si="68"/>
        <v>#DIV/0!</v>
      </c>
      <c r="T16" s="9">
        <f t="shared" ref="T16:Y16" si="69">T14/T15</f>
        <v>1.939320719618659</v>
      </c>
      <c r="U16" s="9">
        <f t="shared" si="69"/>
        <v>1.8561244126302656</v>
      </c>
      <c r="V16" s="9">
        <f t="shared" si="69"/>
        <v>2.298611309358368</v>
      </c>
      <c r="W16" s="9">
        <f t="shared" si="69"/>
        <v>2.792508167002234</v>
      </c>
      <c r="X16" s="9">
        <f t="shared" si="69"/>
        <v>3.3729956647579069</v>
      </c>
      <c r="Y16" s="9">
        <f t="shared" si="69"/>
        <v>4.0543823336166094</v>
      </c>
      <c r="Z16" s="9">
        <f t="shared" ref="Z16" si="70">Z14/Z15</f>
        <v>4.3323732759841658</v>
      </c>
    </row>
    <row r="17" spans="2:152" x14ac:dyDescent="0.2">
      <c r="S17" s="10"/>
      <c r="T17" s="10"/>
      <c r="U17" s="10"/>
      <c r="V17" s="10"/>
      <c r="W17" s="10"/>
      <c r="X17" s="10"/>
      <c r="Y17" s="10"/>
    </row>
    <row r="18" spans="2:152" ht="15" x14ac:dyDescent="0.25">
      <c r="B18" s="8" t="s">
        <v>26</v>
      </c>
      <c r="G18" s="11" t="e">
        <f t="shared" ref="G18:L18" si="71">G2/C2-1</f>
        <v>#DIV/0!</v>
      </c>
      <c r="H18" s="11" t="e">
        <f t="shared" si="71"/>
        <v>#DIV/0!</v>
      </c>
      <c r="I18" s="11" t="e">
        <f t="shared" si="71"/>
        <v>#DIV/0!</v>
      </c>
      <c r="J18" s="11" t="e">
        <f t="shared" si="71"/>
        <v>#DIV/0!</v>
      </c>
      <c r="K18" s="11">
        <f t="shared" si="71"/>
        <v>0.22283981808994446</v>
      </c>
      <c r="L18" s="11">
        <f t="shared" si="71"/>
        <v>0.54712927087002483</v>
      </c>
      <c r="M18" s="11">
        <f t="shared" ref="M18" si="72">M2/I2-1</f>
        <v>1.3107317391304347</v>
      </c>
      <c r="N18" s="11">
        <f t="shared" ref="N18" si="73">N2/J2-1</f>
        <v>1.1435888099999998</v>
      </c>
      <c r="O18" s="12"/>
      <c r="P18" s="12"/>
      <c r="Q18" s="11" t="e">
        <f t="shared" ref="Q18" si="74">Q2/P2-1</f>
        <v>#DIV/0!</v>
      </c>
      <c r="R18" s="11" t="e">
        <f t="shared" ref="R18" si="75">R2/Q2-1</f>
        <v>#DIV/0!</v>
      </c>
      <c r="S18" s="11" t="e">
        <f t="shared" ref="S18" si="76">S2/R2-1</f>
        <v>#DIV/0!</v>
      </c>
      <c r="T18" s="11">
        <f t="shared" ref="T18:Z18" si="77">T2/S2-1</f>
        <v>1.1042198949939639</v>
      </c>
      <c r="U18" s="11">
        <f t="shared" si="77"/>
        <v>0.48206708830357847</v>
      </c>
      <c r="V18" s="11">
        <f t="shared" si="77"/>
        <v>0.15999999999999992</v>
      </c>
      <c r="W18" s="11">
        <f t="shared" si="77"/>
        <v>0.15999999999999992</v>
      </c>
      <c r="X18" s="11">
        <f t="shared" si="77"/>
        <v>0.15999999999999992</v>
      </c>
      <c r="Y18" s="11">
        <f t="shared" si="77"/>
        <v>0.15999999999999992</v>
      </c>
      <c r="Z18" s="11">
        <f t="shared" si="77"/>
        <v>1.0000000000000009E-2</v>
      </c>
    </row>
    <row r="19" spans="2:152" x14ac:dyDescent="0.2">
      <c r="B19" s="5" t="s">
        <v>41</v>
      </c>
      <c r="D19" s="12" t="e">
        <f t="shared" ref="D19:J19" si="78">D2/C2-1</f>
        <v>#DIV/0!</v>
      </c>
      <c r="E19" s="12" t="e">
        <f t="shared" si="78"/>
        <v>#DIV/0!</v>
      </c>
      <c r="F19" s="12" t="e">
        <f t="shared" si="78"/>
        <v>#DIV/0!</v>
      </c>
      <c r="G19" s="12" t="e">
        <f t="shared" si="78"/>
        <v>#DIV/0!</v>
      </c>
      <c r="H19" s="12">
        <f t="shared" si="78"/>
        <v>-4.362472629274039E-2</v>
      </c>
      <c r="I19" s="12">
        <f t="shared" si="78"/>
        <v>-0.18985558295174354</v>
      </c>
      <c r="J19" s="12">
        <f t="shared" si="78"/>
        <v>0.30434782608695654</v>
      </c>
      <c r="K19" s="12">
        <f t="shared" ref="K19:L19" si="79">K2/J2-1</f>
        <v>0.20999999999999996</v>
      </c>
      <c r="L19" s="12">
        <f t="shared" si="79"/>
        <v>0.20999999999999996</v>
      </c>
      <c r="M19" s="12">
        <f t="shared" ref="M19" si="80">M2/L2-1</f>
        <v>0.20999999999999996</v>
      </c>
      <c r="N19" s="12">
        <f t="shared" ref="N19" si="81">N2/M2-1</f>
        <v>0.20999999999999996</v>
      </c>
      <c r="O19" s="12"/>
      <c r="P19" s="12"/>
      <c r="Q19" s="12"/>
    </row>
    <row r="20" spans="2:152" ht="15" x14ac:dyDescent="0.25">
      <c r="B20" s="8" t="s">
        <v>9</v>
      </c>
      <c r="C20" s="11" t="e">
        <f t="shared" ref="C20:H20" si="82">C4/C2</f>
        <v>#DIV/0!</v>
      </c>
      <c r="D20" s="11" t="e">
        <f t="shared" si="82"/>
        <v>#DIV/0!</v>
      </c>
      <c r="E20" s="11" t="e">
        <f t="shared" si="82"/>
        <v>#DIV/0!</v>
      </c>
      <c r="F20" s="11" t="e">
        <f t="shared" si="82"/>
        <v>#DIV/0!</v>
      </c>
      <c r="G20" s="11">
        <f t="shared" si="82"/>
        <v>0.13060468249957885</v>
      </c>
      <c r="H20" s="11">
        <f t="shared" si="82"/>
        <v>0.11801690736174716</v>
      </c>
      <c r="I20" s="13">
        <v>0.12</v>
      </c>
      <c r="J20" s="13">
        <v>0.12</v>
      </c>
      <c r="K20" s="13">
        <v>0.12</v>
      </c>
      <c r="L20" s="13">
        <v>0.12</v>
      </c>
      <c r="M20" s="13">
        <v>0.12</v>
      </c>
      <c r="N20" s="13">
        <v>0.12</v>
      </c>
      <c r="O20" s="11"/>
      <c r="P20" s="11" t="e">
        <f t="shared" ref="P20" si="83">P4/P2</f>
        <v>#DIV/0!</v>
      </c>
      <c r="Q20" s="13" t="e">
        <f t="shared" ref="Q20:T20" si="84">Q4/Q2</f>
        <v>#DIV/0!</v>
      </c>
      <c r="R20" s="13" t="e">
        <f t="shared" si="84"/>
        <v>#DIV/0!</v>
      </c>
      <c r="S20" s="13">
        <f t="shared" si="84"/>
        <v>0.18011062133250977</v>
      </c>
      <c r="T20" s="13">
        <f t="shared" si="84"/>
        <v>0.13752568515998195</v>
      </c>
      <c r="U20" s="13">
        <v>0.12</v>
      </c>
      <c r="V20" s="13">
        <v>0.12</v>
      </c>
      <c r="W20" s="13">
        <v>0.12</v>
      </c>
      <c r="X20" s="13">
        <v>0.12</v>
      </c>
      <c r="Y20" s="13">
        <v>0.12</v>
      </c>
      <c r="Z20" s="13">
        <v>0.12</v>
      </c>
    </row>
    <row r="22" spans="2:152" x14ac:dyDescent="0.2">
      <c r="B22" s="5" t="s">
        <v>16</v>
      </c>
      <c r="G22" s="5">
        <v>409</v>
      </c>
      <c r="H22" s="5">
        <v>169.1</v>
      </c>
      <c r="R22" s="5">
        <v>-440.8</v>
      </c>
      <c r="S22" s="5">
        <v>663.5</v>
      </c>
      <c r="T22" s="5">
        <v>-2485.9</v>
      </c>
      <c r="U22" s="5">
        <f>U14*1.1</f>
        <v>1211.7320297854451</v>
      </c>
      <c r="V22" s="5">
        <f t="shared" ref="V22:Y22" si="85">V14*1.1</f>
        <v>1500.6003523382449</v>
      </c>
      <c r="W22" s="5">
        <f t="shared" si="85"/>
        <v>1823.0305934067183</v>
      </c>
      <c r="X22" s="5">
        <f t="shared" si="85"/>
        <v>2201.9897241278063</v>
      </c>
      <c r="Y22" s="5">
        <f t="shared" si="85"/>
        <v>2646.8187699108312</v>
      </c>
      <c r="Z22" s="5">
        <f t="shared" ref="Z22" si="86">Z14*1.1</f>
        <v>2828.2993466247949</v>
      </c>
    </row>
    <row r="23" spans="2:152" x14ac:dyDescent="0.2">
      <c r="B23" s="5" t="s">
        <v>17</v>
      </c>
      <c r="G23" s="5">
        <v>44.3</v>
      </c>
      <c r="H23" s="5">
        <v>71.8</v>
      </c>
      <c r="R23" s="5">
        <v>-46</v>
      </c>
      <c r="S23" s="5">
        <v>-39.5</v>
      </c>
      <c r="T23" s="5">
        <v>-194.2</v>
      </c>
      <c r="U23" s="5">
        <f>T23*(1+U18)</f>
        <v>-287.81742854855491</v>
      </c>
      <c r="V23" s="5">
        <f t="shared" ref="V23:Z23" si="87">U23*(1+V18)</f>
        <v>-333.86821711632371</v>
      </c>
      <c r="W23" s="5">
        <f t="shared" si="87"/>
        <v>-387.28713185493547</v>
      </c>
      <c r="X23" s="5">
        <f t="shared" si="87"/>
        <v>-449.25307295172513</v>
      </c>
      <c r="Y23" s="5">
        <f t="shared" si="87"/>
        <v>-521.13356462400111</v>
      </c>
      <c r="Z23" s="5">
        <f t="shared" si="87"/>
        <v>-526.34490027024117</v>
      </c>
    </row>
    <row r="24" spans="2:152" x14ac:dyDescent="0.2">
      <c r="B24" s="5" t="s">
        <v>15</v>
      </c>
      <c r="C24" s="5">
        <f t="shared" ref="C24:H24" si="88">C22-C23</f>
        <v>0</v>
      </c>
      <c r="D24" s="5">
        <f t="shared" si="88"/>
        <v>0</v>
      </c>
      <c r="E24" s="5">
        <f t="shared" si="88"/>
        <v>0</v>
      </c>
      <c r="F24" s="5">
        <f t="shared" si="88"/>
        <v>0</v>
      </c>
      <c r="G24" s="5">
        <f t="shared" si="88"/>
        <v>364.7</v>
      </c>
      <c r="H24" s="5">
        <f t="shared" si="88"/>
        <v>97.3</v>
      </c>
      <c r="I24" s="5">
        <f t="shared" ref="I24:P24" si="89">I22-I23</f>
        <v>0</v>
      </c>
      <c r="J24" s="5">
        <f t="shared" si="89"/>
        <v>0</v>
      </c>
      <c r="K24" s="5">
        <f t="shared" si="89"/>
        <v>0</v>
      </c>
      <c r="L24" s="5">
        <f t="shared" si="89"/>
        <v>0</v>
      </c>
      <c r="M24" s="5">
        <f t="shared" ref="M24:N24" si="90">M22-M23</f>
        <v>0</v>
      </c>
      <c r="N24" s="5">
        <f t="shared" si="90"/>
        <v>0</v>
      </c>
      <c r="P24" s="5">
        <f t="shared" si="89"/>
        <v>0</v>
      </c>
      <c r="Q24" s="5">
        <f t="shared" ref="Q24" si="91">Q22-Q23</f>
        <v>0</v>
      </c>
      <c r="R24" s="5">
        <f>R22+R23</f>
        <v>-486.8</v>
      </c>
      <c r="S24" s="5">
        <f>S22+S23</f>
        <v>624</v>
      </c>
      <c r="T24" s="5">
        <f>T22+T23</f>
        <v>-2680.1</v>
      </c>
      <c r="U24" s="5">
        <f t="shared" ref="U24:Y24" si="92">U22+U23</f>
        <v>923.91460123689012</v>
      </c>
      <c r="V24" s="5">
        <f t="shared" si="92"/>
        <v>1166.7321352219212</v>
      </c>
      <c r="W24" s="5">
        <f t="shared" si="92"/>
        <v>1435.7434615517827</v>
      </c>
      <c r="X24" s="5">
        <f t="shared" si="92"/>
        <v>1752.7366511760811</v>
      </c>
      <c r="Y24" s="5">
        <f t="shared" si="92"/>
        <v>2125.6852052868298</v>
      </c>
      <c r="Z24" s="5">
        <f t="shared" ref="Z24" si="93">Z22+Z23</f>
        <v>2301.9544463545535</v>
      </c>
      <c r="AA24" s="5">
        <f t="shared" ref="AA24:BF24" si="94">Z24*(1+$AC$27)</f>
        <v>2324.9739908180991</v>
      </c>
      <c r="AB24" s="5">
        <f t="shared" si="94"/>
        <v>2348.2237307262799</v>
      </c>
      <c r="AC24" s="5">
        <f t="shared" si="94"/>
        <v>2371.7059680335428</v>
      </c>
      <c r="AD24" s="5">
        <f t="shared" si="94"/>
        <v>2395.4230277138781</v>
      </c>
      <c r="AE24" s="5">
        <f t="shared" si="94"/>
        <v>2419.3772579910169</v>
      </c>
      <c r="AF24" s="5">
        <f t="shared" si="94"/>
        <v>2443.5710305709272</v>
      </c>
      <c r="AG24" s="5">
        <f t="shared" si="94"/>
        <v>2468.0067408766363</v>
      </c>
      <c r="AH24" s="5">
        <f t="shared" si="94"/>
        <v>2492.6868082854025</v>
      </c>
      <c r="AI24" s="5">
        <f t="shared" si="94"/>
        <v>2517.6136763682566</v>
      </c>
      <c r="AJ24" s="5">
        <f t="shared" si="94"/>
        <v>2542.7898131319394</v>
      </c>
      <c r="AK24" s="5">
        <f t="shared" si="94"/>
        <v>2568.2177112632589</v>
      </c>
      <c r="AL24" s="5">
        <f t="shared" si="94"/>
        <v>2593.8998883758914</v>
      </c>
      <c r="AM24" s="5">
        <f t="shared" si="94"/>
        <v>2619.8388872596502</v>
      </c>
      <c r="AN24" s="5">
        <f t="shared" si="94"/>
        <v>2646.0372761322469</v>
      </c>
      <c r="AO24" s="5">
        <f t="shared" si="94"/>
        <v>2672.4976488935695</v>
      </c>
      <c r="AP24" s="5">
        <f t="shared" si="94"/>
        <v>2699.2226253825052</v>
      </c>
      <c r="AQ24" s="5">
        <f t="shared" si="94"/>
        <v>2726.2148516363304</v>
      </c>
      <c r="AR24" s="5">
        <f t="shared" si="94"/>
        <v>2753.4770001526936</v>
      </c>
      <c r="AS24" s="5">
        <f t="shared" si="94"/>
        <v>2781.0117701542204</v>
      </c>
      <c r="AT24" s="5">
        <f t="shared" si="94"/>
        <v>2808.8218878557627</v>
      </c>
      <c r="AU24" s="5">
        <f t="shared" si="94"/>
        <v>2836.9101067343204</v>
      </c>
      <c r="AV24" s="5">
        <f t="shared" si="94"/>
        <v>2865.2792078016637</v>
      </c>
      <c r="AW24" s="5">
        <f t="shared" si="94"/>
        <v>2893.9319998796805</v>
      </c>
      <c r="AX24" s="5">
        <f t="shared" si="94"/>
        <v>2922.8713198784772</v>
      </c>
      <c r="AY24" s="5">
        <f t="shared" si="94"/>
        <v>2952.1000330772617</v>
      </c>
      <c r="AZ24" s="5">
        <f t="shared" si="94"/>
        <v>2981.6210334080342</v>
      </c>
      <c r="BA24" s="5">
        <f t="shared" si="94"/>
        <v>3011.4372437421148</v>
      </c>
      <c r="BB24" s="5">
        <f t="shared" si="94"/>
        <v>3041.5516161795358</v>
      </c>
      <c r="BC24" s="5">
        <f t="shared" si="94"/>
        <v>3071.9671323413313</v>
      </c>
      <c r="BD24" s="5">
        <f t="shared" si="94"/>
        <v>3102.6868036647447</v>
      </c>
      <c r="BE24" s="5">
        <f t="shared" si="94"/>
        <v>3133.7136717013923</v>
      </c>
      <c r="BF24" s="5">
        <f t="shared" si="94"/>
        <v>3165.0508084184062</v>
      </c>
      <c r="BG24" s="5">
        <f t="shared" ref="BG24:CL24" si="95">BF24*(1+$AC$27)</f>
        <v>3196.7013165025901</v>
      </c>
      <c r="BH24" s="5">
        <f t="shared" si="95"/>
        <v>3228.668329667616</v>
      </c>
      <c r="BI24" s="5">
        <f t="shared" si="95"/>
        <v>3260.9550129642921</v>
      </c>
      <c r="BJ24" s="5">
        <f t="shared" si="95"/>
        <v>3293.5645630939352</v>
      </c>
      <c r="BK24" s="5">
        <f t="shared" si="95"/>
        <v>3326.5002087248745</v>
      </c>
      <c r="BL24" s="5">
        <f t="shared" si="95"/>
        <v>3359.7652108121233</v>
      </c>
      <c r="BM24" s="5">
        <f t="shared" si="95"/>
        <v>3393.3628629202444</v>
      </c>
      <c r="BN24" s="5">
        <f t="shared" si="95"/>
        <v>3427.2964915494467</v>
      </c>
      <c r="BO24" s="5">
        <f t="shared" si="95"/>
        <v>3461.5694564649411</v>
      </c>
      <c r="BP24" s="5">
        <f t="shared" si="95"/>
        <v>3496.1851510295905</v>
      </c>
      <c r="BQ24" s="5">
        <f t="shared" si="95"/>
        <v>3531.1470025398867</v>
      </c>
      <c r="BR24" s="5">
        <f t="shared" si="95"/>
        <v>3566.4584725652858</v>
      </c>
      <c r="BS24" s="5">
        <f t="shared" si="95"/>
        <v>3602.1230572909385</v>
      </c>
      <c r="BT24" s="5">
        <f t="shared" si="95"/>
        <v>3638.1442878638481</v>
      </c>
      <c r="BU24" s="5">
        <f t="shared" si="95"/>
        <v>3674.5257307424868</v>
      </c>
      <c r="BV24" s="5">
        <f t="shared" si="95"/>
        <v>3711.2709880499115</v>
      </c>
      <c r="BW24" s="5">
        <f t="shared" si="95"/>
        <v>3748.3836979304106</v>
      </c>
      <c r="BX24" s="5">
        <f t="shared" si="95"/>
        <v>3785.8675349097148</v>
      </c>
      <c r="BY24" s="5">
        <f t="shared" si="95"/>
        <v>3823.726210258812</v>
      </c>
      <c r="BZ24" s="5">
        <f t="shared" si="95"/>
        <v>3861.9634723614004</v>
      </c>
      <c r="CA24" s="5">
        <f t="shared" si="95"/>
        <v>3900.5831070850145</v>
      </c>
      <c r="CB24" s="5">
        <f t="shared" si="95"/>
        <v>3939.5889381558645</v>
      </c>
      <c r="CC24" s="5">
        <f t="shared" si="95"/>
        <v>3978.9848275374234</v>
      </c>
      <c r="CD24" s="5">
        <f t="shared" si="95"/>
        <v>4018.7746758127978</v>
      </c>
      <c r="CE24" s="5">
        <f t="shared" si="95"/>
        <v>4058.9624225709258</v>
      </c>
      <c r="CF24" s="5">
        <f t="shared" si="95"/>
        <v>4099.5520467966353</v>
      </c>
      <c r="CG24" s="5">
        <f t="shared" si="95"/>
        <v>4140.5475672646016</v>
      </c>
      <c r="CH24" s="5">
        <f t="shared" si="95"/>
        <v>4181.953042937248</v>
      </c>
      <c r="CI24" s="5">
        <f t="shared" si="95"/>
        <v>4223.7725733666202</v>
      </c>
      <c r="CJ24" s="5">
        <f t="shared" si="95"/>
        <v>4266.0102991002868</v>
      </c>
      <c r="CK24" s="5">
        <f t="shared" si="95"/>
        <v>4308.6704020912894</v>
      </c>
      <c r="CL24" s="5">
        <f t="shared" si="95"/>
        <v>4351.7571061122026</v>
      </c>
      <c r="CM24" s="5">
        <f t="shared" ref="CM24:DR24" si="96">CL24*(1+$AC$27)</f>
        <v>4395.2746771733246</v>
      </c>
      <c r="CN24" s="5">
        <f t="shared" si="96"/>
        <v>4439.227423945058</v>
      </c>
      <c r="CO24" s="5">
        <f t="shared" si="96"/>
        <v>4483.6196981845087</v>
      </c>
      <c r="CP24" s="5">
        <f t="shared" si="96"/>
        <v>4528.4558951663539</v>
      </c>
      <c r="CQ24" s="5">
        <f t="shared" si="96"/>
        <v>4573.7404541180176</v>
      </c>
      <c r="CR24" s="5">
        <f t="shared" si="96"/>
        <v>4619.4778586591974</v>
      </c>
      <c r="CS24" s="5">
        <f t="shared" si="96"/>
        <v>4665.6726372457897</v>
      </c>
      <c r="CT24" s="5">
        <f t="shared" si="96"/>
        <v>4712.329363618248</v>
      </c>
      <c r="CU24" s="5">
        <f t="shared" si="96"/>
        <v>4759.4526572544301</v>
      </c>
      <c r="CV24" s="5">
        <f t="shared" si="96"/>
        <v>4807.0471838269741</v>
      </c>
      <c r="CW24" s="5">
        <f t="shared" si="96"/>
        <v>4855.1176556652435</v>
      </c>
      <c r="CX24" s="5">
        <f t="shared" si="96"/>
        <v>4903.6688322218961</v>
      </c>
      <c r="CY24" s="5">
        <f t="shared" si="96"/>
        <v>4952.7055205441147</v>
      </c>
      <c r="CZ24" s="5">
        <f t="shared" si="96"/>
        <v>5002.2325757495555</v>
      </c>
      <c r="DA24" s="5">
        <f t="shared" si="96"/>
        <v>5052.2549015070508</v>
      </c>
      <c r="DB24" s="5">
        <f t="shared" si="96"/>
        <v>5102.7774505221214</v>
      </c>
      <c r="DC24" s="5">
        <f t="shared" si="96"/>
        <v>5153.8052250273431</v>
      </c>
      <c r="DD24" s="5">
        <f t="shared" si="96"/>
        <v>5205.3432772776168</v>
      </c>
      <c r="DE24" s="5">
        <f t="shared" si="96"/>
        <v>5257.3967100503933</v>
      </c>
      <c r="DF24" s="5">
        <f t="shared" si="96"/>
        <v>5309.9706771508972</v>
      </c>
      <c r="DG24" s="5">
        <f t="shared" si="96"/>
        <v>5363.0703839224061</v>
      </c>
      <c r="DH24" s="5">
        <f t="shared" si="96"/>
        <v>5416.7010877616303</v>
      </c>
      <c r="DI24" s="5">
        <f t="shared" si="96"/>
        <v>5470.8680986392465</v>
      </c>
      <c r="DJ24" s="5">
        <f t="shared" si="96"/>
        <v>5525.5767796256387</v>
      </c>
      <c r="DK24" s="5">
        <f t="shared" si="96"/>
        <v>5580.8325474218955</v>
      </c>
      <c r="DL24" s="5">
        <f t="shared" si="96"/>
        <v>5636.6408728961142</v>
      </c>
      <c r="DM24" s="5">
        <f t="shared" si="96"/>
        <v>5693.0072816250749</v>
      </c>
      <c r="DN24" s="5">
        <f t="shared" si="96"/>
        <v>5749.9373544413256</v>
      </c>
      <c r="DO24" s="5">
        <f t="shared" si="96"/>
        <v>5807.4367279857388</v>
      </c>
      <c r="DP24" s="5">
        <f t="shared" si="96"/>
        <v>5865.5110952655959</v>
      </c>
      <c r="DQ24" s="5">
        <f t="shared" si="96"/>
        <v>5924.1662062182522</v>
      </c>
      <c r="DR24" s="5">
        <f t="shared" si="96"/>
        <v>5983.4078682804347</v>
      </c>
      <c r="DS24" s="5">
        <f t="shared" ref="DS24:EV24" si="97">DR24*(1+$AC$27)</f>
        <v>6043.2419469632396</v>
      </c>
      <c r="DT24" s="5">
        <f t="shared" si="97"/>
        <v>6103.6743664328724</v>
      </c>
      <c r="DU24" s="5">
        <f t="shared" si="97"/>
        <v>6164.7111100972015</v>
      </c>
      <c r="DV24" s="5">
        <f t="shared" si="97"/>
        <v>6226.3582211981739</v>
      </c>
      <c r="DW24" s="5">
        <f t="shared" si="97"/>
        <v>6288.6218034101557</v>
      </c>
      <c r="DX24" s="5">
        <f t="shared" si="97"/>
        <v>6351.5080214442578</v>
      </c>
      <c r="DY24" s="5">
        <f t="shared" si="97"/>
        <v>6415.0231016587004</v>
      </c>
      <c r="DZ24" s="5">
        <f t="shared" si="97"/>
        <v>6479.1733326752874</v>
      </c>
      <c r="EA24" s="5">
        <f t="shared" si="97"/>
        <v>6543.9650660020407</v>
      </c>
      <c r="EB24" s="5">
        <f t="shared" si="97"/>
        <v>6609.4047166620612</v>
      </c>
      <c r="EC24" s="5">
        <f t="shared" si="97"/>
        <v>6675.4987638286821</v>
      </c>
      <c r="ED24" s="5">
        <f t="shared" si="97"/>
        <v>6742.2537514669693</v>
      </c>
      <c r="EE24" s="5">
        <f t="shared" si="97"/>
        <v>6809.6762889816391</v>
      </c>
      <c r="EF24" s="5">
        <f t="shared" si="97"/>
        <v>6877.7730518714552</v>
      </c>
      <c r="EG24" s="5">
        <f t="shared" si="97"/>
        <v>6946.5507823901698</v>
      </c>
      <c r="EH24" s="5">
        <f t="shared" si="97"/>
        <v>7016.0162902140719</v>
      </c>
      <c r="EI24" s="5">
        <f t="shared" si="97"/>
        <v>7086.1764531162125</v>
      </c>
      <c r="EJ24" s="5">
        <f t="shared" si="97"/>
        <v>7157.0382176473749</v>
      </c>
      <c r="EK24" s="5">
        <f t="shared" si="97"/>
        <v>7228.6085998238486</v>
      </c>
      <c r="EL24" s="5">
        <f t="shared" si="97"/>
        <v>7300.894685822087</v>
      </c>
      <c r="EM24" s="5">
        <f t="shared" si="97"/>
        <v>7373.903632680308</v>
      </c>
      <c r="EN24" s="5">
        <f t="shared" si="97"/>
        <v>7447.6426690071112</v>
      </c>
      <c r="EO24" s="5">
        <f t="shared" si="97"/>
        <v>7522.1190956971823</v>
      </c>
      <c r="EP24" s="5">
        <f t="shared" si="97"/>
        <v>7597.3402866541537</v>
      </c>
      <c r="EQ24" s="5">
        <f t="shared" si="97"/>
        <v>7673.3136895206953</v>
      </c>
      <c r="ER24" s="5">
        <f t="shared" si="97"/>
        <v>7750.0468264159026</v>
      </c>
      <c r="ES24" s="5">
        <f t="shared" si="97"/>
        <v>7827.5472946800619</v>
      </c>
      <c r="ET24" s="5">
        <f t="shared" si="97"/>
        <v>7905.8227676268625</v>
      </c>
      <c r="EU24" s="5">
        <f t="shared" si="97"/>
        <v>7984.8809953031314</v>
      </c>
      <c r="EV24" s="5">
        <f t="shared" si="97"/>
        <v>8064.7298052561628</v>
      </c>
    </row>
    <row r="25" spans="2:152" x14ac:dyDescent="0.2">
      <c r="B25" s="5" t="s">
        <v>36</v>
      </c>
      <c r="C25" s="10" t="e">
        <f t="shared" ref="C25:H25" si="98">C24/C2</f>
        <v>#DIV/0!</v>
      </c>
      <c r="D25" s="10" t="e">
        <f t="shared" si="98"/>
        <v>#DIV/0!</v>
      </c>
      <c r="E25" s="10" t="e">
        <f t="shared" si="98"/>
        <v>#DIV/0!</v>
      </c>
      <c r="F25" s="10" t="e">
        <f t="shared" si="98"/>
        <v>#DIV/0!</v>
      </c>
      <c r="G25" s="10">
        <f t="shared" si="98"/>
        <v>6.1428330806804779E-2</v>
      </c>
      <c r="H25" s="10">
        <f t="shared" si="98"/>
        <v>1.7136315604085944E-2</v>
      </c>
      <c r="I25" s="10">
        <v>6.2E-2</v>
      </c>
      <c r="J25" s="10">
        <v>6.2E-2</v>
      </c>
      <c r="K25" s="10">
        <v>6.2E-2</v>
      </c>
      <c r="L25" s="10">
        <v>6.5000000000000002E-2</v>
      </c>
      <c r="M25" s="10">
        <v>6.5000000000000002E-2</v>
      </c>
      <c r="N25" s="10">
        <v>6.5000000000000002E-2</v>
      </c>
      <c r="O25" s="10"/>
      <c r="P25" s="10">
        <v>6.5000000000000002E-2</v>
      </c>
      <c r="Q25" s="10">
        <v>6.5000000000000002E-2</v>
      </c>
      <c r="R25" s="10" t="e">
        <f t="shared" ref="R25" si="99">R24/R14</f>
        <v>#DIV/0!</v>
      </c>
      <c r="S25" s="10">
        <f>S24/S2</f>
        <v>8.7598618637167655E-2</v>
      </c>
      <c r="T25" s="10">
        <f>T24/T2</f>
        <v>-0.17880207082432684</v>
      </c>
      <c r="U25" s="10">
        <f t="shared" ref="U25:Y25" si="100">U24/U2</f>
        <v>4.1589673699612431E-2</v>
      </c>
      <c r="V25" s="10">
        <f t="shared" si="100"/>
        <v>4.5275875077491957E-2</v>
      </c>
      <c r="W25" s="10">
        <f t="shared" si="100"/>
        <v>4.8030217259543824E-2</v>
      </c>
      <c r="X25" s="10">
        <f t="shared" si="100"/>
        <v>5.0547116150039435E-2</v>
      </c>
      <c r="Y25" s="10">
        <f t="shared" si="100"/>
        <v>5.2847040998250987E-2</v>
      </c>
      <c r="Z25" s="10">
        <f t="shared" ref="Z25" si="101">Z24/Z2</f>
        <v>5.6662675448887083E-2</v>
      </c>
    </row>
    <row r="26" spans="2:152" x14ac:dyDescent="0.2">
      <c r="AB26" s="5" t="s">
        <v>50</v>
      </c>
      <c r="AC26" s="12">
        <v>0.06</v>
      </c>
    </row>
    <row r="27" spans="2:152" ht="15" x14ac:dyDescent="0.25">
      <c r="B27" s="8" t="s">
        <v>19</v>
      </c>
      <c r="C27" s="14" t="e">
        <f>C14/C2</f>
        <v>#DIV/0!</v>
      </c>
      <c r="D27" s="14" t="e">
        <f t="shared" ref="D27:F27" si="102">D14/D2</f>
        <v>#DIV/0!</v>
      </c>
      <c r="E27" s="14" t="e">
        <f t="shared" si="102"/>
        <v>#DIV/0!</v>
      </c>
      <c r="F27" s="14" t="e">
        <f t="shared" si="102"/>
        <v>#DIV/0!</v>
      </c>
      <c r="G27" s="14">
        <f>G14/G2</f>
        <v>7.1483914434899723E-2</v>
      </c>
      <c r="H27" s="14">
        <f>H14/H2</f>
        <v>5.6058471292708766E-2</v>
      </c>
      <c r="I27" s="14">
        <f>I14/I2</f>
        <v>4.9057257354855506E-2</v>
      </c>
      <c r="J27" s="14">
        <f>J14/J2</f>
        <v>5.9889684173682053E-2</v>
      </c>
      <c r="K27" s="14">
        <f t="shared" ref="K27:L27" si="103">K14/K2</f>
        <v>6.6351755749938957E-2</v>
      </c>
      <c r="L27" s="14">
        <f t="shared" si="103"/>
        <v>7.1827446362240185E-2</v>
      </c>
      <c r="M27" s="14">
        <f t="shared" ref="M27:N27" si="104">M14/M2</f>
        <v>7.6466773938084806E-2</v>
      </c>
      <c r="N27" s="14">
        <f t="shared" si="104"/>
        <v>8.0397034627940595E-2</v>
      </c>
      <c r="O27" s="14"/>
      <c r="P27" s="14" t="e">
        <f t="shared" ref="P27:R27" si="105">P14/P2</f>
        <v>#DIV/0!</v>
      </c>
      <c r="Q27" s="14" t="e">
        <f t="shared" si="105"/>
        <v>#DIV/0!</v>
      </c>
      <c r="R27" s="14" t="e">
        <f t="shared" si="105"/>
        <v>#DIV/0!</v>
      </c>
      <c r="S27" s="14">
        <f t="shared" ref="S27:Y27" si="106">S14/S2</f>
        <v>9.1338405817446733E-2</v>
      </c>
      <c r="T27" s="14">
        <f t="shared" si="106"/>
        <v>7.6785285405492051E-2</v>
      </c>
      <c r="U27" s="14">
        <f t="shared" si="106"/>
        <v>4.9586971529697169E-2</v>
      </c>
      <c r="V27" s="14">
        <f t="shared" si="106"/>
        <v>5.2938063691405836E-2</v>
      </c>
      <c r="W27" s="14">
        <f t="shared" si="106"/>
        <v>5.5442011129634802E-2</v>
      </c>
      <c r="X27" s="14">
        <f t="shared" si="106"/>
        <v>5.7730101030085364E-2</v>
      </c>
      <c r="Y27" s="14">
        <f t="shared" si="106"/>
        <v>5.9820941801186772E-2</v>
      </c>
      <c r="Z27" s="14">
        <f t="shared" ref="Z27" si="107">Z14/Z2</f>
        <v>6.3289700392674134E-2</v>
      </c>
      <c r="AB27" s="5" t="s">
        <v>12</v>
      </c>
      <c r="AC27" s="12">
        <v>0.01</v>
      </c>
    </row>
    <row r="28" spans="2:152" x14ac:dyDescent="0.2">
      <c r="B28" s="5" t="s">
        <v>40</v>
      </c>
      <c r="C28" s="10" t="e">
        <f>C13/C9</f>
        <v>#DIV/0!</v>
      </c>
      <c r="D28" s="10" t="e">
        <f t="shared" ref="D28:F28" si="108">D13/D9</f>
        <v>#DIV/0!</v>
      </c>
      <c r="E28" s="10" t="e">
        <f t="shared" si="108"/>
        <v>#DIV/0!</v>
      </c>
      <c r="F28" s="10" t="e">
        <f t="shared" si="108"/>
        <v>#DIV/0!</v>
      </c>
      <c r="G28" s="10">
        <f>G13/G9</f>
        <v>0.14670070699135909</v>
      </c>
      <c r="H28" s="10">
        <f>H13/H9</f>
        <v>0.15428416485900201</v>
      </c>
      <c r="I28" s="10">
        <v>0.15</v>
      </c>
      <c r="J28" s="10">
        <v>0.15</v>
      </c>
      <c r="K28" s="10">
        <v>0.15</v>
      </c>
      <c r="L28" s="10">
        <v>0.15</v>
      </c>
      <c r="M28" s="10">
        <v>0.15</v>
      </c>
      <c r="N28" s="10">
        <v>0.15</v>
      </c>
      <c r="O28" s="10"/>
      <c r="P28" s="10" t="e">
        <f>P13/P9</f>
        <v>#DIV/0!</v>
      </c>
      <c r="Q28" s="10" t="e">
        <f>Q13/Q9</f>
        <v>#DIV/0!</v>
      </c>
      <c r="R28" s="10" t="e">
        <f>R13/R9</f>
        <v>#DIV/0!</v>
      </c>
      <c r="S28" s="10">
        <f>S13/S9</f>
        <v>0.14528926488361094</v>
      </c>
      <c r="T28" s="10">
        <f>T13/T9</f>
        <v>5.2275167230985152E-2</v>
      </c>
      <c r="U28" s="10">
        <v>0.19</v>
      </c>
      <c r="V28" s="10">
        <v>0.19</v>
      </c>
      <c r="W28" s="10">
        <v>0.19</v>
      </c>
      <c r="X28" s="10">
        <v>0.19</v>
      </c>
      <c r="Y28" s="10">
        <v>0.19</v>
      </c>
      <c r="Z28" s="10">
        <v>0.19</v>
      </c>
      <c r="AB28" s="5" t="s">
        <v>10</v>
      </c>
      <c r="AC28" s="15">
        <v>0.09</v>
      </c>
    </row>
    <row r="29" spans="2:152" x14ac:dyDescent="0.2">
      <c r="AB29" s="5" t="s">
        <v>13</v>
      </c>
      <c r="AC29" s="5">
        <f>NPV(AC28,U24:FE24)+main!I5-main!I6</f>
        <v>23649.770256767126</v>
      </c>
    </row>
    <row r="30" spans="2:152" x14ac:dyDescent="0.2">
      <c r="B30" s="5" t="s">
        <v>51</v>
      </c>
      <c r="H30" s="5">
        <f>H32-H34</f>
        <v>-612</v>
      </c>
      <c r="I30" s="5">
        <f>H30+I14</f>
        <v>-386.33661616766472</v>
      </c>
      <c r="J30" s="5">
        <f t="shared" ref="J30:N30" si="109">I30+J14</f>
        <v>-26.998511125572406</v>
      </c>
      <c r="K30" s="5">
        <f t="shared" si="109"/>
        <v>454.71523561898442</v>
      </c>
      <c r="L30" s="5">
        <f t="shared" si="109"/>
        <v>1085.6906209327196</v>
      </c>
      <c r="M30" s="5">
        <f t="shared" si="109"/>
        <v>1898.4839479598845</v>
      </c>
      <c r="N30" s="5">
        <f t="shared" si="109"/>
        <v>2932.5130506737005</v>
      </c>
      <c r="R30" s="12"/>
      <c r="T30" s="5">
        <f>T32-T34</f>
        <v>-372.23399999999992</v>
      </c>
      <c r="U30" s="5">
        <f>T30+U14</f>
        <v>729.34057253222272</v>
      </c>
      <c r="V30" s="5">
        <f t="shared" ref="V30:Z30" si="110">U30+V14</f>
        <v>2093.5227110215365</v>
      </c>
      <c r="W30" s="5">
        <f t="shared" si="110"/>
        <v>3750.823250482189</v>
      </c>
      <c r="X30" s="5">
        <f t="shared" si="110"/>
        <v>5752.6320905983766</v>
      </c>
      <c r="Y30" s="5">
        <f t="shared" si="110"/>
        <v>8158.830972335496</v>
      </c>
      <c r="Z30" s="5">
        <f t="shared" si="110"/>
        <v>10730.012196539854</v>
      </c>
      <c r="AB30" s="5" t="s">
        <v>1</v>
      </c>
      <c r="AC30" s="16">
        <f>AC29/main!I3</f>
        <v>39.849245817081133</v>
      </c>
    </row>
    <row r="31" spans="2:152" x14ac:dyDescent="0.2">
      <c r="R31" s="15"/>
      <c r="AB31" s="5" t="s">
        <v>14</v>
      </c>
      <c r="AC31" s="12">
        <f>AC30/main!I2-1</f>
        <v>0.32830819390270438</v>
      </c>
    </row>
    <row r="32" spans="2:152" x14ac:dyDescent="0.2">
      <c r="B32" s="5" t="s">
        <v>4</v>
      </c>
      <c r="H32" s="5">
        <v>1430</v>
      </c>
      <c r="T32" s="5">
        <v>1669.7660000000001</v>
      </c>
      <c r="AC32" s="9"/>
    </row>
    <row r="33" spans="2:29" x14ac:dyDescent="0.2">
      <c r="AB33" s="5" t="s">
        <v>48</v>
      </c>
      <c r="AC33" s="9">
        <f>main!I2/model!U16</f>
        <v>16.162709673910157</v>
      </c>
    </row>
    <row r="34" spans="2:29" x14ac:dyDescent="0.2">
      <c r="B34" s="5" t="s">
        <v>5</v>
      </c>
      <c r="H34" s="5">
        <v>2042</v>
      </c>
      <c r="T34" s="5">
        <v>2042</v>
      </c>
      <c r="AC34" s="9">
        <f>main!I2/model!V16</f>
        <v>13.0513583909818</v>
      </c>
    </row>
  </sheetData>
  <hyperlinks>
    <hyperlink ref="A1" location="main!A1" display="Main" xr:uid="{59AA8257-1596-43FF-803F-69279BD13128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2025-02-12T01:52:33Z</dcterms:created>
  <dcterms:modified xsi:type="dcterms:W3CDTF">2025-05-09T00:53:19Z</dcterms:modified>
</cp:coreProperties>
</file>