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B9B490C-9BA6-4783-9709-CB256AFDB321}" xr6:coauthVersionLast="47" xr6:coauthVersionMax="47" xr10:uidLastSave="{00000000-0000-0000-0000-000000000000}"/>
  <bookViews>
    <workbookView xWindow="4785" yWindow="810" windowWidth="21120" windowHeight="14670" activeTab="1" xr2:uid="{3E65A911-C47E-4C1B-8C65-2C5108F0BD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2" l="1"/>
  <c r="O25" i="2"/>
  <c r="P25" i="2"/>
  <c r="Q25" i="2"/>
  <c r="R25" i="2"/>
  <c r="S25" i="2"/>
  <c r="T25" i="2"/>
  <c r="U25" i="2"/>
  <c r="V25" i="2"/>
  <c r="M25" i="2"/>
  <c r="M4" i="2"/>
  <c r="N4" i="2"/>
  <c r="O4" i="2" s="1"/>
  <c r="P4" i="2" s="1"/>
  <c r="Q4" i="2" s="1"/>
  <c r="R4" i="2" s="1"/>
  <c r="S4" i="2" s="1"/>
  <c r="T4" i="2" s="1"/>
  <c r="U4" i="2" s="1"/>
  <c r="V4" i="2" s="1"/>
  <c r="J21" i="2"/>
  <c r="K19" i="2"/>
  <c r="L19" i="2"/>
  <c r="J19" i="2"/>
  <c r="C4" i="2"/>
  <c r="C6" i="2" s="1"/>
  <c r="C8" i="2" s="1"/>
  <c r="C11" i="2" s="1"/>
  <c r="C13" i="2" s="1"/>
  <c r="D4" i="2"/>
  <c r="E4" i="2"/>
  <c r="E6" i="2" s="1"/>
  <c r="E8" i="2" s="1"/>
  <c r="E11" i="2" s="1"/>
  <c r="E13" i="2" s="1"/>
  <c r="F4" i="2"/>
  <c r="F6" i="2" s="1"/>
  <c r="F8" i="2" s="1"/>
  <c r="F11" i="2" s="1"/>
  <c r="F13" i="2" s="1"/>
  <c r="B4" i="2"/>
  <c r="B6" i="2" s="1"/>
  <c r="B8" i="2" s="1"/>
  <c r="B11" i="2" s="1"/>
  <c r="B13" i="2" s="1"/>
  <c r="I4" i="2"/>
  <c r="I6" i="2" s="1"/>
  <c r="I8" i="2" s="1"/>
  <c r="I11" i="2" s="1"/>
  <c r="I13" i="2" s="1"/>
  <c r="H4" i="2"/>
  <c r="H6" i="2" s="1"/>
  <c r="H8" i="2" s="1"/>
  <c r="H11" i="2" s="1"/>
  <c r="H13" i="2" s="1"/>
  <c r="K4" i="2"/>
  <c r="K6" i="2" s="1"/>
  <c r="L4" i="2"/>
  <c r="J4" i="2"/>
  <c r="J6" i="2" s="1"/>
  <c r="J8" i="2" s="1"/>
  <c r="J11" i="2" s="1"/>
  <c r="J13" i="2" s="1"/>
  <c r="I25" i="2"/>
  <c r="J25" i="2"/>
  <c r="K25" i="2"/>
  <c r="L25" i="2"/>
  <c r="H25" i="2"/>
  <c r="D31" i="2"/>
  <c r="D27" i="2" s="1"/>
  <c r="L6" i="2"/>
  <c r="L8" i="2" s="1"/>
  <c r="L11" i="2" s="1"/>
  <c r="L13" i="2" s="1"/>
  <c r="D6" i="2"/>
  <c r="D8" i="2" s="1"/>
  <c r="D11" i="2" s="1"/>
  <c r="D13" i="2" s="1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D6" i="1"/>
  <c r="D4" i="1"/>
  <c r="D7" i="1" s="1"/>
  <c r="K8" i="2" l="1"/>
  <c r="K11" i="2" s="1"/>
  <c r="K13" i="2" s="1"/>
  <c r="K21" i="2"/>
  <c r="M17" i="2"/>
  <c r="M7" i="2" s="1"/>
  <c r="L21" i="2"/>
  <c r="L17" i="2"/>
  <c r="K17" i="2"/>
  <c r="E27" i="2"/>
  <c r="L27" i="2" s="1"/>
  <c r="M10" i="2" s="1"/>
  <c r="J18" i="2"/>
  <c r="K18" i="2"/>
  <c r="L18" i="2"/>
  <c r="N5" i="2" l="1"/>
  <c r="N6" i="2" s="1"/>
  <c r="N17" i="2"/>
  <c r="N7" i="2"/>
  <c r="N8" i="2" l="1"/>
  <c r="O17" i="2"/>
  <c r="O7" i="2" s="1"/>
  <c r="O5" i="2"/>
  <c r="O6" i="2" s="1"/>
  <c r="O8" i="2" l="1"/>
  <c r="P17" i="2"/>
  <c r="P7" i="2" s="1"/>
  <c r="P5" i="2"/>
  <c r="P6" i="2" s="1"/>
  <c r="Q5" i="2" l="1"/>
  <c r="Q6" i="2" s="1"/>
  <c r="Q17" i="2"/>
  <c r="Q7" i="2" s="1"/>
  <c r="P8" i="2"/>
  <c r="Q8" i="2" l="1"/>
  <c r="R17" i="2"/>
  <c r="R7" i="2" s="1"/>
  <c r="R5" i="2"/>
  <c r="R6" i="2" s="1"/>
  <c r="R8" i="2" l="1"/>
  <c r="S5" i="2"/>
  <c r="S17" i="2"/>
  <c r="S7" i="2" s="1"/>
  <c r="S6" i="2"/>
  <c r="S8" i="2" l="1"/>
  <c r="T17" i="2"/>
  <c r="T7" i="2" s="1"/>
  <c r="T5" i="2"/>
  <c r="T6" i="2" s="1"/>
  <c r="T8" i="2" s="1"/>
  <c r="U5" i="2" l="1"/>
  <c r="U6" i="2" s="1"/>
  <c r="U17" i="2"/>
  <c r="U7" i="2" s="1"/>
  <c r="U8" i="2" l="1"/>
  <c r="V17" i="2"/>
  <c r="V7" i="2" s="1"/>
  <c r="V5" i="2"/>
  <c r="V6" i="2" s="1"/>
  <c r="V8" i="2" l="1"/>
  <c r="M5" i="2"/>
  <c r="M6" i="2" s="1"/>
  <c r="M8" i="2" s="1"/>
  <c r="M11" i="2" s="1"/>
  <c r="M12" i="2" l="1"/>
  <c r="M13" i="2" s="1"/>
  <c r="M27" i="2" l="1"/>
  <c r="N10" i="2" l="1"/>
  <c r="N11" i="2" s="1"/>
  <c r="N12" i="2" l="1"/>
  <c r="N13" i="2" s="1"/>
  <c r="N27" i="2" l="1"/>
  <c r="O10" i="2" l="1"/>
  <c r="O11" i="2" s="1"/>
  <c r="O12" i="2" l="1"/>
  <c r="O13" i="2" s="1"/>
  <c r="O27" i="2" l="1"/>
  <c r="P10" i="2" l="1"/>
  <c r="P11" i="2" s="1"/>
  <c r="P12" i="2" l="1"/>
  <c r="P13" i="2" s="1"/>
  <c r="P27" i="2" l="1"/>
  <c r="Q10" i="2" l="1"/>
  <c r="Q11" i="2" s="1"/>
  <c r="Q12" i="2" l="1"/>
  <c r="Q13" i="2" s="1"/>
  <c r="Q27" i="2" l="1"/>
  <c r="R10" i="2" l="1"/>
  <c r="R11" i="2" s="1"/>
  <c r="R12" i="2" l="1"/>
  <c r="R13" i="2" s="1"/>
  <c r="R27" i="2" l="1"/>
  <c r="S10" i="2"/>
  <c r="S11" i="2" s="1"/>
  <c r="S12" i="2" l="1"/>
  <c r="S13" i="2" s="1"/>
  <c r="S27" i="2" l="1"/>
  <c r="T10" i="2"/>
  <c r="T11" i="2" s="1"/>
  <c r="T12" i="2" l="1"/>
  <c r="T13" i="2" s="1"/>
  <c r="T27" i="2" l="1"/>
  <c r="U10" i="2"/>
  <c r="U11" i="2" s="1"/>
  <c r="U12" i="2" l="1"/>
  <c r="U13" i="2" s="1"/>
  <c r="U27" i="2" l="1"/>
  <c r="V10" i="2" s="1"/>
  <c r="V11" i="2" s="1"/>
  <c r="V12" i="2" l="1"/>
  <c r="V13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Y21" i="2" s="1"/>
  <c r="W13" i="2" l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Y22" i="2" s="1"/>
  <c r="Y23" i="2" s="1"/>
  <c r="V27" i="2"/>
</calcChain>
</file>

<file path=xl/sharedStrings.xml><?xml version="1.0" encoding="utf-8"?>
<sst xmlns="http://schemas.openxmlformats.org/spreadsheetml/2006/main" count="45" uniqueCount="38">
  <si>
    <t>STZ</t>
  </si>
  <si>
    <t>Price</t>
  </si>
  <si>
    <t>Shares</t>
  </si>
  <si>
    <t>MC</t>
  </si>
  <si>
    <t>Cash</t>
  </si>
  <si>
    <t>Debt</t>
  </si>
  <si>
    <t>EV</t>
  </si>
  <si>
    <t>Q324</t>
  </si>
  <si>
    <t>Q124</t>
  </si>
  <si>
    <t>Q224</t>
  </si>
  <si>
    <t>Q424</t>
  </si>
  <si>
    <t>Q125</t>
  </si>
  <si>
    <t>Sales</t>
  </si>
  <si>
    <t>Excise Tax</t>
  </si>
  <si>
    <t>Revenue</t>
  </si>
  <si>
    <t>COGS</t>
  </si>
  <si>
    <t>Gross Profit</t>
  </si>
  <si>
    <t>SG&amp;A</t>
  </si>
  <si>
    <t>Operating Income</t>
  </si>
  <si>
    <t>Interest</t>
  </si>
  <si>
    <t>Unconsolidated Investments</t>
  </si>
  <si>
    <t>Pretax Income</t>
  </si>
  <si>
    <t>Tax</t>
  </si>
  <si>
    <t>Net Income</t>
  </si>
  <si>
    <t>Revenue Growth</t>
  </si>
  <si>
    <t>Tax Rate</t>
  </si>
  <si>
    <t>Gross Margin</t>
  </si>
  <si>
    <t>CFFO</t>
  </si>
  <si>
    <t>CX</t>
  </si>
  <si>
    <t>FCF</t>
  </si>
  <si>
    <t>ROIC</t>
  </si>
  <si>
    <t>Maturity</t>
  </si>
  <si>
    <t>Discount</t>
  </si>
  <si>
    <t>NPV</t>
  </si>
  <si>
    <t>Diff</t>
  </si>
  <si>
    <t>Net Cash</t>
  </si>
  <si>
    <t>Excise Tax Rate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</si>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</sst>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19050</xdr:rowOff>
    </xdr:from>
    <xdr:to>
      <xdr:col>4</xdr:col>
      <xdr:colOff>19050</xdr:colOff>
      <xdr:row>38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B77CFDA-BEDF-A1BE-F34C-75E61668EC95}"/>
            </a:ext>
          </a:extLst>
        </xdr:cNvPr>
        <xdr:cNvCxnSpPr/>
      </xdr:nvCxnSpPr>
      <xdr:spPr>
        <a:xfrm flipH="1">
          <a:off x="2419350" y="19050"/>
          <a:ext cx="38100" cy="6819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0</xdr:row>
      <xdr:rowOff>0</xdr:rowOff>
    </xdr:from>
    <xdr:to>
      <xdr:col>12</xdr:col>
      <xdr:colOff>9525</xdr:colOff>
      <xdr:row>38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88AB55-AD76-48FF-9A1D-233061E2E71C}"/>
            </a:ext>
          </a:extLst>
        </xdr:cNvPr>
        <xdr:cNvCxnSpPr/>
      </xdr:nvCxnSpPr>
      <xdr:spPr>
        <a:xfrm flipH="1">
          <a:off x="7286625" y="0"/>
          <a:ext cx="38100" cy="6819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E4BD-A562-4695-AF92-15C11A2F3E13}">
  <dimension ref="A1:E7"/>
  <sheetViews>
    <sheetView zoomScale="295" zoomScaleNormal="295" workbookViewId="0">
      <selection activeCell="D3" sqref="D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192</v>
      </c>
    </row>
    <row r="3" spans="1:5" x14ac:dyDescent="0.25">
      <c r="C3" t="s">
        <v>2</v>
      </c>
      <c r="D3" s="2">
        <v>180.7</v>
      </c>
      <c r="E3" t="s">
        <v>7</v>
      </c>
    </row>
    <row r="4" spans="1:5" x14ac:dyDescent="0.25">
      <c r="C4" t="s">
        <v>3</v>
      </c>
      <c r="D4" s="2">
        <f>D3*D2</f>
        <v>34694.399999999994</v>
      </c>
    </row>
    <row r="5" spans="1:5" x14ac:dyDescent="0.25">
      <c r="C5" t="s">
        <v>4</v>
      </c>
      <c r="D5" s="2">
        <v>152</v>
      </c>
      <c r="E5" t="s">
        <v>7</v>
      </c>
    </row>
    <row r="6" spans="1:5" x14ac:dyDescent="0.25">
      <c r="C6" t="s">
        <v>5</v>
      </c>
      <c r="D6" s="2">
        <f>10681+1804</f>
        <v>12485</v>
      </c>
      <c r="E6" t="s">
        <v>7</v>
      </c>
    </row>
    <row r="7" spans="1:5" x14ac:dyDescent="0.25">
      <c r="C7" t="s">
        <v>6</v>
      </c>
      <c r="D7" s="2">
        <f>D4+D6-D5</f>
        <v>47027.399999999994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4CD5-28D3-4678-9B11-62DAAC84DFFC}">
  <dimension ref="A1:DO31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N25" sqref="N25"/>
    </sheetView>
  </sheetViews>
  <sheetFormatPr defaultRowHeight="15" x14ac:dyDescent="0.25"/>
  <cols>
    <col min="1" max="1" width="25.5703125" style="2" customWidth="1"/>
    <col min="2" max="18" width="9.140625" style="2"/>
    <col min="19" max="19" width="11.5703125" style="2" bestFit="1" customWidth="1"/>
    <col min="20" max="20" width="9.28515625" style="2" customWidth="1"/>
    <col min="21" max="16384" width="9.140625" style="2"/>
  </cols>
  <sheetData>
    <row r="1" spans="1:117" x14ac:dyDescent="0.25">
      <c r="B1" s="2" t="s">
        <v>8</v>
      </c>
      <c r="C1" s="2" t="s">
        <v>9</v>
      </c>
      <c r="D1" s="2" t="s">
        <v>7</v>
      </c>
      <c r="E1" s="2" t="s">
        <v>10</v>
      </c>
      <c r="F1" s="2" t="s">
        <v>11</v>
      </c>
      <c r="H1" s="5">
        <v>2020</v>
      </c>
      <c r="I1" s="5">
        <f>H1+1</f>
        <v>2021</v>
      </c>
      <c r="J1" s="5">
        <f t="shared" ref="J1:V1" si="0">I1+1</f>
        <v>2022</v>
      </c>
      <c r="K1" s="5">
        <f t="shared" si="0"/>
        <v>2023</v>
      </c>
      <c r="L1" s="5">
        <f t="shared" si="0"/>
        <v>2024</v>
      </c>
      <c r="M1" s="5">
        <f t="shared" si="0"/>
        <v>2025</v>
      </c>
      <c r="N1" s="5">
        <f t="shared" si="0"/>
        <v>2026</v>
      </c>
      <c r="O1" s="5">
        <f t="shared" si="0"/>
        <v>2027</v>
      </c>
      <c r="P1" s="5">
        <f t="shared" si="0"/>
        <v>2028</v>
      </c>
      <c r="Q1" s="5">
        <f t="shared" si="0"/>
        <v>2029</v>
      </c>
      <c r="R1" s="5">
        <f t="shared" si="0"/>
        <v>2030</v>
      </c>
      <c r="S1" s="5">
        <f t="shared" si="0"/>
        <v>2031</v>
      </c>
      <c r="T1" s="5">
        <f t="shared" si="0"/>
        <v>2032</v>
      </c>
      <c r="U1" s="5">
        <f t="shared" si="0"/>
        <v>2033</v>
      </c>
      <c r="V1" s="5">
        <f t="shared" si="0"/>
        <v>2034</v>
      </c>
      <c r="W1" s="5"/>
    </row>
    <row r="2" spans="1:117" x14ac:dyDescent="0.25">
      <c r="A2" s="2" t="s">
        <v>12</v>
      </c>
      <c r="J2" s="2">
        <v>9529</v>
      </c>
      <c r="K2" s="2">
        <v>10177</v>
      </c>
      <c r="L2" s="2">
        <v>10711</v>
      </c>
    </row>
    <row r="3" spans="1:117" x14ac:dyDescent="0.25">
      <c r="A3" s="2" t="s">
        <v>13</v>
      </c>
      <c r="J3" s="2">
        <v>708</v>
      </c>
      <c r="K3" s="2">
        <v>724</v>
      </c>
      <c r="L3" s="2">
        <v>749</v>
      </c>
    </row>
    <row r="4" spans="1:117" s="4" customFormat="1" x14ac:dyDescent="0.25">
      <c r="A4" s="4" t="s">
        <v>14</v>
      </c>
      <c r="B4" s="4">
        <f>B2-B3</f>
        <v>0</v>
      </c>
      <c r="C4" s="4">
        <f t="shared" ref="C4:F4" si="1">C2-C3</f>
        <v>0</v>
      </c>
      <c r="D4" s="4">
        <f t="shared" si="1"/>
        <v>0</v>
      </c>
      <c r="E4" s="4">
        <f t="shared" si="1"/>
        <v>0</v>
      </c>
      <c r="F4" s="4">
        <f t="shared" si="1"/>
        <v>0</v>
      </c>
      <c r="H4" s="4">
        <f>H2-H3</f>
        <v>0</v>
      </c>
      <c r="I4" s="4">
        <f>I2-I3</f>
        <v>0</v>
      </c>
      <c r="J4" s="4">
        <f>J2-J3</f>
        <v>8821</v>
      </c>
      <c r="K4" s="4">
        <f t="shared" ref="K4:L4" si="2">K2-K3</f>
        <v>9453</v>
      </c>
      <c r="L4" s="4">
        <f t="shared" si="2"/>
        <v>9962</v>
      </c>
      <c r="M4" s="4">
        <f t="shared" ref="M4:V4" si="3">L4*1.03</f>
        <v>10260.86</v>
      </c>
      <c r="N4" s="4">
        <f t="shared" si="3"/>
        <v>10568.685800000001</v>
      </c>
      <c r="O4" s="4">
        <f t="shared" si="3"/>
        <v>10885.746374000002</v>
      </c>
      <c r="P4" s="4">
        <f t="shared" si="3"/>
        <v>11212.318765220003</v>
      </c>
      <c r="Q4" s="4">
        <f t="shared" si="3"/>
        <v>11548.688328176604</v>
      </c>
      <c r="R4" s="4">
        <f t="shared" si="3"/>
        <v>11895.148978021902</v>
      </c>
      <c r="S4" s="4">
        <f t="shared" si="3"/>
        <v>12252.003447362558</v>
      </c>
      <c r="T4" s="4">
        <f t="shared" si="3"/>
        <v>12619.563550783436</v>
      </c>
      <c r="U4" s="4">
        <f t="shared" si="3"/>
        <v>12998.15045730694</v>
      </c>
      <c r="V4" s="4">
        <f t="shared" si="3"/>
        <v>13388.094971026148</v>
      </c>
    </row>
    <row r="5" spans="1:117" x14ac:dyDescent="0.25">
      <c r="A5" s="2" t="s">
        <v>15</v>
      </c>
      <c r="J5" s="2">
        <v>4113</v>
      </c>
      <c r="K5" s="2">
        <v>4683</v>
      </c>
      <c r="L5" s="2">
        <v>4944</v>
      </c>
      <c r="M5" s="2">
        <f>M4*(1-M21)</f>
        <v>4925.2128000000002</v>
      </c>
      <c r="N5" s="2">
        <f t="shared" ref="N5:Q5" si="4">N4*(1-N21)</f>
        <v>5072.9691840000005</v>
      </c>
      <c r="O5" s="2">
        <f t="shared" si="4"/>
        <v>5225.1582595200007</v>
      </c>
      <c r="P5" s="2">
        <f t="shared" si="4"/>
        <v>5381.9130073056012</v>
      </c>
      <c r="Q5" s="2">
        <f t="shared" si="4"/>
        <v>5543.3703975247699</v>
      </c>
      <c r="R5" s="2">
        <f t="shared" ref="R5" si="5">R4*(1-R21)</f>
        <v>5709.6715094505125</v>
      </c>
      <c r="S5" s="2">
        <f t="shared" ref="S5" si="6">S4*(1-S21)</f>
        <v>5880.9616547340274</v>
      </c>
      <c r="T5" s="2">
        <f t="shared" ref="T5" si="7">T4*(1-T21)</f>
        <v>6057.3905043760487</v>
      </c>
      <c r="U5" s="2">
        <f t="shared" ref="U5" si="8">U4*(1-U21)</f>
        <v>6239.1122195073312</v>
      </c>
      <c r="V5" s="2">
        <f t="shared" ref="V5" si="9">V4*(1-V21)</f>
        <v>6426.2855860925511</v>
      </c>
    </row>
    <row r="6" spans="1:117" x14ac:dyDescent="0.25">
      <c r="A6" s="2" t="s">
        <v>16</v>
      </c>
      <c r="B6" s="2">
        <f>B4-B5</f>
        <v>0</v>
      </c>
      <c r="C6" s="2">
        <f t="shared" ref="C6:H6" si="10">C4-C5</f>
        <v>0</v>
      </c>
      <c r="D6" s="2">
        <f t="shared" si="10"/>
        <v>0</v>
      </c>
      <c r="E6" s="2">
        <f t="shared" si="10"/>
        <v>0</v>
      </c>
      <c r="F6" s="2">
        <f t="shared" si="10"/>
        <v>0</v>
      </c>
      <c r="H6" s="2">
        <f t="shared" si="10"/>
        <v>0</v>
      </c>
      <c r="I6" s="2">
        <f t="shared" ref="I6" si="11">I4-I5</f>
        <v>0</v>
      </c>
      <c r="J6" s="2">
        <f t="shared" ref="J6" si="12">J4-J5</f>
        <v>4708</v>
      </c>
      <c r="K6" s="2">
        <f t="shared" ref="K6" si="13">K4-K5</f>
        <v>4770</v>
      </c>
      <c r="L6" s="2">
        <f t="shared" ref="L6" si="14">L4-L5</f>
        <v>5018</v>
      </c>
      <c r="M6" s="2">
        <f t="shared" ref="M6" si="15">M4-M5</f>
        <v>5335.6472000000003</v>
      </c>
      <c r="N6" s="2">
        <f t="shared" ref="N6" si="16">N4-N5</f>
        <v>5495.7166160000006</v>
      </c>
      <c r="O6" s="2">
        <f t="shared" ref="O6" si="17">O4-O5</f>
        <v>5660.5881144800014</v>
      </c>
      <c r="P6" s="2">
        <f t="shared" ref="P6" si="18">P4-P5</f>
        <v>5830.4057579144019</v>
      </c>
      <c r="Q6" s="2">
        <f t="shared" ref="Q6" si="19">Q4-Q5</f>
        <v>6005.3179306518341</v>
      </c>
      <c r="R6" s="2">
        <f t="shared" ref="R6" si="20">R4-R5</f>
        <v>6185.4774685713892</v>
      </c>
      <c r="S6" s="2">
        <f t="shared" ref="S6" si="21">S4-S5</f>
        <v>6371.0417926285309</v>
      </c>
      <c r="T6" s="2">
        <f t="shared" ref="T6" si="22">T4-T5</f>
        <v>6562.1730464073871</v>
      </c>
      <c r="U6" s="2">
        <f t="shared" ref="U6" si="23">U4-U5</f>
        <v>6759.0382377996084</v>
      </c>
      <c r="V6" s="2">
        <f t="shared" ref="V6" si="24">V4-V5</f>
        <v>6961.8093849335974</v>
      </c>
    </row>
    <row r="7" spans="1:117" x14ac:dyDescent="0.25">
      <c r="A7" s="2" t="s">
        <v>17</v>
      </c>
      <c r="J7" s="2">
        <v>1709</v>
      </c>
      <c r="K7" s="2">
        <v>1926</v>
      </c>
      <c r="L7" s="2">
        <v>1847</v>
      </c>
      <c r="M7" s="2">
        <f>L7*(1+M17)</f>
        <v>1902.41</v>
      </c>
      <c r="N7" s="2">
        <f t="shared" ref="N7:Q7" si="25">M7*(1+N17)</f>
        <v>1959.4823000000001</v>
      </c>
      <c r="O7" s="2">
        <f t="shared" si="25"/>
        <v>2018.2667690000001</v>
      </c>
      <c r="P7" s="2">
        <f t="shared" si="25"/>
        <v>2078.8147720700003</v>
      </c>
      <c r="Q7" s="2">
        <f t="shared" si="25"/>
        <v>2141.1792152321004</v>
      </c>
      <c r="R7" s="2">
        <f t="shared" ref="R7:V7" si="26">Q7*(1+R17)</f>
        <v>2205.4145916890634</v>
      </c>
      <c r="S7" s="2">
        <f t="shared" si="26"/>
        <v>2271.5770294397353</v>
      </c>
      <c r="T7" s="2">
        <f t="shared" si="26"/>
        <v>2339.7243403229272</v>
      </c>
      <c r="U7" s="2">
        <f t="shared" si="26"/>
        <v>2409.9160705326153</v>
      </c>
      <c r="V7" s="2">
        <f t="shared" si="26"/>
        <v>2482.213552648594</v>
      </c>
    </row>
    <row r="8" spans="1:117" x14ac:dyDescent="0.25">
      <c r="A8" s="2" t="s">
        <v>18</v>
      </c>
      <c r="B8" s="2">
        <f>B6-B7</f>
        <v>0</v>
      </c>
      <c r="C8" s="2">
        <f t="shared" ref="C8:H8" si="27">C6-C7</f>
        <v>0</v>
      </c>
      <c r="D8" s="2">
        <f t="shared" si="27"/>
        <v>0</v>
      </c>
      <c r="E8" s="2">
        <f t="shared" si="27"/>
        <v>0</v>
      </c>
      <c r="F8" s="2">
        <f t="shared" si="27"/>
        <v>0</v>
      </c>
      <c r="H8" s="2">
        <f t="shared" si="27"/>
        <v>0</v>
      </c>
      <c r="I8" s="2">
        <f t="shared" ref="I8" si="28">I6-I7</f>
        <v>0</v>
      </c>
      <c r="J8" s="2">
        <f t="shared" ref="J8" si="29">J6-J7</f>
        <v>2999</v>
      </c>
      <c r="K8" s="2">
        <f t="shared" ref="K8" si="30">K6-K7</f>
        <v>2844</v>
      </c>
      <c r="L8" s="2">
        <f t="shared" ref="L8" si="31">L6-L7</f>
        <v>3171</v>
      </c>
      <c r="M8" s="2">
        <f t="shared" ref="M8" si="32">M6-M7</f>
        <v>3433.2372000000005</v>
      </c>
      <c r="N8" s="2">
        <f t="shared" ref="N8" si="33">N6-N7</f>
        <v>3536.2343160000005</v>
      </c>
      <c r="O8" s="2">
        <f t="shared" ref="O8" si="34">O6-O7</f>
        <v>3642.3213454800016</v>
      </c>
      <c r="P8" s="2">
        <f t="shared" ref="P8" si="35">P6-P7</f>
        <v>3751.5909858444015</v>
      </c>
      <c r="Q8" s="2">
        <f t="shared" ref="Q8" si="36">Q6-Q7</f>
        <v>3864.1387154197337</v>
      </c>
      <c r="R8" s="2">
        <f t="shared" ref="R8" si="37">R6-R7</f>
        <v>3980.0628768823258</v>
      </c>
      <c r="S8" s="2">
        <f t="shared" ref="S8" si="38">S6-S7</f>
        <v>4099.4647631887956</v>
      </c>
      <c r="T8" s="2">
        <f t="shared" ref="T8" si="39">T6-T7</f>
        <v>4222.4487060844604</v>
      </c>
      <c r="U8" s="2">
        <f t="shared" ref="U8" si="40">U6-U7</f>
        <v>4349.1221672669926</v>
      </c>
      <c r="V8" s="2">
        <f t="shared" ref="V8" si="41">V6-V7</f>
        <v>4479.5958322850038</v>
      </c>
    </row>
    <row r="9" spans="1:117" x14ac:dyDescent="0.25">
      <c r="A9" s="2" t="s">
        <v>20</v>
      </c>
      <c r="J9" s="2">
        <v>-1635</v>
      </c>
      <c r="K9" s="2">
        <v>-2036</v>
      </c>
      <c r="L9" s="2">
        <v>-511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117" x14ac:dyDescent="0.25">
      <c r="A10" s="2" t="s">
        <v>19</v>
      </c>
      <c r="J10" s="2">
        <v>-356</v>
      </c>
      <c r="K10" s="2">
        <v>-398</v>
      </c>
      <c r="L10" s="2">
        <v>-435</v>
      </c>
      <c r="M10" s="2">
        <f>L27*$Y$18</f>
        <v>-739.98</v>
      </c>
      <c r="N10" s="2">
        <f>M27*$Y$18</f>
        <v>-612.31960871999991</v>
      </c>
      <c r="O10" s="2">
        <f>N27*$Y$18</f>
        <v>-473.72605159492792</v>
      </c>
      <c r="P10" s="2">
        <f>O27*$Y$18</f>
        <v>-323.53463466477541</v>
      </c>
      <c r="Q10" s="2">
        <f>P27*$Y$18</f>
        <v>-161.04476361886114</v>
      </c>
      <c r="R10" s="2">
        <f t="shared" ref="R10:V10" si="42">Q27*$Y$18</f>
        <v>14.48188969650022</v>
      </c>
      <c r="S10" s="2">
        <f t="shared" si="42"/>
        <v>203.82331163233658</v>
      </c>
      <c r="T10" s="2">
        <f t="shared" si="42"/>
        <v>407.79916637885827</v>
      </c>
      <c r="U10" s="2">
        <f t="shared" si="42"/>
        <v>627.27291553361954</v>
      </c>
      <c r="V10" s="2">
        <f t="shared" si="42"/>
        <v>863.15404245836851</v>
      </c>
    </row>
    <row r="11" spans="1:117" x14ac:dyDescent="0.25">
      <c r="A11" s="2" t="s">
        <v>21</v>
      </c>
      <c r="B11" s="2">
        <f>B8+SUM(B9:B10)</f>
        <v>0</v>
      </c>
      <c r="C11" s="2">
        <f t="shared" ref="C11:H11" si="43">C8+SUM(C9:C10)</f>
        <v>0</v>
      </c>
      <c r="D11" s="2">
        <f t="shared" si="43"/>
        <v>0</v>
      </c>
      <c r="E11" s="2">
        <f t="shared" si="43"/>
        <v>0</v>
      </c>
      <c r="F11" s="2">
        <f t="shared" si="43"/>
        <v>0</v>
      </c>
      <c r="H11" s="2">
        <f t="shared" si="43"/>
        <v>0</v>
      </c>
      <c r="I11" s="2">
        <f t="shared" ref="I11" si="44">I8+SUM(I9:I10)</f>
        <v>0</v>
      </c>
      <c r="J11" s="2">
        <f t="shared" ref="J11" si="45">J8+SUM(J9:J10)</f>
        <v>1008</v>
      </c>
      <c r="K11" s="2">
        <f t="shared" ref="K11" si="46">K8+SUM(K9:K10)</f>
        <v>410</v>
      </c>
      <c r="L11" s="2">
        <f t="shared" ref="L11" si="47">L8+SUM(L9:L10)</f>
        <v>2225</v>
      </c>
      <c r="M11" s="2">
        <f t="shared" ref="M11" si="48">M8+SUM(M9:M10)</f>
        <v>2693.2572000000005</v>
      </c>
      <c r="N11" s="2">
        <f t="shared" ref="N11" si="49">N8+SUM(N9:N10)</f>
        <v>2923.9147072800006</v>
      </c>
      <c r="O11" s="2">
        <f t="shared" ref="O11" si="50">O8+SUM(O9:O10)</f>
        <v>3168.5952938850737</v>
      </c>
      <c r="P11" s="2">
        <f t="shared" ref="P11" si="51">P8+SUM(P9:P10)</f>
        <v>3428.0563511796263</v>
      </c>
      <c r="Q11" s="2">
        <f t="shared" ref="Q11" si="52">Q8+SUM(Q9:Q10)</f>
        <v>3703.0939518008727</v>
      </c>
      <c r="R11" s="2">
        <f t="shared" ref="R11" si="53">R8+SUM(R9:R10)</f>
        <v>3994.5447665788261</v>
      </c>
      <c r="S11" s="2">
        <f t="shared" ref="S11" si="54">S8+SUM(S9:S10)</f>
        <v>4303.2880748211319</v>
      </c>
      <c r="T11" s="2">
        <f t="shared" ref="T11" si="55">T8+SUM(T9:T10)</f>
        <v>4630.2478724633183</v>
      </c>
      <c r="U11" s="2">
        <f t="shared" ref="U11" si="56">U8+SUM(U9:U10)</f>
        <v>4976.3950828006118</v>
      </c>
      <c r="V11" s="2">
        <f t="shared" ref="V11" si="57">V8+SUM(V9:V10)</f>
        <v>5342.7498747433719</v>
      </c>
    </row>
    <row r="12" spans="1:117" x14ac:dyDescent="0.25">
      <c r="A12" s="2" t="s">
        <v>22</v>
      </c>
      <c r="J12" s="2">
        <v>309</v>
      </c>
      <c r="K12" s="2">
        <v>422</v>
      </c>
      <c r="L12" s="2">
        <v>456</v>
      </c>
      <c r="M12" s="2">
        <f>M18*M11</f>
        <v>565.58401200000003</v>
      </c>
      <c r="N12" s="2">
        <f t="shared" ref="N12:Q12" si="58">N18*N11</f>
        <v>614.02208852880005</v>
      </c>
      <c r="O12" s="2">
        <f t="shared" si="58"/>
        <v>665.4050117158655</v>
      </c>
      <c r="P12" s="2">
        <f t="shared" si="58"/>
        <v>719.89183374772153</v>
      </c>
      <c r="Q12" s="2">
        <f t="shared" si="58"/>
        <v>777.64972987818328</v>
      </c>
      <c r="R12" s="2">
        <f t="shared" ref="R12" si="59">R18*R11</f>
        <v>838.85440098155345</v>
      </c>
      <c r="S12" s="2">
        <f t="shared" ref="S12" si="60">S18*S11</f>
        <v>903.69049571243761</v>
      </c>
      <c r="T12" s="2">
        <f t="shared" ref="T12" si="61">T18*T11</f>
        <v>972.35205321729677</v>
      </c>
      <c r="U12" s="2">
        <f t="shared" ref="U12" si="62">U18*U11</f>
        <v>1045.0429673881285</v>
      </c>
      <c r="V12" s="2">
        <f t="shared" ref="V12" si="63">V18*V11</f>
        <v>1121.9774736961081</v>
      </c>
    </row>
    <row r="13" spans="1:117" s="4" customFormat="1" x14ac:dyDescent="0.25">
      <c r="A13" s="4" t="s">
        <v>23</v>
      </c>
      <c r="B13" s="4">
        <f>B11-B12</f>
        <v>0</v>
      </c>
      <c r="C13" s="4">
        <f t="shared" ref="C13:H13" si="64">C11-C12</f>
        <v>0</v>
      </c>
      <c r="D13" s="4">
        <f t="shared" si="64"/>
        <v>0</v>
      </c>
      <c r="E13" s="4">
        <f t="shared" si="64"/>
        <v>0</v>
      </c>
      <c r="F13" s="4">
        <f t="shared" si="64"/>
        <v>0</v>
      </c>
      <c r="H13" s="4">
        <f t="shared" si="64"/>
        <v>0</v>
      </c>
      <c r="I13" s="4">
        <f t="shared" ref="I13" si="65">I11-I12</f>
        <v>0</v>
      </c>
      <c r="J13" s="4">
        <f t="shared" ref="J13" si="66">J11-J12</f>
        <v>699</v>
      </c>
      <c r="K13" s="4">
        <f t="shared" ref="K13" si="67">K11-K12</f>
        <v>-12</v>
      </c>
      <c r="L13" s="4">
        <f t="shared" ref="L13" si="68">L11-L12</f>
        <v>1769</v>
      </c>
      <c r="M13" s="4">
        <f t="shared" ref="M13" si="69">M11-M12</f>
        <v>2127.6731880000007</v>
      </c>
      <c r="N13" s="4">
        <f t="shared" ref="N13" si="70">N11-N12</f>
        <v>2309.8926187512006</v>
      </c>
      <c r="O13" s="4">
        <f t="shared" ref="O13" si="71">O11-O12</f>
        <v>2503.1902821692083</v>
      </c>
      <c r="P13" s="4">
        <f t="shared" ref="P13" si="72">P11-P12</f>
        <v>2708.1645174319046</v>
      </c>
      <c r="Q13" s="4">
        <f t="shared" ref="Q13" si="73">Q11-Q12</f>
        <v>2925.4442219226894</v>
      </c>
      <c r="R13" s="4">
        <f t="shared" ref="R13" si="74">R11-R12</f>
        <v>3155.6903655972728</v>
      </c>
      <c r="S13" s="4">
        <f t="shared" ref="S13" si="75">S11-S12</f>
        <v>3399.5975791086944</v>
      </c>
      <c r="T13" s="4">
        <f t="shared" ref="T13" si="76">T11-T12</f>
        <v>3657.8958192460213</v>
      </c>
      <c r="U13" s="4">
        <f t="shared" ref="U13" si="77">U11-U12</f>
        <v>3931.3521154124833</v>
      </c>
      <c r="V13" s="4">
        <f t="shared" ref="V13" si="78">V11-V12</f>
        <v>4220.7724010472639</v>
      </c>
      <c r="W13" s="4">
        <f t="shared" ref="W13:BB13" si="79">V13*(1+$Y$19)</f>
        <v>4262.9801250577366</v>
      </c>
      <c r="X13" s="4">
        <f t="shared" si="79"/>
        <v>4305.6099263083142</v>
      </c>
      <c r="Y13" s="4">
        <f t="shared" si="79"/>
        <v>4348.6660255713978</v>
      </c>
      <c r="Z13" s="4">
        <f t="shared" si="79"/>
        <v>4392.1526858271118</v>
      </c>
      <c r="AA13" s="4">
        <f t="shared" si="79"/>
        <v>4436.0742126853829</v>
      </c>
      <c r="AB13" s="4">
        <f t="shared" si="79"/>
        <v>4480.4349548122364</v>
      </c>
      <c r="AC13" s="4">
        <f t="shared" si="79"/>
        <v>4525.2393043603588</v>
      </c>
      <c r="AD13" s="4">
        <f t="shared" si="79"/>
        <v>4570.4916974039625</v>
      </c>
      <c r="AE13" s="4">
        <f t="shared" si="79"/>
        <v>4616.1966143780019</v>
      </c>
      <c r="AF13" s="4">
        <f t="shared" si="79"/>
        <v>4662.3585805217817</v>
      </c>
      <c r="AG13" s="4">
        <f t="shared" si="79"/>
        <v>4708.9821663269995</v>
      </c>
      <c r="AH13" s="4">
        <f t="shared" si="79"/>
        <v>4756.0719879902699</v>
      </c>
      <c r="AI13" s="4">
        <f t="shared" si="79"/>
        <v>4803.6327078701725</v>
      </c>
      <c r="AJ13" s="4">
        <f t="shared" si="79"/>
        <v>4851.6690349488745</v>
      </c>
      <c r="AK13" s="4">
        <f t="shared" si="79"/>
        <v>4900.1857252983636</v>
      </c>
      <c r="AL13" s="4">
        <f t="shared" si="79"/>
        <v>4949.1875825513471</v>
      </c>
      <c r="AM13" s="4">
        <f t="shared" si="79"/>
        <v>4998.6794583768606</v>
      </c>
      <c r="AN13" s="4">
        <f t="shared" si="79"/>
        <v>5048.6662529606292</v>
      </c>
      <c r="AO13" s="4">
        <f t="shared" si="79"/>
        <v>5099.1529154902355</v>
      </c>
      <c r="AP13" s="4">
        <f t="shared" si="79"/>
        <v>5150.1444446451378</v>
      </c>
      <c r="AQ13" s="4">
        <f t="shared" si="79"/>
        <v>5201.6458890915892</v>
      </c>
      <c r="AR13" s="4">
        <f t="shared" si="79"/>
        <v>5253.6623479825048</v>
      </c>
      <c r="AS13" s="4">
        <f t="shared" si="79"/>
        <v>5306.1989714623296</v>
      </c>
      <c r="AT13" s="4">
        <f t="shared" si="79"/>
        <v>5359.2609611769531</v>
      </c>
      <c r="AU13" s="4">
        <f t="shared" si="79"/>
        <v>5412.8535707887222</v>
      </c>
      <c r="AV13" s="4">
        <f t="shared" si="79"/>
        <v>5466.982106496609</v>
      </c>
      <c r="AW13" s="4">
        <f t="shared" si="79"/>
        <v>5521.6519275615756</v>
      </c>
      <c r="AX13" s="4">
        <f t="shared" si="79"/>
        <v>5576.8684468371912</v>
      </c>
      <c r="AY13" s="4">
        <f t="shared" si="79"/>
        <v>5632.6371313055633</v>
      </c>
      <c r="AZ13" s="4">
        <f t="shared" si="79"/>
        <v>5688.9635026186188</v>
      </c>
      <c r="BA13" s="4">
        <f t="shared" si="79"/>
        <v>5745.8531376448054</v>
      </c>
      <c r="BB13" s="4">
        <f t="shared" si="79"/>
        <v>5803.3116690212537</v>
      </c>
      <c r="BC13" s="4">
        <f t="shared" ref="BC13:CH13" si="80">BB13*(1+$Y$19)</f>
        <v>5861.3447857114661</v>
      </c>
      <c r="BD13" s="4">
        <f t="shared" si="80"/>
        <v>5919.9582335685809</v>
      </c>
      <c r="BE13" s="4">
        <f t="shared" si="80"/>
        <v>5979.1578159042665</v>
      </c>
      <c r="BF13" s="4">
        <f t="shared" si="80"/>
        <v>6038.9493940633092</v>
      </c>
      <c r="BG13" s="4">
        <f t="shared" si="80"/>
        <v>6099.338888003942</v>
      </c>
      <c r="BH13" s="4">
        <f t="shared" si="80"/>
        <v>6160.3322768839816</v>
      </c>
      <c r="BI13" s="4">
        <f t="shared" si="80"/>
        <v>6221.9355996528211</v>
      </c>
      <c r="BJ13" s="4">
        <f t="shared" si="80"/>
        <v>6284.1549556493492</v>
      </c>
      <c r="BK13" s="4">
        <f t="shared" si="80"/>
        <v>6346.9965052058424</v>
      </c>
      <c r="BL13" s="4">
        <f t="shared" si="80"/>
        <v>6410.4664702579012</v>
      </c>
      <c r="BM13" s="4">
        <f t="shared" si="80"/>
        <v>6474.5711349604799</v>
      </c>
      <c r="BN13" s="4">
        <f t="shared" si="80"/>
        <v>6539.3168463100847</v>
      </c>
      <c r="BO13" s="4">
        <f t="shared" si="80"/>
        <v>6604.7100147731853</v>
      </c>
      <c r="BP13" s="4">
        <f t="shared" si="80"/>
        <v>6670.757114920917</v>
      </c>
      <c r="BQ13" s="4">
        <f t="shared" si="80"/>
        <v>6737.4646860701259</v>
      </c>
      <c r="BR13" s="4">
        <f t="shared" si="80"/>
        <v>6804.8393329308274</v>
      </c>
      <c r="BS13" s="4">
        <f t="shared" si="80"/>
        <v>6872.8877262601354</v>
      </c>
      <c r="BT13" s="4">
        <f t="shared" si="80"/>
        <v>6941.616603522737</v>
      </c>
      <c r="BU13" s="4">
        <f t="shared" si="80"/>
        <v>7011.0327695579645</v>
      </c>
      <c r="BV13" s="4">
        <f t="shared" si="80"/>
        <v>7081.1430972535445</v>
      </c>
      <c r="BW13" s="4">
        <f t="shared" si="80"/>
        <v>7151.9545282260797</v>
      </c>
      <c r="BX13" s="4">
        <f t="shared" si="80"/>
        <v>7223.4740735083406</v>
      </c>
      <c r="BY13" s="4">
        <f t="shared" si="80"/>
        <v>7295.7088142434241</v>
      </c>
      <c r="BZ13" s="4">
        <f t="shared" si="80"/>
        <v>7368.6659023858583</v>
      </c>
      <c r="CA13" s="4">
        <f t="shared" si="80"/>
        <v>7442.3525614097171</v>
      </c>
      <c r="CB13" s="4">
        <f t="shared" si="80"/>
        <v>7516.7760870238144</v>
      </c>
      <c r="CC13" s="4">
        <f t="shared" si="80"/>
        <v>7591.9438478940529</v>
      </c>
      <c r="CD13" s="4">
        <f t="shared" si="80"/>
        <v>7667.8632863729936</v>
      </c>
      <c r="CE13" s="4">
        <f t="shared" si="80"/>
        <v>7744.5419192367235</v>
      </c>
      <c r="CF13" s="4">
        <f t="shared" si="80"/>
        <v>7821.9873384290904</v>
      </c>
      <c r="CG13" s="4">
        <f t="shared" si="80"/>
        <v>7900.207211813381</v>
      </c>
      <c r="CH13" s="4">
        <f t="shared" si="80"/>
        <v>7979.2092839315146</v>
      </c>
      <c r="CI13" s="4">
        <f t="shared" ref="CI13:DM13" si="81">CH13*(1+$Y$19)</f>
        <v>8059.0013767708297</v>
      </c>
      <c r="CJ13" s="4">
        <f t="shared" si="81"/>
        <v>8139.5913905385378</v>
      </c>
      <c r="CK13" s="4">
        <f t="shared" si="81"/>
        <v>8220.9873044439228</v>
      </c>
      <c r="CL13" s="4">
        <f t="shared" si="81"/>
        <v>8303.1971774883623</v>
      </c>
      <c r="CM13" s="4">
        <f t="shared" si="81"/>
        <v>8386.2291492632467</v>
      </c>
      <c r="CN13" s="4">
        <f t="shared" si="81"/>
        <v>8470.0914407558794</v>
      </c>
      <c r="CO13" s="4">
        <f t="shared" si="81"/>
        <v>8554.7923551634376</v>
      </c>
      <c r="CP13" s="4">
        <f t="shared" si="81"/>
        <v>8640.3402787150717</v>
      </c>
      <c r="CQ13" s="4">
        <f t="shared" si="81"/>
        <v>8726.7436815022229</v>
      </c>
      <c r="CR13" s="4">
        <f t="shared" si="81"/>
        <v>8814.0111183172448</v>
      </c>
      <c r="CS13" s="4">
        <f t="shared" si="81"/>
        <v>8902.1512295004177</v>
      </c>
      <c r="CT13" s="4">
        <f t="shared" si="81"/>
        <v>8991.1727417954226</v>
      </c>
      <c r="CU13" s="4">
        <f t="shared" si="81"/>
        <v>9081.084469213376</v>
      </c>
      <c r="CV13" s="4">
        <f t="shared" si="81"/>
        <v>9171.8953139055102</v>
      </c>
      <c r="CW13" s="4">
        <f t="shared" si="81"/>
        <v>9263.6142670445661</v>
      </c>
      <c r="CX13" s="4">
        <f t="shared" si="81"/>
        <v>9356.2504097150122</v>
      </c>
      <c r="CY13" s="4">
        <f t="shared" si="81"/>
        <v>9449.8129138121622</v>
      </c>
      <c r="CZ13" s="4">
        <f t="shared" si="81"/>
        <v>9544.3110429502831</v>
      </c>
      <c r="DA13" s="4">
        <f t="shared" si="81"/>
        <v>9639.7541533797867</v>
      </c>
      <c r="DB13" s="4">
        <f t="shared" si="81"/>
        <v>9736.1516949135839</v>
      </c>
      <c r="DC13" s="4">
        <f t="shared" si="81"/>
        <v>9833.5132118627207</v>
      </c>
      <c r="DD13" s="4">
        <f t="shared" si="81"/>
        <v>9931.8483439813481</v>
      </c>
      <c r="DE13" s="4">
        <f t="shared" si="81"/>
        <v>10031.166827421162</v>
      </c>
      <c r="DF13" s="4">
        <f t="shared" si="81"/>
        <v>10131.478495695374</v>
      </c>
      <c r="DG13" s="4">
        <f t="shared" si="81"/>
        <v>10232.793280652328</v>
      </c>
      <c r="DH13" s="4">
        <f t="shared" si="81"/>
        <v>10335.121213458851</v>
      </c>
      <c r="DI13" s="4">
        <f t="shared" si="81"/>
        <v>10438.47242559344</v>
      </c>
      <c r="DJ13" s="4">
        <f t="shared" si="81"/>
        <v>10542.857149849375</v>
      </c>
      <c r="DK13" s="4">
        <f t="shared" si="81"/>
        <v>10648.285721347869</v>
      </c>
      <c r="DL13" s="4">
        <f t="shared" si="81"/>
        <v>10754.768578561348</v>
      </c>
      <c r="DM13" s="4">
        <f t="shared" si="81"/>
        <v>10862.316264346962</v>
      </c>
    </row>
    <row r="14" spans="1:117" s="4" customFormat="1" x14ac:dyDescent="0.25">
      <c r="A14" s="2" t="s">
        <v>2</v>
      </c>
    </row>
    <row r="15" spans="1:117" s="4" customFormat="1" x14ac:dyDescent="0.25">
      <c r="A15" s="2" t="s">
        <v>37</v>
      </c>
    </row>
    <row r="17" spans="1:119" x14ac:dyDescent="0.25">
      <c r="A17" s="2" t="s">
        <v>24</v>
      </c>
      <c r="K17" s="3">
        <f t="shared" ref="K17:P17" si="82">K4/J4-1</f>
        <v>7.1647205532252567E-2</v>
      </c>
      <c r="L17" s="3">
        <f t="shared" si="82"/>
        <v>5.3845340103670702E-2</v>
      </c>
      <c r="M17" s="3">
        <f t="shared" si="82"/>
        <v>3.0000000000000027E-2</v>
      </c>
      <c r="N17" s="3">
        <f t="shared" si="82"/>
        <v>3.0000000000000027E-2</v>
      </c>
      <c r="O17" s="3">
        <f t="shared" si="82"/>
        <v>3.0000000000000027E-2</v>
      </c>
      <c r="P17" s="3">
        <f t="shared" si="82"/>
        <v>3.0000000000000027E-2</v>
      </c>
      <c r="Q17" s="3">
        <f t="shared" ref="Q17:V17" si="83">Q4/P4-1</f>
        <v>3.0000000000000027E-2</v>
      </c>
      <c r="R17" s="3">
        <f t="shared" si="83"/>
        <v>3.0000000000000027E-2</v>
      </c>
      <c r="S17" s="3">
        <f t="shared" si="83"/>
        <v>3.0000000000000027E-2</v>
      </c>
      <c r="T17" s="3">
        <f t="shared" si="83"/>
        <v>3.0000000000000027E-2</v>
      </c>
      <c r="U17" s="3">
        <f t="shared" si="83"/>
        <v>3.0000000000000027E-2</v>
      </c>
      <c r="V17" s="3">
        <f t="shared" si="83"/>
        <v>3.0000000000000027E-2</v>
      </c>
    </row>
    <row r="18" spans="1:119" x14ac:dyDescent="0.25">
      <c r="A18" s="2" t="s">
        <v>25</v>
      </c>
      <c r="J18" s="3">
        <f>J12/J11</f>
        <v>0.30654761904761907</v>
      </c>
      <c r="K18" s="3">
        <f t="shared" ref="K18:L18" si="84">K12/K11</f>
        <v>1.0292682926829269</v>
      </c>
      <c r="L18" s="3">
        <f t="shared" si="84"/>
        <v>0.2049438202247191</v>
      </c>
      <c r="M18" s="3">
        <v>0.21</v>
      </c>
      <c r="N18" s="3">
        <v>0.21</v>
      </c>
      <c r="O18" s="3">
        <v>0.21</v>
      </c>
      <c r="P18" s="3">
        <v>0.21</v>
      </c>
      <c r="Q18" s="3">
        <v>0.21</v>
      </c>
      <c r="R18" s="3">
        <v>0.21</v>
      </c>
      <c r="S18" s="3">
        <v>0.21</v>
      </c>
      <c r="T18" s="3">
        <v>0.21</v>
      </c>
      <c r="U18" s="3">
        <v>0.21</v>
      </c>
      <c r="V18" s="3">
        <v>0.21</v>
      </c>
      <c r="X18" s="2" t="s">
        <v>30</v>
      </c>
      <c r="Y18" s="3">
        <v>0.06</v>
      </c>
    </row>
    <row r="19" spans="1:119" x14ac:dyDescent="0.25">
      <c r="A19" s="2" t="s">
        <v>36</v>
      </c>
      <c r="J19" s="3">
        <f>J3/J2</f>
        <v>7.4299506768811002E-2</v>
      </c>
      <c r="K19" s="3">
        <f>K3/K2</f>
        <v>7.1140807703645476E-2</v>
      </c>
      <c r="L19" s="3">
        <f>L3/L2</f>
        <v>6.9928111287461486E-2</v>
      </c>
      <c r="M19" s="3">
        <v>7.0000000000000007E-2</v>
      </c>
      <c r="N19" s="3">
        <v>7.0000000000000007E-2</v>
      </c>
      <c r="O19" s="3">
        <v>7.0000000000000007E-2</v>
      </c>
      <c r="P19" s="3">
        <v>7.0000000000000007E-2</v>
      </c>
      <c r="Q19" s="3">
        <v>7.0000000000000007E-2</v>
      </c>
      <c r="R19" s="3">
        <v>7.0000000000000007E-2</v>
      </c>
      <c r="S19" s="3">
        <v>7.0000000000000007E-2</v>
      </c>
      <c r="T19" s="3">
        <v>7.0000000000000007E-2</v>
      </c>
      <c r="U19" s="3">
        <v>7.0000000000000007E-2</v>
      </c>
      <c r="V19" s="3">
        <v>7.0000000000000007E-2</v>
      </c>
      <c r="X19" s="2" t="s">
        <v>31</v>
      </c>
      <c r="Y19" s="3">
        <v>0.01</v>
      </c>
    </row>
    <row r="20" spans="1:119" x14ac:dyDescent="0.25">
      <c r="L20" s="3"/>
      <c r="X20" s="2" t="s">
        <v>32</v>
      </c>
      <c r="Y20" s="7">
        <v>7.4999999999999997E-2</v>
      </c>
    </row>
    <row r="21" spans="1:119" x14ac:dyDescent="0.25">
      <c r="A21" s="2" t="s">
        <v>26</v>
      </c>
      <c r="J21" s="3">
        <f>J6/J4</f>
        <v>0.53372633488266641</v>
      </c>
      <c r="K21" s="3">
        <f>K6/K4</f>
        <v>0.50460171374166929</v>
      </c>
      <c r="L21" s="3">
        <f>L6/L4</f>
        <v>0.50371411363180085</v>
      </c>
      <c r="M21" s="3">
        <v>0.52</v>
      </c>
      <c r="N21" s="3">
        <v>0.52</v>
      </c>
      <c r="O21" s="3">
        <v>0.52</v>
      </c>
      <c r="P21" s="3">
        <v>0.52</v>
      </c>
      <c r="Q21" s="3">
        <v>0.52</v>
      </c>
      <c r="R21" s="3">
        <v>0.52</v>
      </c>
      <c r="S21" s="3">
        <v>0.52</v>
      </c>
      <c r="T21" s="3">
        <v>0.52</v>
      </c>
      <c r="U21" s="3">
        <v>0.52</v>
      </c>
      <c r="V21" s="3">
        <v>0.52</v>
      </c>
      <c r="X21" s="2" t="s">
        <v>33</v>
      </c>
      <c r="Y21" s="6">
        <f>NPV(Y20,M25:XFD25)+Sheet1!D5-Sheet1!D6</f>
        <v>47522.222091993157</v>
      </c>
    </row>
    <row r="22" spans="1:119" x14ac:dyDescent="0.25">
      <c r="X22" s="2" t="s">
        <v>1</v>
      </c>
      <c r="Y22" s="2">
        <f>Y21/Sheet1!D3</f>
        <v>262.98960759265719</v>
      </c>
    </row>
    <row r="23" spans="1:119" x14ac:dyDescent="0.25">
      <c r="A23" s="2" t="s">
        <v>27</v>
      </c>
      <c r="X23" s="2" t="s">
        <v>34</v>
      </c>
      <c r="Y23" s="3">
        <f>Y22/Sheet1!D2-1</f>
        <v>0.36973753954508948</v>
      </c>
    </row>
    <row r="24" spans="1:119" x14ac:dyDescent="0.25">
      <c r="A24" s="2" t="s">
        <v>28</v>
      </c>
    </row>
    <row r="25" spans="1:119" x14ac:dyDescent="0.25">
      <c r="A25" s="2" t="s">
        <v>29</v>
      </c>
      <c r="H25" s="2">
        <f>H23-H24</f>
        <v>0</v>
      </c>
      <c r="I25" s="2">
        <f t="shared" ref="I25:L25" si="85">I23-I24</f>
        <v>0</v>
      </c>
      <c r="J25" s="2">
        <f t="shared" si="85"/>
        <v>0</v>
      </c>
      <c r="K25" s="2">
        <f t="shared" si="85"/>
        <v>0</v>
      </c>
      <c r="L25" s="2">
        <f t="shared" si="85"/>
        <v>0</v>
      </c>
      <c r="M25" s="4">
        <f>M13*1.15</f>
        <v>2446.8241662000005</v>
      </c>
      <c r="N25" s="4">
        <f t="shared" ref="N25:V25" si="86">N13*1.15</f>
        <v>2656.3765115638807</v>
      </c>
      <c r="O25" s="4">
        <f t="shared" si="86"/>
        <v>2878.6688244945894</v>
      </c>
      <c r="P25" s="4">
        <f t="shared" si="86"/>
        <v>3114.38919504669</v>
      </c>
      <c r="Q25" s="4">
        <f t="shared" si="86"/>
        <v>3364.2608552110923</v>
      </c>
      <c r="R25" s="4">
        <f t="shared" si="86"/>
        <v>3629.0439204368636</v>
      </c>
      <c r="S25" s="4">
        <f t="shared" si="86"/>
        <v>3909.5372159749982</v>
      </c>
      <c r="T25" s="4">
        <f t="shared" si="86"/>
        <v>4206.5801921329239</v>
      </c>
      <c r="U25" s="4">
        <f t="shared" si="86"/>
        <v>4521.0549327243552</v>
      </c>
      <c r="V25" s="4">
        <f t="shared" si="86"/>
        <v>4853.8882612043535</v>
      </c>
      <c r="W25" s="4">
        <f t="shared" ref="R25:AW25" si="87">V25*(1+$Y$19)</f>
        <v>4902.4271438163969</v>
      </c>
      <c r="X25" s="4">
        <f t="shared" si="87"/>
        <v>4951.4514152545607</v>
      </c>
      <c r="Y25" s="4">
        <f t="shared" si="87"/>
        <v>5000.9659294071062</v>
      </c>
      <c r="Z25" s="4">
        <f t="shared" si="87"/>
        <v>5050.975588701177</v>
      </c>
      <c r="AA25" s="4">
        <f t="shared" si="87"/>
        <v>5101.485344588189</v>
      </c>
      <c r="AB25" s="4">
        <f t="shared" si="87"/>
        <v>5152.5001980340712</v>
      </c>
      <c r="AC25" s="4">
        <f t="shared" si="87"/>
        <v>5204.0252000144119</v>
      </c>
      <c r="AD25" s="4">
        <f t="shared" si="87"/>
        <v>5256.0654520145563</v>
      </c>
      <c r="AE25" s="4">
        <f t="shared" si="87"/>
        <v>5308.6261065347016</v>
      </c>
      <c r="AF25" s="4">
        <f t="shared" si="87"/>
        <v>5361.7123676000483</v>
      </c>
      <c r="AG25" s="4">
        <f t="shared" si="87"/>
        <v>5415.3294912760484</v>
      </c>
      <c r="AH25" s="4">
        <f t="shared" si="87"/>
        <v>5469.4827861888089</v>
      </c>
      <c r="AI25" s="4">
        <f t="shared" si="87"/>
        <v>5524.1776140506972</v>
      </c>
      <c r="AJ25" s="4">
        <f t="shared" si="87"/>
        <v>5579.419390191204</v>
      </c>
      <c r="AK25" s="4">
        <f t="shared" si="87"/>
        <v>5635.213584093116</v>
      </c>
      <c r="AL25" s="4">
        <f t="shared" si="87"/>
        <v>5691.5657199340476</v>
      </c>
      <c r="AM25" s="4">
        <f t="shared" si="87"/>
        <v>5748.4813771333884</v>
      </c>
      <c r="AN25" s="4">
        <f t="shared" si="87"/>
        <v>5805.9661909047227</v>
      </c>
      <c r="AO25" s="4">
        <f t="shared" si="87"/>
        <v>5864.0258528137701</v>
      </c>
      <c r="AP25" s="4">
        <f t="shared" si="87"/>
        <v>5922.6661113419077</v>
      </c>
      <c r="AQ25" s="4">
        <f t="shared" si="87"/>
        <v>5981.8927724553268</v>
      </c>
      <c r="AR25" s="4">
        <f t="shared" si="87"/>
        <v>6041.7117001798806</v>
      </c>
      <c r="AS25" s="4">
        <f t="shared" si="87"/>
        <v>6102.1288171816796</v>
      </c>
      <c r="AT25" s="4">
        <f t="shared" si="87"/>
        <v>6163.1501053534967</v>
      </c>
      <c r="AU25" s="4">
        <f t="shared" si="87"/>
        <v>6224.7816064070321</v>
      </c>
      <c r="AV25" s="4">
        <f t="shared" si="87"/>
        <v>6287.0294224711024</v>
      </c>
      <c r="AW25" s="4">
        <f t="shared" si="87"/>
        <v>6349.8997166958134</v>
      </c>
      <c r="AX25" s="4">
        <f t="shared" ref="AX25:CC25" si="88">AW25*(1+$Y$19)</f>
        <v>6413.3987138627717</v>
      </c>
      <c r="AY25" s="4">
        <f t="shared" si="88"/>
        <v>6477.5327010013998</v>
      </c>
      <c r="AZ25" s="4">
        <f t="shared" si="88"/>
        <v>6542.3080280114136</v>
      </c>
      <c r="BA25" s="4">
        <f t="shared" si="88"/>
        <v>6607.7311082915276</v>
      </c>
      <c r="BB25" s="4">
        <f t="shared" si="88"/>
        <v>6673.8084193744426</v>
      </c>
      <c r="BC25" s="4">
        <f t="shared" si="88"/>
        <v>6740.5465035681873</v>
      </c>
      <c r="BD25" s="4">
        <f t="shared" si="88"/>
        <v>6807.9519686038693</v>
      </c>
      <c r="BE25" s="4">
        <f t="shared" si="88"/>
        <v>6876.0314882899083</v>
      </c>
      <c r="BF25" s="4">
        <f t="shared" si="88"/>
        <v>6944.7918031728077</v>
      </c>
      <c r="BG25" s="4">
        <f t="shared" si="88"/>
        <v>7014.2397212045362</v>
      </c>
      <c r="BH25" s="4">
        <f t="shared" si="88"/>
        <v>7084.3821184165818</v>
      </c>
      <c r="BI25" s="4">
        <f t="shared" si="88"/>
        <v>7155.2259396007476</v>
      </c>
      <c r="BJ25" s="4">
        <f t="shared" si="88"/>
        <v>7226.7781989967552</v>
      </c>
      <c r="BK25" s="4">
        <f t="shared" si="88"/>
        <v>7299.0459809867225</v>
      </c>
      <c r="BL25" s="4">
        <f t="shared" si="88"/>
        <v>7372.0364407965899</v>
      </c>
      <c r="BM25" s="4">
        <f t="shared" si="88"/>
        <v>7445.7568052045563</v>
      </c>
      <c r="BN25" s="4">
        <f t="shared" si="88"/>
        <v>7520.2143732566019</v>
      </c>
      <c r="BO25" s="4">
        <f t="shared" si="88"/>
        <v>7595.4165169891676</v>
      </c>
      <c r="BP25" s="4">
        <f t="shared" si="88"/>
        <v>7671.3706821590595</v>
      </c>
      <c r="BQ25" s="4">
        <f t="shared" si="88"/>
        <v>7748.0843889806501</v>
      </c>
      <c r="BR25" s="4">
        <f t="shared" si="88"/>
        <v>7825.5652328704564</v>
      </c>
      <c r="BS25" s="4">
        <f t="shared" si="88"/>
        <v>7903.8208851991612</v>
      </c>
      <c r="BT25" s="4">
        <f t="shared" si="88"/>
        <v>7982.8590940511531</v>
      </c>
      <c r="BU25" s="4">
        <f t="shared" si="88"/>
        <v>8062.6876849916644</v>
      </c>
      <c r="BV25" s="4">
        <f t="shared" si="88"/>
        <v>8143.3145618415811</v>
      </c>
      <c r="BW25" s="4">
        <f t="shared" si="88"/>
        <v>8224.7477074599974</v>
      </c>
      <c r="BX25" s="4">
        <f t="shared" si="88"/>
        <v>8306.9951845345968</v>
      </c>
      <c r="BY25" s="4">
        <f t="shared" si="88"/>
        <v>8390.0651363799425</v>
      </c>
      <c r="BZ25" s="4">
        <f t="shared" si="88"/>
        <v>8473.9657877437421</v>
      </c>
      <c r="CA25" s="4">
        <f t="shared" si="88"/>
        <v>8558.705445621179</v>
      </c>
      <c r="CB25" s="4">
        <f t="shared" si="88"/>
        <v>8644.2925000773903</v>
      </c>
      <c r="CC25" s="4">
        <f t="shared" si="88"/>
        <v>8730.7354250781646</v>
      </c>
      <c r="CD25" s="4">
        <f t="shared" ref="CD25:DI25" si="89">CC25*(1+$Y$19)</f>
        <v>8818.0427793289455</v>
      </c>
      <c r="CE25" s="4">
        <f t="shared" si="89"/>
        <v>8906.2232071222352</v>
      </c>
      <c r="CF25" s="4">
        <f t="shared" si="89"/>
        <v>8995.2854391934579</v>
      </c>
      <c r="CG25" s="4">
        <f t="shared" si="89"/>
        <v>9085.238293585393</v>
      </c>
      <c r="CH25" s="4">
        <f t="shared" si="89"/>
        <v>9176.0906765212476</v>
      </c>
      <c r="CI25" s="4">
        <f t="shared" si="89"/>
        <v>9267.8515832864596</v>
      </c>
      <c r="CJ25" s="4">
        <f t="shared" si="89"/>
        <v>9360.5300991193235</v>
      </c>
      <c r="CK25" s="4">
        <f t="shared" si="89"/>
        <v>9454.1354001105174</v>
      </c>
      <c r="CL25" s="4">
        <f t="shared" si="89"/>
        <v>9548.6767541116224</v>
      </c>
      <c r="CM25" s="4">
        <f t="shared" si="89"/>
        <v>9644.1635216527393</v>
      </c>
      <c r="CN25" s="4">
        <f t="shared" si="89"/>
        <v>9740.6051568692674</v>
      </c>
      <c r="CO25" s="4">
        <f t="shared" si="89"/>
        <v>9838.0112084379598</v>
      </c>
      <c r="CP25" s="4">
        <f t="shared" si="89"/>
        <v>9936.3913205223398</v>
      </c>
      <c r="CQ25" s="4">
        <f t="shared" si="89"/>
        <v>10035.755233727563</v>
      </c>
      <c r="CR25" s="4">
        <f t="shared" si="89"/>
        <v>10136.112786064839</v>
      </c>
      <c r="CS25" s="4">
        <f t="shared" si="89"/>
        <v>10237.473913925487</v>
      </c>
      <c r="CT25" s="4">
        <f t="shared" si="89"/>
        <v>10339.848653064742</v>
      </c>
      <c r="CU25" s="4">
        <f t="shared" si="89"/>
        <v>10443.247139595391</v>
      </c>
      <c r="CV25" s="4">
        <f t="shared" si="89"/>
        <v>10547.679610991345</v>
      </c>
      <c r="CW25" s="4">
        <f t="shared" si="89"/>
        <v>10653.156407101258</v>
      </c>
      <c r="CX25" s="4">
        <f t="shared" si="89"/>
        <v>10759.68797117227</v>
      </c>
      <c r="CY25" s="4">
        <f t="shared" si="89"/>
        <v>10867.284850883992</v>
      </c>
      <c r="CZ25" s="4">
        <f t="shared" si="89"/>
        <v>10975.957699392833</v>
      </c>
      <c r="DA25" s="4">
        <f t="shared" si="89"/>
        <v>11085.717276386762</v>
      </c>
      <c r="DB25" s="4">
        <f t="shared" si="89"/>
        <v>11196.57444915063</v>
      </c>
      <c r="DC25" s="4">
        <f t="shared" si="89"/>
        <v>11308.540193642137</v>
      </c>
      <c r="DD25" s="4">
        <f t="shared" si="89"/>
        <v>11421.625595578558</v>
      </c>
      <c r="DE25" s="4">
        <f t="shared" si="89"/>
        <v>11535.841851534344</v>
      </c>
      <c r="DF25" s="4">
        <f t="shared" si="89"/>
        <v>11651.200270049687</v>
      </c>
      <c r="DG25" s="4">
        <f t="shared" si="89"/>
        <v>11767.712272750185</v>
      </c>
      <c r="DH25" s="4">
        <f t="shared" si="89"/>
        <v>11885.389395477687</v>
      </c>
      <c r="DI25" s="4">
        <f t="shared" si="89"/>
        <v>12004.243289432463</v>
      </c>
      <c r="DJ25" s="4">
        <f t="shared" ref="DJ25:DO25" si="90">DI25*(1+$Y$19)</f>
        <v>12124.285722326787</v>
      </c>
      <c r="DK25" s="4">
        <f t="shared" si="90"/>
        <v>12245.528579550055</v>
      </c>
      <c r="DL25" s="4">
        <f t="shared" si="90"/>
        <v>12367.983865345555</v>
      </c>
      <c r="DM25" s="4">
        <f t="shared" si="90"/>
        <v>12491.663703999011</v>
      </c>
      <c r="DN25" s="4">
        <f t="shared" si="90"/>
        <v>12616.580341039002</v>
      </c>
      <c r="DO25" s="4">
        <f t="shared" si="90"/>
        <v>12742.746144449391</v>
      </c>
    </row>
    <row r="27" spans="1:119" x14ac:dyDescent="0.25">
      <c r="A27" s="2" t="s">
        <v>35</v>
      </c>
      <c r="D27" s="2">
        <f>D29-D31</f>
        <v>-12333</v>
      </c>
      <c r="E27" s="2">
        <f>D27+E13</f>
        <v>-12333</v>
      </c>
      <c r="L27" s="2">
        <f>E27</f>
        <v>-12333</v>
      </c>
      <c r="M27" s="2">
        <f>L27+M13</f>
        <v>-10205.326811999999</v>
      </c>
      <c r="N27" s="2">
        <f t="shared" ref="N27:V27" si="91">M27+N13</f>
        <v>-7895.4341932487987</v>
      </c>
      <c r="O27" s="2">
        <f t="shared" si="91"/>
        <v>-5392.2439110795904</v>
      </c>
      <c r="P27" s="2">
        <f t="shared" si="91"/>
        <v>-2684.0793936476857</v>
      </c>
      <c r="Q27" s="2">
        <f t="shared" si="91"/>
        <v>241.36482827500367</v>
      </c>
      <c r="R27" s="2">
        <f t="shared" si="91"/>
        <v>3397.0551938722765</v>
      </c>
      <c r="S27" s="2">
        <f t="shared" si="91"/>
        <v>6796.6527729809713</v>
      </c>
      <c r="T27" s="2">
        <f t="shared" si="91"/>
        <v>10454.548592226993</v>
      </c>
      <c r="U27" s="2">
        <f t="shared" si="91"/>
        <v>14385.900707639476</v>
      </c>
      <c r="V27" s="2">
        <f t="shared" si="91"/>
        <v>18606.67310868674</v>
      </c>
    </row>
    <row r="29" spans="1:119" x14ac:dyDescent="0.25">
      <c r="A29" s="2" t="s">
        <v>4</v>
      </c>
      <c r="D29" s="2">
        <v>152</v>
      </c>
    </row>
    <row r="31" spans="1:119" x14ac:dyDescent="0.25">
      <c r="A31" s="2" t="s">
        <v>5</v>
      </c>
      <c r="D31" s="2">
        <f>10681+1804</f>
        <v>12485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2025-04-13T01:32:23Z</dcterms:created>
  <dcterms:modified xsi:type="dcterms:W3CDTF">2025-05-08T19:01:57Z</dcterms:modified>
</cp:coreProperties>
</file>