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4805AF2D-BFFD-4BF8-9A7C-4F1B8D66DA11}" xr6:coauthVersionLast="47" xr6:coauthVersionMax="47" xr10:uidLastSave="{00000000-0000-0000-0000-000000000000}"/>
  <bookViews>
    <workbookView xWindow="-105" yWindow="0" windowWidth="14610" windowHeight="15585" activeTab="1" xr2:uid="{993E1CB9-6C29-4F74-831D-210C447B6F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7" i="2" l="1"/>
  <c r="X26" i="2"/>
  <c r="Q26" i="2"/>
  <c r="N2" i="2"/>
  <c r="O2" i="2"/>
  <c r="P2" i="2"/>
  <c r="Q2" i="2" s="1"/>
  <c r="R2" i="2" s="1"/>
  <c r="R7" i="2" s="1"/>
  <c r="N3" i="2"/>
  <c r="O3" i="2"/>
  <c r="P3" i="2"/>
  <c r="Q3" i="2"/>
  <c r="R3" i="2" s="1"/>
  <c r="N5" i="2"/>
  <c r="O5" i="2" s="1"/>
  <c r="P5" i="2" s="1"/>
  <c r="Q5" i="2" s="1"/>
  <c r="R5" i="2" s="1"/>
  <c r="S5" i="2" s="1"/>
  <c r="N10" i="2"/>
  <c r="O28" i="2"/>
  <c r="P28" i="2"/>
  <c r="Q28" i="2"/>
  <c r="R28" i="2"/>
  <c r="S28" i="2"/>
  <c r="T28" i="2"/>
  <c r="U28" i="2"/>
  <c r="V28" i="2"/>
  <c r="W28" i="2"/>
  <c r="N28" i="2"/>
  <c r="O10" i="2"/>
  <c r="P10" i="2" s="1"/>
  <c r="Q10" i="2" s="1"/>
  <c r="R10" i="2" s="1"/>
  <c r="L47" i="2"/>
  <c r="M47" i="2"/>
  <c r="K47" i="2"/>
  <c r="N34" i="2"/>
  <c r="K35" i="2"/>
  <c r="L35" i="2"/>
  <c r="K36" i="2"/>
  <c r="L36" i="2"/>
  <c r="M36" i="2"/>
  <c r="M35" i="2"/>
  <c r="K34" i="2"/>
  <c r="L34" i="2"/>
  <c r="M34" i="2"/>
  <c r="N9" i="2"/>
  <c r="O34" i="2"/>
  <c r="P34" i="2" s="1"/>
  <c r="O8" i="2"/>
  <c r="E53" i="2"/>
  <c r="E49" i="2" s="1"/>
  <c r="F49" i="2" s="1"/>
  <c r="G49" i="2" s="1"/>
  <c r="H49" i="2" s="1"/>
  <c r="I49" i="2" s="1"/>
  <c r="M49" i="2" s="1"/>
  <c r="N23" i="2" s="1"/>
  <c r="K6" i="2"/>
  <c r="L6" i="2"/>
  <c r="N4" i="2"/>
  <c r="E6" i="1"/>
  <c r="E3" i="1"/>
  <c r="K12" i="2"/>
  <c r="K21" i="2"/>
  <c r="L21" i="2"/>
  <c r="L12" i="2"/>
  <c r="M21" i="2"/>
  <c r="M6" i="2"/>
  <c r="M12" i="2"/>
  <c r="E8" i="1"/>
  <c r="M1" i="2"/>
  <c r="N1" i="2" s="1"/>
  <c r="O1" i="2" s="1"/>
  <c r="P1" i="2" s="1"/>
  <c r="Q1" i="2" s="1"/>
  <c r="R1" i="2" s="1"/>
  <c r="S1" i="2" s="1"/>
  <c r="T1" i="2" s="1"/>
  <c r="U1" i="2" s="1"/>
  <c r="V1" i="2" s="1"/>
  <c r="W1" i="2" s="1"/>
  <c r="E11" i="1"/>
  <c r="E12" i="1" s="1"/>
  <c r="E4" i="1"/>
  <c r="E7" i="1" s="1"/>
  <c r="E9" i="1" s="1"/>
  <c r="S10" i="2" l="1"/>
  <c r="T10" i="2" s="1"/>
  <c r="U10" i="2" s="1"/>
  <c r="V10" i="2" s="1"/>
  <c r="W10" i="2" s="1"/>
  <c r="Q7" i="2"/>
  <c r="P7" i="2"/>
  <c r="O7" i="2"/>
  <c r="N7" i="2"/>
  <c r="T5" i="2"/>
  <c r="U5" i="2" s="1"/>
  <c r="V5" i="2" s="1"/>
  <c r="W5" i="2" s="1"/>
  <c r="S2" i="2"/>
  <c r="L38" i="2"/>
  <c r="L15" i="2"/>
  <c r="L30" i="2" s="1"/>
  <c r="L22" i="2"/>
  <c r="L24" i="2" s="1"/>
  <c r="O4" i="2"/>
  <c r="K15" i="2"/>
  <c r="K30" i="2" s="1"/>
  <c r="M15" i="2"/>
  <c r="M30" i="2" s="1"/>
  <c r="K22" i="2"/>
  <c r="K24" i="2" s="1"/>
  <c r="M38" i="2"/>
  <c r="M22" i="2"/>
  <c r="M24" i="2" s="1"/>
  <c r="N6" i="2"/>
  <c r="N38" i="2" s="1"/>
  <c r="F10" i="1"/>
  <c r="F11" i="1"/>
  <c r="F12" i="1"/>
  <c r="P8" i="2" l="1"/>
  <c r="N17" i="2"/>
  <c r="N19" i="2"/>
  <c r="N16" i="2"/>
  <c r="N18" i="2"/>
  <c r="N20" i="2"/>
  <c r="T2" i="2"/>
  <c r="S7" i="2"/>
  <c r="O9" i="2"/>
  <c r="K26" i="2"/>
  <c r="K31" i="2" s="1"/>
  <c r="K43" i="2" s="1"/>
  <c r="K32" i="2"/>
  <c r="L26" i="2"/>
  <c r="L27" i="2" s="1"/>
  <c r="L32" i="2"/>
  <c r="P4" i="2"/>
  <c r="P6" i="2" s="1"/>
  <c r="O6" i="2"/>
  <c r="O38" i="2" s="1"/>
  <c r="K27" i="2"/>
  <c r="M26" i="2"/>
  <c r="M32" i="2"/>
  <c r="N11" i="2"/>
  <c r="Q8" i="2" l="1"/>
  <c r="O20" i="2"/>
  <c r="U2" i="2"/>
  <c r="T7" i="2"/>
  <c r="O18" i="2"/>
  <c r="O16" i="2"/>
  <c r="N21" i="2"/>
  <c r="O19" i="2"/>
  <c r="O17" i="2"/>
  <c r="P9" i="2"/>
  <c r="L31" i="2"/>
  <c r="L43" i="2" s="1"/>
  <c r="Q4" i="2"/>
  <c r="M27" i="2"/>
  <c r="M31" i="2"/>
  <c r="M43" i="2" s="1"/>
  <c r="O11" i="2"/>
  <c r="P38" i="2"/>
  <c r="S3" i="2" l="1"/>
  <c r="R8" i="2"/>
  <c r="P17" i="2"/>
  <c r="P16" i="2"/>
  <c r="O21" i="2"/>
  <c r="P19" i="2"/>
  <c r="P18" i="2"/>
  <c r="U7" i="2"/>
  <c r="V2" i="2"/>
  <c r="P20" i="2"/>
  <c r="Q9" i="2"/>
  <c r="R4" i="2"/>
  <c r="Q6" i="2"/>
  <c r="Q38" i="2" s="1"/>
  <c r="R6" i="2"/>
  <c r="P11" i="2"/>
  <c r="T3" i="2" l="1"/>
  <c r="S8" i="2"/>
  <c r="Q19" i="2"/>
  <c r="Q20" i="2"/>
  <c r="V7" i="2"/>
  <c r="W2" i="2"/>
  <c r="W7" i="2" s="1"/>
  <c r="Q18" i="2"/>
  <c r="Q16" i="2"/>
  <c r="P21" i="2"/>
  <c r="Q17" i="2"/>
  <c r="R9" i="2"/>
  <c r="S4" i="2"/>
  <c r="Q11" i="2"/>
  <c r="R38" i="2"/>
  <c r="U3" i="2" l="1"/>
  <c r="T8" i="2"/>
  <c r="R18" i="2"/>
  <c r="R17" i="2"/>
  <c r="R16" i="2"/>
  <c r="Q21" i="2"/>
  <c r="R20" i="2"/>
  <c r="R19" i="2"/>
  <c r="S9" i="2"/>
  <c r="T4" i="2"/>
  <c r="S6" i="2"/>
  <c r="S38" i="2" s="1"/>
  <c r="S20" i="2" s="1"/>
  <c r="R11" i="2"/>
  <c r="S17" i="2" l="1"/>
  <c r="V3" i="2"/>
  <c r="U8" i="2"/>
  <c r="R21" i="2"/>
  <c r="S18" i="2"/>
  <c r="S16" i="2"/>
  <c r="T9" i="2"/>
  <c r="S19" i="2"/>
  <c r="U4" i="2"/>
  <c r="T6" i="2"/>
  <c r="T38" i="2" s="1"/>
  <c r="T17" i="2" s="1"/>
  <c r="S11" i="2"/>
  <c r="W3" i="2" l="1"/>
  <c r="W8" i="2" s="1"/>
  <c r="V8" i="2"/>
  <c r="S21" i="2"/>
  <c r="T16" i="2"/>
  <c r="U9" i="2"/>
  <c r="V4" i="2"/>
  <c r="U6" i="2"/>
  <c r="U38" i="2" s="1"/>
  <c r="U17" i="2" s="1"/>
  <c r="T19" i="2"/>
  <c r="T18" i="2"/>
  <c r="U18" i="2" s="1"/>
  <c r="T20" i="2"/>
  <c r="U20" i="2" s="1"/>
  <c r="T11" i="2"/>
  <c r="U19" i="2" l="1"/>
  <c r="T21" i="2"/>
  <c r="U16" i="2"/>
  <c r="U21" i="2" s="1"/>
  <c r="W9" i="2"/>
  <c r="V9" i="2"/>
  <c r="W4" i="2"/>
  <c r="W6" i="2" s="1"/>
  <c r="V6" i="2"/>
  <c r="V38" i="2" s="1"/>
  <c r="V17" i="2" s="1"/>
  <c r="U11" i="2"/>
  <c r="V16" i="2" l="1"/>
  <c r="W38" i="2"/>
  <c r="W17" i="2" s="1"/>
  <c r="V19" i="2"/>
  <c r="W19" i="2" s="1"/>
  <c r="V18" i="2"/>
  <c r="W18" i="2" s="1"/>
  <c r="V20" i="2"/>
  <c r="W20" i="2" s="1"/>
  <c r="V11" i="2"/>
  <c r="V21" i="2" l="1"/>
  <c r="W16" i="2"/>
  <c r="W21" i="2" s="1"/>
  <c r="W11" i="2"/>
  <c r="N8" i="2"/>
  <c r="O12" i="2" l="1"/>
  <c r="N12" i="2"/>
  <c r="N15" i="2" l="1"/>
  <c r="N30" i="2" s="1"/>
  <c r="N22" i="2"/>
  <c r="N24" i="2" s="1"/>
  <c r="O22" i="2"/>
  <c r="O15" i="2"/>
  <c r="O30" i="2" s="1"/>
  <c r="P12" i="2"/>
  <c r="Q12" i="2" l="1"/>
  <c r="P22" i="2"/>
  <c r="P15" i="2"/>
  <c r="P30" i="2" s="1"/>
  <c r="N25" i="2"/>
  <c r="N26" i="2" s="1"/>
  <c r="N47" i="2" s="1"/>
  <c r="N49" i="2" l="1"/>
  <c r="N27" i="2"/>
  <c r="N31" i="2"/>
  <c r="N43" i="2" s="1"/>
  <c r="R12" i="2"/>
  <c r="Q22" i="2"/>
  <c r="Q15" i="2"/>
  <c r="Q30" i="2" s="1"/>
  <c r="R22" i="2" l="1"/>
  <c r="R15" i="2"/>
  <c r="R30" i="2" s="1"/>
  <c r="S12" i="2"/>
  <c r="O23" i="2"/>
  <c r="O24" i="2" s="1"/>
  <c r="O25" i="2" l="1"/>
  <c r="O26" i="2"/>
  <c r="O47" i="2" s="1"/>
  <c r="S15" i="2"/>
  <c r="S30" i="2" s="1"/>
  <c r="S22" i="2"/>
  <c r="T12" i="2"/>
  <c r="O31" i="2" l="1"/>
  <c r="O43" i="2" s="1"/>
  <c r="O27" i="2"/>
  <c r="O49" i="2"/>
  <c r="T15" i="2"/>
  <c r="T30" i="2" s="1"/>
  <c r="T22" i="2"/>
  <c r="U12" i="2"/>
  <c r="P23" i="2" l="1"/>
  <c r="P24" i="2" s="1"/>
  <c r="P25" i="2" s="1"/>
  <c r="P26" i="2" s="1"/>
  <c r="P47" i="2" s="1"/>
  <c r="V12" i="2"/>
  <c r="W12" i="2"/>
  <c r="U22" i="2"/>
  <c r="U15" i="2"/>
  <c r="U30" i="2" s="1"/>
  <c r="P27" i="2" l="1"/>
  <c r="P31" i="2"/>
  <c r="P43" i="2" s="1"/>
  <c r="P49" i="2"/>
  <c r="W15" i="2"/>
  <c r="W30" i="2" s="1"/>
  <c r="W22" i="2"/>
  <c r="V15" i="2"/>
  <c r="V30" i="2" s="1"/>
  <c r="V22" i="2"/>
  <c r="Q23" i="2" l="1"/>
  <c r="Q24" i="2" s="1"/>
  <c r="Q25" i="2" l="1"/>
  <c r="Q47" i="2" s="1"/>
  <c r="Q27" i="2" l="1"/>
  <c r="Q31" i="2"/>
  <c r="Q43" i="2" s="1"/>
  <c r="Q49" i="2"/>
  <c r="R23" i="2" l="1"/>
  <c r="R24" i="2" s="1"/>
  <c r="R25" i="2" l="1"/>
  <c r="R26" i="2"/>
  <c r="R49" i="2"/>
  <c r="S23" i="2" s="1"/>
  <c r="S24" i="2" s="1"/>
  <c r="R47" i="2"/>
  <c r="R31" i="2"/>
  <c r="R43" i="2" s="1"/>
  <c r="R27" i="2"/>
  <c r="S25" i="2" l="1"/>
  <c r="S26" i="2" s="1"/>
  <c r="S47" i="2" l="1"/>
  <c r="S27" i="2"/>
  <c r="S49" i="2"/>
  <c r="T23" i="2" s="1"/>
  <c r="T24" i="2" s="1"/>
  <c r="S31" i="2"/>
  <c r="S43" i="2" s="1"/>
  <c r="T25" i="2" l="1"/>
  <c r="T26" i="2" s="1"/>
  <c r="T47" i="2" l="1"/>
  <c r="T49" i="2"/>
  <c r="T27" i="2"/>
  <c r="T31" i="2"/>
  <c r="T43" i="2" s="1"/>
  <c r="U23" i="2" l="1"/>
  <c r="U24" i="2" s="1"/>
  <c r="U25" i="2" l="1"/>
  <c r="U26" i="2" s="1"/>
  <c r="U47" i="2" l="1"/>
  <c r="U27" i="2"/>
  <c r="U31" i="2"/>
  <c r="U43" i="2" s="1"/>
  <c r="U49" i="2"/>
  <c r="V23" i="2" l="1"/>
  <c r="V24" i="2" s="1"/>
  <c r="V25" i="2" l="1"/>
  <c r="V26" i="2" s="1"/>
  <c r="V47" i="2" l="1"/>
  <c r="V31" i="2"/>
  <c r="V43" i="2" s="1"/>
  <c r="V27" i="2"/>
  <c r="V49" i="2"/>
  <c r="W23" i="2" l="1"/>
  <c r="W24" i="2" s="1"/>
  <c r="W25" i="2" l="1"/>
  <c r="W26" i="2" l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W47" i="2"/>
  <c r="Y47" i="2" s="1"/>
  <c r="Z47" i="2" s="1"/>
  <c r="AA47" i="2" s="1"/>
  <c r="AB47" i="2" s="1"/>
  <c r="AC47" i="2" s="1"/>
  <c r="AD47" i="2" s="1"/>
  <c r="AE47" i="2" s="1"/>
  <c r="AF47" i="2" s="1"/>
  <c r="AG47" i="2" s="1"/>
  <c r="AH47" i="2" s="1"/>
  <c r="AI47" i="2" s="1"/>
  <c r="AJ47" i="2" s="1"/>
  <c r="AK47" i="2" s="1"/>
  <c r="AL47" i="2" s="1"/>
  <c r="AM47" i="2" s="1"/>
  <c r="AN47" i="2" s="1"/>
  <c r="AO47" i="2" s="1"/>
  <c r="AP47" i="2" s="1"/>
  <c r="AQ47" i="2" s="1"/>
  <c r="AR47" i="2" s="1"/>
  <c r="AS47" i="2" s="1"/>
  <c r="AT47" i="2" s="1"/>
  <c r="AU47" i="2" s="1"/>
  <c r="AV47" i="2" s="1"/>
  <c r="AW47" i="2" s="1"/>
  <c r="AX47" i="2" s="1"/>
  <c r="AY47" i="2" s="1"/>
  <c r="AZ47" i="2" s="1"/>
  <c r="BA47" i="2" s="1"/>
  <c r="BB47" i="2" s="1"/>
  <c r="BC47" i="2" s="1"/>
  <c r="BD47" i="2" s="1"/>
  <c r="BE47" i="2" s="1"/>
  <c r="BF47" i="2" s="1"/>
  <c r="BG47" i="2" s="1"/>
  <c r="BH47" i="2" s="1"/>
  <c r="BI47" i="2" s="1"/>
  <c r="BJ47" i="2" s="1"/>
  <c r="BK47" i="2" s="1"/>
  <c r="BL47" i="2" s="1"/>
  <c r="BM47" i="2" s="1"/>
  <c r="BN47" i="2" s="1"/>
  <c r="BO47" i="2" s="1"/>
  <c r="BP47" i="2" s="1"/>
  <c r="BQ47" i="2" s="1"/>
  <c r="BR47" i="2" s="1"/>
  <c r="BS47" i="2" s="1"/>
  <c r="BT47" i="2" s="1"/>
  <c r="BU47" i="2" s="1"/>
  <c r="BV47" i="2" s="1"/>
  <c r="BW47" i="2" s="1"/>
  <c r="BX47" i="2" s="1"/>
  <c r="BY47" i="2" s="1"/>
  <c r="BZ47" i="2" s="1"/>
  <c r="CA47" i="2" s="1"/>
  <c r="CB47" i="2" s="1"/>
  <c r="CC47" i="2" s="1"/>
  <c r="CD47" i="2" s="1"/>
  <c r="CE47" i="2" s="1"/>
  <c r="CF47" i="2" s="1"/>
  <c r="W31" i="2"/>
  <c r="W43" i="2" s="1"/>
  <c r="W27" i="2"/>
  <c r="W49" i="2"/>
  <c r="CG47" i="2" l="1"/>
  <c r="CH47" i="2" s="1"/>
  <c r="CI47" i="2" s="1"/>
  <c r="CJ47" i="2" s="1"/>
  <c r="CK47" i="2" s="1"/>
  <c r="CL47" i="2" s="1"/>
  <c r="CM47" i="2" s="1"/>
  <c r="CN47" i="2" s="1"/>
  <c r="CO47" i="2" s="1"/>
  <c r="CP47" i="2" s="1"/>
  <c r="CQ47" i="2" s="1"/>
  <c r="CR47" i="2" s="1"/>
  <c r="CS47" i="2" s="1"/>
  <c r="CT47" i="2" s="1"/>
  <c r="CU47" i="2" s="1"/>
  <c r="CV47" i="2" s="1"/>
  <c r="CW47" i="2" s="1"/>
  <c r="CX47" i="2" s="1"/>
  <c r="CY47" i="2" s="1"/>
  <c r="CZ47" i="2" s="1"/>
  <c r="DA47" i="2" s="1"/>
  <c r="DB47" i="2" s="1"/>
  <c r="DC47" i="2" s="1"/>
  <c r="DD47" i="2" s="1"/>
  <c r="DE47" i="2" s="1"/>
  <c r="DF47" i="2" s="1"/>
  <c r="DG47" i="2" s="1"/>
  <c r="DH47" i="2" s="1"/>
  <c r="DI47" i="2" s="1"/>
  <c r="DJ47" i="2" s="1"/>
  <c r="DK47" i="2" s="1"/>
  <c r="DL47" i="2" s="1"/>
  <c r="DM47" i="2" s="1"/>
  <c r="DN47" i="2" s="1"/>
  <c r="DO47" i="2" s="1"/>
  <c r="DP47" i="2" s="1"/>
  <c r="DQ47" i="2" s="1"/>
  <c r="DR47" i="2" s="1"/>
  <c r="DS47" i="2" s="1"/>
  <c r="DT47" i="2" s="1"/>
  <c r="Z32" i="2"/>
  <c r="Z33" i="2" s="1"/>
  <c r="Z34" i="2" s="1"/>
</calcChain>
</file>

<file path=xl/sharedStrings.xml><?xml version="1.0" encoding="utf-8"?>
<sst xmlns="http://schemas.openxmlformats.org/spreadsheetml/2006/main" count="77" uniqueCount="64">
  <si>
    <t>XYZ</t>
  </si>
  <si>
    <t>Price</t>
  </si>
  <si>
    <t>Shares</t>
  </si>
  <si>
    <t>MC</t>
  </si>
  <si>
    <t>Cash</t>
  </si>
  <si>
    <t>Debt</t>
  </si>
  <si>
    <t>EV</t>
  </si>
  <si>
    <t>FCF</t>
  </si>
  <si>
    <t>Run Rate</t>
  </si>
  <si>
    <t>NTM</t>
  </si>
  <si>
    <t>Q424</t>
  </si>
  <si>
    <t>Revenue</t>
  </si>
  <si>
    <t>Net Income</t>
  </si>
  <si>
    <t>Gross Margin</t>
  </si>
  <si>
    <t>Net Margin</t>
  </si>
  <si>
    <t>CFFO</t>
  </si>
  <si>
    <t>Q324</t>
  </si>
  <si>
    <t>Q124</t>
  </si>
  <si>
    <t>Q224</t>
  </si>
  <si>
    <t>Operating Income</t>
  </si>
  <si>
    <t>COGS</t>
  </si>
  <si>
    <t>Gross Profit</t>
  </si>
  <si>
    <t>Q125</t>
  </si>
  <si>
    <t>notes:</t>
  </si>
  <si>
    <t>"expect to leave 2025 at a Rule of 40 run rate"</t>
  </si>
  <si>
    <t>"achieve rule of 40 in 2026"</t>
  </si>
  <si>
    <t>Rule of X</t>
  </si>
  <si>
    <t>Rule of 40</t>
  </si>
  <si>
    <t>Rule of 40: growth rate + profit margin =&gt; 40%</t>
  </si>
  <si>
    <t>Rule of X: "growth should be valued more than FCF margin"</t>
  </si>
  <si>
    <t>(growth rate * multiplier (2-3x)) + FCF margin</t>
  </si>
  <si>
    <t>R&amp;D</t>
  </si>
  <si>
    <t>S&amp;M</t>
  </si>
  <si>
    <t>G&amp;A</t>
  </si>
  <si>
    <t>Taxes</t>
  </si>
  <si>
    <t>Maturity</t>
  </si>
  <si>
    <t>ROIC</t>
  </si>
  <si>
    <t>Discount</t>
  </si>
  <si>
    <t>NPV</t>
  </si>
  <si>
    <t>Diff</t>
  </si>
  <si>
    <t>CX</t>
  </si>
  <si>
    <t>EPS</t>
  </si>
  <si>
    <t>Revenue y/y</t>
  </si>
  <si>
    <t>Interest Income</t>
  </si>
  <si>
    <t>Pretax Income</t>
  </si>
  <si>
    <t>Square GP</t>
  </si>
  <si>
    <t>Cash App GP</t>
  </si>
  <si>
    <t>Operating Expenses</t>
  </si>
  <si>
    <t>Square y/y</t>
  </si>
  <si>
    <t>Cash App y/y</t>
  </si>
  <si>
    <t>Transaction-based</t>
  </si>
  <si>
    <t>Subscription &amp; Services</t>
  </si>
  <si>
    <t>Hardware</t>
  </si>
  <si>
    <t>Bitcoin</t>
  </si>
  <si>
    <t>Amortization</t>
  </si>
  <si>
    <t>Tax Rate</t>
  </si>
  <si>
    <t>Transaction &amp; Loan Loss</t>
  </si>
  <si>
    <t>Net Cash</t>
  </si>
  <si>
    <t>Q225</t>
  </si>
  <si>
    <t>Q325</t>
  </si>
  <si>
    <t>Q425</t>
  </si>
  <si>
    <t>Bitcoin GM</t>
  </si>
  <si>
    <t>Transaction GM</t>
  </si>
  <si>
    <t>Subscription 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</si>
</sst>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2" fillId="0" borderId="0" xfId="0" applyFont="1"/>
    <xf numFmtId="3" fontId="2" fillId="0" borderId="0" xfId="0" applyNumberFormat="1" applyFont="1"/>
    <xf numFmtId="4" fontId="2" fillId="0" borderId="0" xfId="0" applyNumberFormat="1" applyFont="1"/>
    <xf numFmtId="1" fontId="2" fillId="0" borderId="0" xfId="0" applyNumberFormat="1" applyFont="1"/>
    <xf numFmtId="9" fontId="2" fillId="0" borderId="0" xfId="0" applyNumberFormat="1" applyFont="1"/>
    <xf numFmtId="3" fontId="3" fillId="0" borderId="0" xfId="0" applyNumberFormat="1" applyFont="1"/>
    <xf numFmtId="9" fontId="3" fillId="0" borderId="0" xfId="0" applyNumberFormat="1" applyFont="1"/>
    <xf numFmtId="8" fontId="2" fillId="0" borderId="0" xfId="0" applyNumberFormat="1" applyFont="1"/>
    <xf numFmtId="164" fontId="2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19050</xdr:rowOff>
    </xdr:from>
    <xdr:to>
      <xdr:col>13</xdr:col>
      <xdr:colOff>9525</xdr:colOff>
      <xdr:row>53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C033D29-C3C1-6EDA-A265-609F5DECE16B}"/>
            </a:ext>
          </a:extLst>
        </xdr:cNvPr>
        <xdr:cNvCxnSpPr/>
      </xdr:nvCxnSpPr>
      <xdr:spPr>
        <a:xfrm flipH="1">
          <a:off x="8924925" y="19050"/>
          <a:ext cx="9525" cy="9801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0</xdr:row>
      <xdr:rowOff>0</xdr:rowOff>
    </xdr:from>
    <xdr:to>
      <xdr:col>6</xdr:col>
      <xdr:colOff>28575</xdr:colOff>
      <xdr:row>54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7A71A99-91D8-47FA-4086-8D1A60F26055}"/>
            </a:ext>
          </a:extLst>
        </xdr:cNvPr>
        <xdr:cNvCxnSpPr/>
      </xdr:nvCxnSpPr>
      <xdr:spPr>
        <a:xfrm>
          <a:off x="4648200" y="0"/>
          <a:ext cx="38100" cy="99917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38871-36D9-4410-9561-C7A7B2E935BD}">
  <dimension ref="A1:F12"/>
  <sheetViews>
    <sheetView topLeftCell="B1" zoomScale="235" zoomScaleNormal="235" workbookViewId="0">
      <selection activeCell="E6" sqref="E6"/>
    </sheetView>
  </sheetViews>
  <sheetFormatPr defaultRowHeight="14.25" x14ac:dyDescent="0.2"/>
  <cols>
    <col min="1" max="16384" width="9.140625" style="2"/>
  </cols>
  <sheetData>
    <row r="1" spans="1:6" ht="15" x14ac:dyDescent="0.25">
      <c r="A1" s="1" t="s">
        <v>0</v>
      </c>
    </row>
    <row r="2" spans="1:6" x14ac:dyDescent="0.2">
      <c r="B2" s="2" t="s">
        <v>23</v>
      </c>
      <c r="D2" s="2" t="s">
        <v>1</v>
      </c>
      <c r="E2" s="3">
        <v>50</v>
      </c>
    </row>
    <row r="3" spans="1:6" x14ac:dyDescent="0.2">
      <c r="A3" s="2" t="s">
        <v>24</v>
      </c>
      <c r="D3" s="2" t="s">
        <v>2</v>
      </c>
      <c r="E3" s="3">
        <f>555+60</f>
        <v>615</v>
      </c>
      <c r="F3" s="2" t="s">
        <v>22</v>
      </c>
    </row>
    <row r="4" spans="1:6" x14ac:dyDescent="0.2">
      <c r="A4" s="2" t="s">
        <v>25</v>
      </c>
      <c r="D4" s="2" t="s">
        <v>3</v>
      </c>
      <c r="E4" s="3">
        <f>E3*E2</f>
        <v>30750</v>
      </c>
    </row>
    <row r="5" spans="1:6" x14ac:dyDescent="0.2">
      <c r="A5" s="2" t="s">
        <v>28</v>
      </c>
      <c r="D5" s="2" t="s">
        <v>4</v>
      </c>
      <c r="E5" s="3">
        <v>7088.83</v>
      </c>
      <c r="F5" s="2" t="s">
        <v>22</v>
      </c>
    </row>
    <row r="6" spans="1:6" x14ac:dyDescent="0.2">
      <c r="A6" s="2" t="s">
        <v>29</v>
      </c>
      <c r="D6" s="2" t="s">
        <v>5</v>
      </c>
      <c r="E6" s="3">
        <f>619+5108.4+546.4</f>
        <v>6273.7999999999993</v>
      </c>
      <c r="F6" s="2" t="s">
        <v>22</v>
      </c>
    </row>
    <row r="7" spans="1:6" x14ac:dyDescent="0.2">
      <c r="A7" s="2" t="s">
        <v>30</v>
      </c>
      <c r="D7" s="2" t="s">
        <v>6</v>
      </c>
      <c r="E7" s="3">
        <f>E4+E6-E5</f>
        <v>29934.97</v>
      </c>
    </row>
    <row r="8" spans="1:6" x14ac:dyDescent="0.2">
      <c r="E8" s="3">
        <f>228.333333333333*4</f>
        <v>913.33333333333201</v>
      </c>
    </row>
    <row r="9" spans="1:6" x14ac:dyDescent="0.2">
      <c r="E9" s="2">
        <f>E7/E8</f>
        <v>32.775514598540198</v>
      </c>
    </row>
    <row r="10" spans="1:6" x14ac:dyDescent="0.2">
      <c r="D10" s="2" t="s">
        <v>7</v>
      </c>
      <c r="E10" s="3">
        <v>628.16399999999999</v>
      </c>
      <c r="F10" s="4">
        <f>$E$7/E10</f>
        <v>47.654704822307551</v>
      </c>
    </row>
    <row r="11" spans="1:6" x14ac:dyDescent="0.2">
      <c r="D11" s="2" t="s">
        <v>8</v>
      </c>
      <c r="E11" s="3">
        <f>E10*4</f>
        <v>2512.6559999999999</v>
      </c>
      <c r="F11" s="4">
        <f>$E$7/E11</f>
        <v>11.913676205576888</v>
      </c>
    </row>
    <row r="12" spans="1:6" x14ac:dyDescent="0.2">
      <c r="D12" s="2" t="s">
        <v>9</v>
      </c>
      <c r="E12" s="3">
        <f>E11*1.1</f>
        <v>2763.9216000000001</v>
      </c>
      <c r="F12" s="4">
        <f>$E$7/E12</f>
        <v>10.830614732342625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9DA1-102B-490D-A61C-C357F954C48A}">
  <dimension ref="A1:DT53"/>
  <sheetViews>
    <sheetView tabSelected="1" workbookViewId="0">
      <pane xSplit="1" ySplit="1" topLeftCell="P12" activePane="bottomRight" state="frozen"/>
      <selection pane="topRight" activeCell="B1" sqref="B1"/>
      <selection pane="bottomLeft" activeCell="A2" sqref="A2"/>
      <selection pane="bottomRight" activeCell="V44" sqref="V44"/>
    </sheetView>
  </sheetViews>
  <sheetFormatPr defaultRowHeight="14.25" x14ac:dyDescent="0.2"/>
  <cols>
    <col min="1" max="1" width="24.5703125" style="3" customWidth="1"/>
    <col min="2" max="2" width="8.7109375" style="3" customWidth="1"/>
    <col min="3" max="18" width="9.140625" style="3"/>
    <col min="19" max="19" width="10.85546875" style="3" bestFit="1" customWidth="1"/>
    <col min="20" max="16384" width="9.140625" style="3"/>
  </cols>
  <sheetData>
    <row r="1" spans="1:23" x14ac:dyDescent="0.2">
      <c r="B1" s="3" t="s">
        <v>17</v>
      </c>
      <c r="C1" s="3" t="s">
        <v>18</v>
      </c>
      <c r="D1" s="3" t="s">
        <v>16</v>
      </c>
      <c r="E1" s="3" t="s">
        <v>10</v>
      </c>
      <c r="F1" s="3" t="s">
        <v>22</v>
      </c>
      <c r="G1" s="3" t="s">
        <v>58</v>
      </c>
      <c r="H1" s="3" t="s">
        <v>59</v>
      </c>
      <c r="I1" s="3" t="s">
        <v>60</v>
      </c>
      <c r="K1" s="5">
        <v>2022</v>
      </c>
      <c r="L1" s="5">
        <v>2023</v>
      </c>
      <c r="M1" s="5">
        <f t="shared" ref="M1:R1" si="0">L1+1</f>
        <v>2024</v>
      </c>
      <c r="N1" s="5">
        <f t="shared" si="0"/>
        <v>2025</v>
      </c>
      <c r="O1" s="5">
        <f t="shared" si="0"/>
        <v>2026</v>
      </c>
      <c r="P1" s="5">
        <f t="shared" si="0"/>
        <v>2027</v>
      </c>
      <c r="Q1" s="5">
        <f t="shared" si="0"/>
        <v>2028</v>
      </c>
      <c r="R1" s="5">
        <f t="shared" si="0"/>
        <v>2029</v>
      </c>
      <c r="S1" s="5">
        <f t="shared" ref="S1" si="1">R1+1</f>
        <v>2030</v>
      </c>
      <c r="T1" s="5">
        <f t="shared" ref="T1" si="2">S1+1</f>
        <v>2031</v>
      </c>
      <c r="U1" s="5">
        <f t="shared" ref="U1" si="3">T1+1</f>
        <v>2032</v>
      </c>
      <c r="V1" s="5">
        <f t="shared" ref="V1" si="4">U1+1</f>
        <v>2033</v>
      </c>
      <c r="W1" s="5">
        <f t="shared" ref="W1" si="5">V1+1</f>
        <v>2034</v>
      </c>
    </row>
    <row r="2" spans="1:23" x14ac:dyDescent="0.2">
      <c r="A2" s="3" t="s">
        <v>50</v>
      </c>
      <c r="K2" s="3">
        <v>5701.54</v>
      </c>
      <c r="L2" s="3">
        <v>6315.3</v>
      </c>
      <c r="M2" s="3">
        <v>6613.7</v>
      </c>
      <c r="N2" s="3">
        <f>M2*1.07</f>
        <v>7076.6590000000006</v>
      </c>
      <c r="O2" s="3">
        <f t="shared" ref="O2:R2" si="6">N2*1.07</f>
        <v>7572.0251300000009</v>
      </c>
      <c r="P2" s="3">
        <f t="shared" si="6"/>
        <v>8102.0668891000014</v>
      </c>
      <c r="Q2" s="3">
        <f t="shared" si="6"/>
        <v>8669.2115713370022</v>
      </c>
      <c r="R2" s="3">
        <f t="shared" si="6"/>
        <v>9276.0563813305926</v>
      </c>
      <c r="S2" s="3">
        <f>R2*1.03</f>
        <v>9554.3380727705098</v>
      </c>
      <c r="T2" s="3">
        <f t="shared" ref="T2:W2" si="7">S2*1.03</f>
        <v>9840.9682149536256</v>
      </c>
      <c r="U2" s="3">
        <f t="shared" si="7"/>
        <v>10136.197261402234</v>
      </c>
      <c r="V2" s="3">
        <f t="shared" si="7"/>
        <v>10440.283179244301</v>
      </c>
      <c r="W2" s="3">
        <f t="shared" si="7"/>
        <v>10753.491674621631</v>
      </c>
    </row>
    <row r="3" spans="1:23" x14ac:dyDescent="0.2">
      <c r="A3" s="3" t="s">
        <v>51</v>
      </c>
      <c r="I3" s="6"/>
      <c r="J3" s="6"/>
      <c r="K3" s="3">
        <v>4552.8</v>
      </c>
      <c r="L3" s="3">
        <v>5944.8</v>
      </c>
      <c r="M3" s="3">
        <v>7164.8</v>
      </c>
      <c r="N3" s="3">
        <f>M3*1.1</f>
        <v>7881.2800000000007</v>
      </c>
      <c r="O3" s="3">
        <f t="shared" ref="O3:R3" si="8">N3*1.1</f>
        <v>8669.4080000000013</v>
      </c>
      <c r="P3" s="3">
        <f t="shared" si="8"/>
        <v>9536.3488000000016</v>
      </c>
      <c r="Q3" s="3">
        <f t="shared" si="8"/>
        <v>10489.983680000003</v>
      </c>
      <c r="R3" s="3">
        <f t="shared" si="8"/>
        <v>11538.982048000003</v>
      </c>
      <c r="S3" s="3">
        <f>R3*1.05</f>
        <v>12115.931150400003</v>
      </c>
      <c r="T3" s="3">
        <f t="shared" ref="T3:W3" si="9">S3*1.05</f>
        <v>12721.727707920005</v>
      </c>
      <c r="U3" s="3">
        <f t="shared" si="9"/>
        <v>13357.814093316005</v>
      </c>
      <c r="V3" s="3">
        <f t="shared" si="9"/>
        <v>14025.704797981805</v>
      </c>
      <c r="W3" s="3">
        <f t="shared" si="9"/>
        <v>14726.990037880896</v>
      </c>
    </row>
    <row r="4" spans="1:23" x14ac:dyDescent="0.2">
      <c r="A4" s="3" t="s">
        <v>52</v>
      </c>
      <c r="K4" s="3">
        <v>164.4</v>
      </c>
      <c r="L4" s="3">
        <v>157.19999999999999</v>
      </c>
      <c r="M4" s="3">
        <v>143.30000000000001</v>
      </c>
      <c r="N4" s="3">
        <f>M4*1.07</f>
        <v>153.33100000000002</v>
      </c>
      <c r="O4" s="3">
        <f t="shared" ref="O4:R4" si="10">N4*1.07</f>
        <v>164.06417000000002</v>
      </c>
      <c r="P4" s="3">
        <f t="shared" si="10"/>
        <v>175.54866190000004</v>
      </c>
      <c r="Q4" s="3">
        <f t="shared" si="10"/>
        <v>187.83706823300005</v>
      </c>
      <c r="R4" s="3">
        <f t="shared" si="10"/>
        <v>200.98566300931006</v>
      </c>
      <c r="S4" s="3">
        <f t="shared" ref="S4:W4" si="11">R4*1.07</f>
        <v>215.05465941996178</v>
      </c>
      <c r="T4" s="3">
        <f t="shared" si="11"/>
        <v>230.10848557935913</v>
      </c>
      <c r="U4" s="3">
        <f t="shared" si="11"/>
        <v>246.21607956991429</v>
      </c>
      <c r="V4" s="3">
        <f t="shared" si="11"/>
        <v>263.45120513980828</v>
      </c>
      <c r="W4" s="3">
        <f t="shared" si="11"/>
        <v>281.89278949959487</v>
      </c>
    </row>
    <row r="5" spans="1:23" x14ac:dyDescent="0.2">
      <c r="A5" s="3" t="s">
        <v>53</v>
      </c>
      <c r="K5" s="3">
        <v>7112.9</v>
      </c>
      <c r="L5" s="3">
        <v>9498.2999999999993</v>
      </c>
      <c r="M5" s="3">
        <v>10199.200000000001</v>
      </c>
      <c r="N5" s="3">
        <f>M5*1.05</f>
        <v>10709.160000000002</v>
      </c>
      <c r="O5" s="3">
        <f t="shared" ref="O5:R5" si="12">N5*1.05</f>
        <v>11244.618000000002</v>
      </c>
      <c r="P5" s="3">
        <f t="shared" si="12"/>
        <v>11806.848900000003</v>
      </c>
      <c r="Q5" s="3">
        <f t="shared" si="12"/>
        <v>12397.191345000003</v>
      </c>
      <c r="R5" s="3">
        <f t="shared" si="12"/>
        <v>13017.050912250004</v>
      </c>
      <c r="S5" s="3">
        <f>R5*1.02</f>
        <v>13277.391930495005</v>
      </c>
      <c r="T5" s="3">
        <f t="shared" ref="T5:W5" si="13">S5*1.02</f>
        <v>13542.939769104905</v>
      </c>
      <c r="U5" s="3">
        <f t="shared" si="13"/>
        <v>13813.798564487004</v>
      </c>
      <c r="V5" s="3">
        <f t="shared" si="13"/>
        <v>14090.074535776745</v>
      </c>
      <c r="W5" s="3">
        <f t="shared" si="13"/>
        <v>14371.87602649228</v>
      </c>
    </row>
    <row r="6" spans="1:23" ht="15" x14ac:dyDescent="0.25">
      <c r="A6" s="7" t="s">
        <v>11</v>
      </c>
      <c r="B6" s="7">
        <v>5957</v>
      </c>
      <c r="C6" s="7">
        <v>6155</v>
      </c>
      <c r="D6" s="7">
        <v>5975.8</v>
      </c>
      <c r="E6" s="7"/>
      <c r="F6" s="7"/>
      <c r="G6" s="7"/>
      <c r="H6" s="7"/>
      <c r="I6" s="7"/>
      <c r="J6" s="7"/>
      <c r="K6" s="7">
        <f>SUM(K2:K5)</f>
        <v>17531.64</v>
      </c>
      <c r="L6" s="7">
        <f>SUM(L2:L5)</f>
        <v>21915.599999999999</v>
      </c>
      <c r="M6" s="7">
        <f>SUM(M2:M5)</f>
        <v>24121</v>
      </c>
      <c r="N6" s="7">
        <f>SUM(N2:N5)</f>
        <v>25820.430000000004</v>
      </c>
      <c r="O6" s="7">
        <f t="shared" ref="O6:R6" si="14">SUM(O2:O5)</f>
        <v>27650.115300000005</v>
      </c>
      <c r="P6" s="7">
        <f t="shared" si="14"/>
        <v>29620.813251000007</v>
      </c>
      <c r="Q6" s="7">
        <f t="shared" si="14"/>
        <v>31744.223664570007</v>
      </c>
      <c r="R6" s="7">
        <f t="shared" si="14"/>
        <v>34033.075004589911</v>
      </c>
      <c r="S6" s="7">
        <f t="shared" ref="S6:W6" si="15">SUM(S2:S5)</f>
        <v>35162.71581308548</v>
      </c>
      <c r="T6" s="7">
        <f t="shared" si="15"/>
        <v>36335.744177557892</v>
      </c>
      <c r="U6" s="7">
        <f t="shared" si="15"/>
        <v>37554.025998775156</v>
      </c>
      <c r="V6" s="7">
        <f t="shared" si="15"/>
        <v>38819.513718142654</v>
      </c>
      <c r="W6" s="7">
        <f t="shared" si="15"/>
        <v>40134.250528494405</v>
      </c>
    </row>
    <row r="7" spans="1:23" x14ac:dyDescent="0.2">
      <c r="A7" s="3" t="s">
        <v>50</v>
      </c>
      <c r="K7" s="3">
        <v>3364</v>
      </c>
      <c r="L7" s="3">
        <v>3702</v>
      </c>
      <c r="M7" s="3">
        <v>3881</v>
      </c>
      <c r="N7" s="3">
        <f>N2*(1-N34)</f>
        <v>4094.1902200000004</v>
      </c>
      <c r="O7" s="3">
        <f t="shared" ref="O7:W7" si="16">O2*(1-O34)</f>
        <v>4316.9587035080003</v>
      </c>
      <c r="P7" s="3">
        <f t="shared" si="16"/>
        <v>4549.4873912266321</v>
      </c>
      <c r="Q7" s="3">
        <f t="shared" si="16"/>
        <v>4768.066364235352</v>
      </c>
      <c r="R7" s="3">
        <f t="shared" si="16"/>
        <v>5101.8310097318263</v>
      </c>
      <c r="S7" s="3">
        <f t="shared" si="16"/>
        <v>5254.8859400237807</v>
      </c>
      <c r="T7" s="3">
        <f t="shared" si="16"/>
        <v>5412.5325182244942</v>
      </c>
      <c r="U7" s="3">
        <f t="shared" si="16"/>
        <v>5574.9084937712296</v>
      </c>
      <c r="V7" s="3">
        <f t="shared" si="16"/>
        <v>5742.1557485843659</v>
      </c>
      <c r="W7" s="3">
        <f t="shared" si="16"/>
        <v>5914.4204210418975</v>
      </c>
    </row>
    <row r="8" spans="1:23" x14ac:dyDescent="0.2">
      <c r="A8" s="3" t="s">
        <v>51</v>
      </c>
      <c r="K8" s="3">
        <v>861.8</v>
      </c>
      <c r="L8" s="3">
        <v>1075.0999999999999</v>
      </c>
      <c r="M8" s="3">
        <v>1135.8</v>
      </c>
      <c r="N8" s="3">
        <f t="shared" ref="N8:W9" si="17">N3*(1-N35)</f>
        <v>1182.1920000000002</v>
      </c>
      <c r="O8" s="3">
        <f t="shared" si="17"/>
        <v>1300.4112000000005</v>
      </c>
      <c r="P8" s="3">
        <f t="shared" si="17"/>
        <v>1430.4523200000006</v>
      </c>
      <c r="Q8" s="3">
        <f t="shared" si="17"/>
        <v>1573.4975520000007</v>
      </c>
      <c r="R8" s="3">
        <f t="shared" si="17"/>
        <v>1730.8473072000008</v>
      </c>
      <c r="S8" s="3">
        <f t="shared" si="17"/>
        <v>1817.3896725600007</v>
      </c>
      <c r="T8" s="3">
        <f t="shared" si="17"/>
        <v>1908.259156188001</v>
      </c>
      <c r="U8" s="3">
        <f t="shared" si="17"/>
        <v>2003.6721139974011</v>
      </c>
      <c r="V8" s="3">
        <f t="shared" si="17"/>
        <v>2103.8557196972711</v>
      </c>
      <c r="W8" s="3">
        <f t="shared" si="17"/>
        <v>2209.0485056821349</v>
      </c>
    </row>
    <row r="9" spans="1:23" x14ac:dyDescent="0.2">
      <c r="A9" s="3" t="s">
        <v>52</v>
      </c>
      <c r="K9" s="3">
        <v>287</v>
      </c>
      <c r="L9" s="3">
        <v>267.60000000000002</v>
      </c>
      <c r="M9" s="3">
        <v>236.4</v>
      </c>
      <c r="N9" s="3">
        <f t="shared" si="17"/>
        <v>148.73107000000002</v>
      </c>
      <c r="O9" s="3">
        <f t="shared" si="17"/>
        <v>159.14224490000001</v>
      </c>
      <c r="P9" s="3">
        <f t="shared" si="17"/>
        <v>170.28220204300004</v>
      </c>
      <c r="Q9" s="3">
        <f t="shared" si="17"/>
        <v>182.20195618601005</v>
      </c>
      <c r="R9" s="3">
        <f t="shared" si="17"/>
        <v>194.95609311903075</v>
      </c>
      <c r="S9" s="3">
        <f t="shared" si="17"/>
        <v>208.60301963736293</v>
      </c>
      <c r="T9" s="3">
        <f t="shared" si="17"/>
        <v>223.20523101197836</v>
      </c>
      <c r="U9" s="3">
        <f t="shared" si="17"/>
        <v>238.82959718281685</v>
      </c>
      <c r="V9" s="3">
        <f t="shared" si="17"/>
        <v>255.54766898561402</v>
      </c>
      <c r="W9" s="3">
        <f t="shared" si="17"/>
        <v>273.43600581460703</v>
      </c>
    </row>
    <row r="10" spans="1:23" x14ac:dyDescent="0.2">
      <c r="A10" s="3" t="s">
        <v>53</v>
      </c>
      <c r="K10" s="3">
        <v>6956.7</v>
      </c>
      <c r="L10" s="3">
        <v>9293.1</v>
      </c>
      <c r="M10" s="3">
        <v>9910.4</v>
      </c>
      <c r="N10" s="3">
        <f>M10*(1+N36)</f>
        <v>10207.712</v>
      </c>
      <c r="O10" s="3">
        <f t="shared" ref="O10:W10" si="18">N10*(1+O36)</f>
        <v>10513.943359999999</v>
      </c>
      <c r="P10" s="3">
        <f t="shared" si="18"/>
        <v>10829.361660799999</v>
      </c>
      <c r="Q10" s="3">
        <f t="shared" si="18"/>
        <v>11154.242510623999</v>
      </c>
      <c r="R10" s="3">
        <f t="shared" si="18"/>
        <v>11488.869785942719</v>
      </c>
      <c r="S10" s="3">
        <f t="shared" si="18"/>
        <v>11833.535879521001</v>
      </c>
      <c r="T10" s="3">
        <f t="shared" si="18"/>
        <v>12188.541955906632</v>
      </c>
      <c r="U10" s="3">
        <f t="shared" si="18"/>
        <v>12554.198214583832</v>
      </c>
      <c r="V10" s="3">
        <f t="shared" si="18"/>
        <v>12930.824161021348</v>
      </c>
      <c r="W10" s="3">
        <f t="shared" si="18"/>
        <v>13318.748885851988</v>
      </c>
    </row>
    <row r="11" spans="1:23" x14ac:dyDescent="0.2">
      <c r="A11" s="3" t="s">
        <v>54</v>
      </c>
      <c r="K11" s="3">
        <v>70.2</v>
      </c>
      <c r="L11" s="3">
        <v>72.8</v>
      </c>
      <c r="M11" s="3">
        <v>68.3</v>
      </c>
      <c r="N11" s="3">
        <f>M11*(1+N38)</f>
        <v>73.112033870900888</v>
      </c>
      <c r="O11" s="3">
        <f>N11*(1+O38)</f>
        <v>78.292893121761125</v>
      </c>
      <c r="P11" s="3">
        <f>O11*(1+P38)</f>
        <v>83.873037811172836</v>
      </c>
      <c r="Q11" s="3">
        <f>P11*(1+Q38)</f>
        <v>89.885596629083821</v>
      </c>
      <c r="R11" s="3">
        <f>Q11*(1+R38)</f>
        <v>96.366610953670673</v>
      </c>
      <c r="S11" s="3">
        <f>R11*(1+S38)</f>
        <v>99.565253929511115</v>
      </c>
      <c r="T11" s="3">
        <f>S11*(1+T38)</f>
        <v>102.88675126765902</v>
      </c>
      <c r="U11" s="3">
        <f>T11*(1+U38)</f>
        <v>106.33638637354763</v>
      </c>
      <c r="V11" s="3">
        <f>U11*(1+V38)</f>
        <v>109.91968769740652</v>
      </c>
      <c r="W11" s="3">
        <f>V11*(1+W38)</f>
        <v>113.64244065735944</v>
      </c>
    </row>
    <row r="12" spans="1:23" x14ac:dyDescent="0.2">
      <c r="A12" s="3" t="s">
        <v>20</v>
      </c>
      <c r="K12" s="3">
        <f t="shared" ref="K12:R12" si="19">SUM(K7:K11)</f>
        <v>11539.7</v>
      </c>
      <c r="L12" s="3">
        <f t="shared" si="19"/>
        <v>14410.6</v>
      </c>
      <c r="M12" s="3">
        <f t="shared" si="19"/>
        <v>15231.899999999998</v>
      </c>
      <c r="N12" s="3">
        <f t="shared" si="19"/>
        <v>15705.937323870901</v>
      </c>
      <c r="O12" s="3">
        <f t="shared" si="19"/>
        <v>16368.748401529761</v>
      </c>
      <c r="P12" s="3">
        <f t="shared" si="19"/>
        <v>17063.456611880803</v>
      </c>
      <c r="Q12" s="3">
        <f t="shared" si="19"/>
        <v>17767.893979674445</v>
      </c>
      <c r="R12" s="3">
        <f t="shared" si="19"/>
        <v>18612.870806947249</v>
      </c>
      <c r="S12" s="3">
        <f t="shared" ref="S12:W12" si="20">SUM(S7:S11)</f>
        <v>19213.979765671658</v>
      </c>
      <c r="T12" s="3">
        <f t="shared" si="20"/>
        <v>19835.425612598763</v>
      </c>
      <c r="U12" s="3">
        <f t="shared" si="20"/>
        <v>20477.944805908824</v>
      </c>
      <c r="V12" s="3">
        <f t="shared" si="20"/>
        <v>21142.302985986003</v>
      </c>
      <c r="W12" s="3">
        <f t="shared" si="20"/>
        <v>21829.296259047987</v>
      </c>
    </row>
    <row r="13" spans="1:23" x14ac:dyDescent="0.2">
      <c r="A13" s="3" t="s">
        <v>45</v>
      </c>
      <c r="M13" s="6"/>
    </row>
    <row r="14" spans="1:23" x14ac:dyDescent="0.2">
      <c r="A14" s="3" t="s">
        <v>46</v>
      </c>
    </row>
    <row r="15" spans="1:23" x14ac:dyDescent="0.2">
      <c r="A15" s="3" t="s">
        <v>21</v>
      </c>
      <c r="K15" s="3">
        <f>K6-K12</f>
        <v>5991.9399999999987</v>
      </c>
      <c r="L15" s="3">
        <f>L6-L12</f>
        <v>7504.9999999999982</v>
      </c>
      <c r="M15" s="3">
        <f>M6-M12</f>
        <v>8889.1000000000022</v>
      </c>
      <c r="N15" s="3">
        <f t="shared" ref="N15:R15" si="21">N6-N12</f>
        <v>10114.492676129103</v>
      </c>
      <c r="O15" s="3">
        <f t="shared" si="21"/>
        <v>11281.366898470244</v>
      </c>
      <c r="P15" s="3">
        <f t="shared" si="21"/>
        <v>12557.356639119203</v>
      </c>
      <c r="Q15" s="3">
        <f t="shared" si="21"/>
        <v>13976.329684895562</v>
      </c>
      <c r="R15" s="3">
        <f t="shared" si="21"/>
        <v>15420.204197642663</v>
      </c>
      <c r="S15" s="3">
        <f t="shared" ref="S15:W15" si="22">S6-S12</f>
        <v>15948.736047413822</v>
      </c>
      <c r="T15" s="3">
        <f t="shared" si="22"/>
        <v>16500.318564959129</v>
      </c>
      <c r="U15" s="3">
        <f t="shared" si="22"/>
        <v>17076.081192866332</v>
      </c>
      <c r="V15" s="3">
        <f t="shared" si="22"/>
        <v>17677.210732156651</v>
      </c>
      <c r="W15" s="3">
        <f t="shared" si="22"/>
        <v>18304.954269446418</v>
      </c>
    </row>
    <row r="16" spans="1:23" x14ac:dyDescent="0.2">
      <c r="A16" s="3" t="s">
        <v>31</v>
      </c>
      <c r="K16" s="3">
        <v>2135.6</v>
      </c>
      <c r="L16" s="3">
        <v>2720.8</v>
      </c>
      <c r="M16" s="3">
        <v>2914.4</v>
      </c>
      <c r="N16" s="3">
        <f>M16*(1+N38)</f>
        <v>3119.7322329919994</v>
      </c>
      <c r="O16" s="3">
        <f>N16*(1+O38)</f>
        <v>3340.8024555499364</v>
      </c>
      <c r="P16" s="3">
        <f>O16*(1+P38)</f>
        <v>3578.9104157669426</v>
      </c>
      <c r="Q16" s="3">
        <f>P16*(1+Q38)</f>
        <v>3835.4697337599118</v>
      </c>
      <c r="R16" s="3">
        <f>Q16*(1+R38)</f>
        <v>4112.0183157156353</v>
      </c>
      <c r="S16" s="3">
        <f>R16*(1+S38)</f>
        <v>4248.5062379526689</v>
      </c>
      <c r="T16" s="3">
        <f>S16*(1+T38)</f>
        <v>4390.2364259804617</v>
      </c>
      <c r="U16" s="3">
        <f>T16*(1+U38)</f>
        <v>4537.4343257257287</v>
      </c>
      <c r="V16" s="3">
        <f>U16*(1+V38)</f>
        <v>4690.3358393165681</v>
      </c>
      <c r="W16" s="3">
        <f>V16*(1+W38)</f>
        <v>4849.1878338478537</v>
      </c>
    </row>
    <row r="17" spans="1:83" x14ac:dyDescent="0.2">
      <c r="A17" s="3" t="s">
        <v>32</v>
      </c>
      <c r="K17" s="3">
        <v>2058</v>
      </c>
      <c r="L17" s="3">
        <v>2019</v>
      </c>
      <c r="M17" s="3">
        <v>1984.2</v>
      </c>
      <c r="N17" s="3">
        <f>M17*(1+N38)</f>
        <v>2123.9955725716186</v>
      </c>
      <c r="O17" s="3">
        <f>N17*(1+O38)</f>
        <v>2274.5059814377519</v>
      </c>
      <c r="P17" s="3">
        <f>O17*(1+P38)</f>
        <v>2436.6161292083334</v>
      </c>
      <c r="Q17" s="3">
        <f>P17*(1+Q38)</f>
        <v>2611.2884455553171</v>
      </c>
      <c r="R17" s="3">
        <f>Q17*(1+R38)</f>
        <v>2799.569977368571</v>
      </c>
      <c r="S17" s="3">
        <f>R17*(1+S38)</f>
        <v>2892.4945365583603</v>
      </c>
      <c r="T17" s="3">
        <f>S17*(1+T38)</f>
        <v>2988.9881678666047</v>
      </c>
      <c r="U17" s="3">
        <f>T17*(1+U38)</f>
        <v>3089.2043607963874</v>
      </c>
      <c r="V17" s="3">
        <f>U17*(1+V38)</f>
        <v>3193.3037237070876</v>
      </c>
      <c r="W17" s="3">
        <f>V17*(1+W38)</f>
        <v>3301.4543301952076</v>
      </c>
    </row>
    <row r="18" spans="1:83" x14ac:dyDescent="0.2">
      <c r="A18" s="3" t="s">
        <v>33</v>
      </c>
      <c r="K18" s="3">
        <v>1686.9</v>
      </c>
      <c r="L18" s="3">
        <v>2209.1999999999998</v>
      </c>
      <c r="M18" s="3">
        <v>2149.1</v>
      </c>
      <c r="N18" s="3">
        <f>M18*(1+N38)</f>
        <v>2300.5134991501182</v>
      </c>
      <c r="O18" s="3">
        <f>N18*(1+O38)</f>
        <v>2463.5323075838478</v>
      </c>
      <c r="P18" s="3">
        <f>O18*(1+P38)</f>
        <v>2639.1148691067574</v>
      </c>
      <c r="Q18" s="3">
        <f>P18*(1+Q38)</f>
        <v>2828.3035975924454</v>
      </c>
      <c r="R18" s="3">
        <f>Q18*(1+R38)</f>
        <v>3032.2325563767731</v>
      </c>
      <c r="S18" s="3">
        <f>R18*(1+S38)</f>
        <v>3132.8797543178962</v>
      </c>
      <c r="T18" s="3">
        <f>S18*(1+T38)</f>
        <v>3237.392637618243</v>
      </c>
      <c r="U18" s="3">
        <f>T18*(1+U38)</f>
        <v>3345.937451762682</v>
      </c>
      <c r="V18" s="3">
        <f>U18*(1+V38)</f>
        <v>3458.6881527159053</v>
      </c>
      <c r="W18" s="3">
        <f>V18*(1+W38)</f>
        <v>3575.8267820897681</v>
      </c>
    </row>
    <row r="19" spans="1:83" x14ac:dyDescent="0.2">
      <c r="A19" s="3" t="s">
        <v>56</v>
      </c>
      <c r="K19" s="3">
        <v>550.70000000000005</v>
      </c>
      <c r="L19" s="3">
        <v>660.7</v>
      </c>
      <c r="M19" s="3">
        <v>794.2</v>
      </c>
      <c r="N19" s="3">
        <f>M19*(1+N38)</f>
        <v>850.15486530409203</v>
      </c>
      <c r="O19" s="3">
        <f>N19*(1+O38)</f>
        <v>910.39847316695011</v>
      </c>
      <c r="P19" s="3">
        <f>O19*(1+P38)</f>
        <v>975.28501653928959</v>
      </c>
      <c r="Q19" s="3">
        <f>P19*(1+Q38)</f>
        <v>1045.1997195141785</v>
      </c>
      <c r="R19" s="3">
        <f>Q19*(1+R38)</f>
        <v>1120.5616752475148</v>
      </c>
      <c r="S19" s="3">
        <f>R19*(1+S38)</f>
        <v>1157.755851695721</v>
      </c>
      <c r="T19" s="3">
        <f>S19*(1+T38)</f>
        <v>1196.3785923393093</v>
      </c>
      <c r="U19" s="3">
        <f>T19*(1+U38)</f>
        <v>1236.4913332045614</v>
      </c>
      <c r="V19" s="3">
        <f>U19*(1+V38)</f>
        <v>1278.1583597259191</v>
      </c>
      <c r="W19" s="3">
        <f>V19*(1+W38)</f>
        <v>1321.4469453890906</v>
      </c>
    </row>
    <row r="20" spans="1:83" x14ac:dyDescent="0.2">
      <c r="A20" s="3" t="s">
        <v>54</v>
      </c>
      <c r="K20" s="3">
        <v>138.69999999999999</v>
      </c>
      <c r="L20" s="3">
        <v>174</v>
      </c>
      <c r="M20" s="3">
        <v>154.69999999999999</v>
      </c>
      <c r="N20" s="3">
        <f>M20*(1+N38)</f>
        <v>165.59929194477843</v>
      </c>
      <c r="O20" s="3">
        <f>N20*(1+O38)</f>
        <v>177.33397607520419</v>
      </c>
      <c r="P20" s="3">
        <f>O20*(1+P38)</f>
        <v>189.97304464697569</v>
      </c>
      <c r="Q20" s="3">
        <f>P20*(1+Q38)</f>
        <v>203.59153438534801</v>
      </c>
      <c r="R20" s="3">
        <f>Q20*(1+R38)</f>
        <v>218.27107927573726</v>
      </c>
      <c r="S20" s="3">
        <f>R20*(1+S38)</f>
        <v>225.51602903214308</v>
      </c>
      <c r="T20" s="3">
        <f>S20*(1+T38)</f>
        <v>233.03924481854838</v>
      </c>
      <c r="U20" s="3">
        <f>T20*(1+U38)</f>
        <v>240.85269358693736</v>
      </c>
      <c r="V20" s="3">
        <f>U20*(1+V38)</f>
        <v>248.96889731755186</v>
      </c>
      <c r="W20" s="3">
        <f>V20*(1+W38)</f>
        <v>257.40096002479515</v>
      </c>
    </row>
    <row r="21" spans="1:83" x14ac:dyDescent="0.2">
      <c r="A21" s="3" t="s">
        <v>47</v>
      </c>
      <c r="K21" s="3">
        <f>SUM(K16:K20)</f>
        <v>6569.9</v>
      </c>
      <c r="L21" s="3">
        <f>SUM(L16:L20)</f>
        <v>7783.7</v>
      </c>
      <c r="M21" s="3">
        <f>SUM(M16:M20)</f>
        <v>7996.6</v>
      </c>
      <c r="N21" s="3">
        <f t="shared" ref="N21:W21" si="23">SUM(N16:N20)</f>
        <v>8559.995461962606</v>
      </c>
      <c r="O21" s="3">
        <f t="shared" si="23"/>
        <v>9166.5731938136905</v>
      </c>
      <c r="P21" s="3">
        <f t="shared" si="23"/>
        <v>9819.8994752682993</v>
      </c>
      <c r="Q21" s="3">
        <f t="shared" si="23"/>
        <v>10523.8530308072</v>
      </c>
      <c r="R21" s="3">
        <f t="shared" si="23"/>
        <v>11282.65360398423</v>
      </c>
      <c r="S21" s="3">
        <f t="shared" si="23"/>
        <v>11657.152409556791</v>
      </c>
      <c r="T21" s="3">
        <f t="shared" si="23"/>
        <v>12046.035068623167</v>
      </c>
      <c r="U21" s="3">
        <f t="shared" si="23"/>
        <v>12449.920165076297</v>
      </c>
      <c r="V21" s="3">
        <f t="shared" si="23"/>
        <v>12869.454972783033</v>
      </c>
      <c r="W21" s="3">
        <f t="shared" si="23"/>
        <v>13305.316851546717</v>
      </c>
    </row>
    <row r="22" spans="1:83" x14ac:dyDescent="0.2">
      <c r="A22" s="3" t="s">
        <v>19</v>
      </c>
      <c r="K22" s="3">
        <f>K6-K12-K21</f>
        <v>-577.96000000000095</v>
      </c>
      <c r="L22" s="3">
        <f>L6-L12-L21</f>
        <v>-278.70000000000164</v>
      </c>
      <c r="M22" s="3">
        <f>M6-M12-M21</f>
        <v>892.50000000000182</v>
      </c>
      <c r="N22" s="3">
        <f t="shared" ref="N22:R22" si="24">N6-N12-N21</f>
        <v>1554.4972141664966</v>
      </c>
      <c r="O22" s="3">
        <f t="shared" si="24"/>
        <v>2114.793704656553</v>
      </c>
      <c r="P22" s="3">
        <f t="shared" si="24"/>
        <v>2737.4571638509042</v>
      </c>
      <c r="Q22" s="3">
        <f t="shared" si="24"/>
        <v>3452.4766540883611</v>
      </c>
      <c r="R22" s="3">
        <f t="shared" si="24"/>
        <v>4137.5505936584323</v>
      </c>
      <c r="S22" s="3">
        <f t="shared" ref="S22:W22" si="25">S6-S12-S21</f>
        <v>4291.5836378570311</v>
      </c>
      <c r="T22" s="3">
        <f t="shared" si="25"/>
        <v>4454.2834963359619</v>
      </c>
      <c r="U22" s="3">
        <f t="shared" si="25"/>
        <v>4626.1610277900345</v>
      </c>
      <c r="V22" s="3">
        <f t="shared" si="25"/>
        <v>4807.7557593736183</v>
      </c>
      <c r="W22" s="3">
        <f t="shared" si="25"/>
        <v>4999.6374178997012</v>
      </c>
    </row>
    <row r="23" spans="1:83" x14ac:dyDescent="0.2">
      <c r="A23" s="3" t="s">
        <v>43</v>
      </c>
      <c r="K23" s="3">
        <v>-36.200000000000003</v>
      </c>
      <c r="L23" s="3">
        <v>47.2</v>
      </c>
      <c r="M23" s="3">
        <v>-9.3000000000000007</v>
      </c>
      <c r="N23" s="3">
        <f>M49*$Z$29</f>
        <v>48.901800000000037</v>
      </c>
      <c r="O23" s="3">
        <f>N49*$Z$29</f>
        <v>140.29554380749033</v>
      </c>
      <c r="P23" s="3">
        <f>O49*$Z$29</f>
        <v>268.83563096994078</v>
      </c>
      <c r="Q23" s="3">
        <f>P49*$Z$29</f>
        <v>422.15656350580383</v>
      </c>
      <c r="R23" s="3">
        <f>Q49*$Z$29</f>
        <v>605.81417801976716</v>
      </c>
      <c r="S23" s="3">
        <f>R49*$Z$29</f>
        <v>830.64966819731387</v>
      </c>
      <c r="T23" s="3">
        <f>S49*$Z$29</f>
        <v>1073.4435269042899</v>
      </c>
      <c r="U23" s="3">
        <f>T49*$Z$29</f>
        <v>1335.4577878058778</v>
      </c>
      <c r="V23" s="3">
        <f>U49*$Z$29</f>
        <v>1618.0385196651239</v>
      </c>
      <c r="W23" s="3">
        <f>V49*$Z$29</f>
        <v>1922.6211684915604</v>
      </c>
    </row>
    <row r="24" spans="1:83" x14ac:dyDescent="0.2">
      <c r="A24" s="3" t="s">
        <v>44</v>
      </c>
      <c r="K24" s="3">
        <f>SUM(K22:K23)</f>
        <v>-614.16000000000099</v>
      </c>
      <c r="L24" s="3">
        <f>SUM(L22:L23)</f>
        <v>-231.50000000000165</v>
      </c>
      <c r="M24" s="3">
        <f>SUM(M22:M23)</f>
        <v>883.20000000000186</v>
      </c>
      <c r="N24" s="3">
        <f t="shared" ref="N24:R24" si="26">SUM(N22:N23)</f>
        <v>1603.3990141664967</v>
      </c>
      <c r="O24" s="3">
        <f t="shared" si="26"/>
        <v>2255.0892484640435</v>
      </c>
      <c r="P24" s="3">
        <f t="shared" si="26"/>
        <v>3006.2927948208448</v>
      </c>
      <c r="Q24" s="3">
        <f t="shared" si="26"/>
        <v>3874.6332175941648</v>
      </c>
      <c r="R24" s="3">
        <f t="shared" si="26"/>
        <v>4743.3647716781998</v>
      </c>
      <c r="S24" s="3">
        <f t="shared" ref="S24:W24" si="27">SUM(S22:S23)</f>
        <v>5122.2333060543451</v>
      </c>
      <c r="T24" s="3">
        <f t="shared" si="27"/>
        <v>5527.7270232402516</v>
      </c>
      <c r="U24" s="3">
        <f t="shared" si="27"/>
        <v>5961.6188155959126</v>
      </c>
      <c r="V24" s="3">
        <f t="shared" si="27"/>
        <v>6425.7942790387424</v>
      </c>
      <c r="W24" s="3">
        <f t="shared" si="27"/>
        <v>6922.2585863912618</v>
      </c>
    </row>
    <row r="25" spans="1:83" x14ac:dyDescent="0.2">
      <c r="A25" s="3" t="s">
        <v>34</v>
      </c>
      <c r="K25" s="3">
        <v>-12.3</v>
      </c>
      <c r="L25" s="3">
        <v>-8</v>
      </c>
      <c r="M25" s="3">
        <v>-1509.3</v>
      </c>
      <c r="N25" s="3">
        <f>N32*N24</f>
        <v>80.169950708324848</v>
      </c>
      <c r="O25" s="3">
        <f>O32*O24</f>
        <v>112.75446242320218</v>
      </c>
      <c r="P25" s="3">
        <f>P32*P24</f>
        <v>450.94391922312673</v>
      </c>
      <c r="Q25" s="3">
        <f>Q32*Q24</f>
        <v>813.67297569477455</v>
      </c>
      <c r="R25" s="3">
        <f>R32*R24</f>
        <v>996.10660205242186</v>
      </c>
      <c r="S25" s="3">
        <f t="shared" ref="S25:W25" si="28">S32*S24</f>
        <v>1075.6689942714124</v>
      </c>
      <c r="T25" s="3">
        <f t="shared" si="28"/>
        <v>1160.8226748804527</v>
      </c>
      <c r="U25" s="3">
        <f t="shared" si="28"/>
        <v>1251.9399512751415</v>
      </c>
      <c r="V25" s="3">
        <f t="shared" si="28"/>
        <v>1349.4167985981358</v>
      </c>
      <c r="W25" s="3">
        <f t="shared" si="28"/>
        <v>1453.6743031421649</v>
      </c>
    </row>
    <row r="26" spans="1:83" s="7" customFormat="1" ht="15" x14ac:dyDescent="0.25">
      <c r="A26" s="7" t="s">
        <v>12</v>
      </c>
      <c r="K26" s="7">
        <f>K24-K25</f>
        <v>-601.86000000000104</v>
      </c>
      <c r="L26" s="7">
        <f>L24-L25</f>
        <v>-223.50000000000165</v>
      </c>
      <c r="M26" s="7">
        <f>M24-M25</f>
        <v>2392.5000000000018</v>
      </c>
      <c r="N26" s="7">
        <f t="shared" ref="N26:AA26" si="29">N24-N25</f>
        <v>1523.2290634581718</v>
      </c>
      <c r="O26" s="7">
        <f t="shared" si="29"/>
        <v>2142.3347860408412</v>
      </c>
      <c r="P26" s="7">
        <f t="shared" si="29"/>
        <v>2555.3488755977182</v>
      </c>
      <c r="Q26" s="7">
        <f t="shared" si="29"/>
        <v>3060.96024189939</v>
      </c>
      <c r="R26" s="7">
        <f t="shared" si="29"/>
        <v>3747.258169625778</v>
      </c>
      <c r="S26" s="7">
        <f t="shared" si="29"/>
        <v>4046.5643117829327</v>
      </c>
      <c r="T26" s="7">
        <f t="shared" si="29"/>
        <v>4366.9043483597989</v>
      </c>
      <c r="U26" s="7">
        <f t="shared" si="29"/>
        <v>4709.678864320771</v>
      </c>
      <c r="V26" s="7">
        <f t="shared" si="29"/>
        <v>5076.3774804406066</v>
      </c>
      <c r="W26" s="7">
        <f t="shared" si="29"/>
        <v>5468.5842832490971</v>
      </c>
      <c r="X26" s="7">
        <f>W26*(1+$Z$30)</f>
        <v>5523.2701260815884</v>
      </c>
      <c r="Y26" s="7">
        <f>X26*(1+$Z$30)</f>
        <v>5578.5028273424041</v>
      </c>
      <c r="Z26" s="7">
        <f>Y26*(1+$Z$30)</f>
        <v>5634.2878556158284</v>
      </c>
      <c r="AA26" s="7">
        <f>Z26*(1+$Z$30)</f>
        <v>5690.6307341719867</v>
      </c>
      <c r="AB26" s="7">
        <f>AA26*(1+$Z$30)</f>
        <v>5747.5370415137068</v>
      </c>
      <c r="AC26" s="7">
        <f>AB26*(1+$Z$30)</f>
        <v>5805.0124119288439</v>
      </c>
      <c r="AD26" s="7">
        <f>AC26*(1+$Z$30)</f>
        <v>5863.0625360481326</v>
      </c>
      <c r="AE26" s="7">
        <f>AD26*(1+$Z$30)</f>
        <v>5921.6931614086143</v>
      </c>
      <c r="AF26" s="7">
        <f>AE26*(1+$Z$30)</f>
        <v>5980.9100930227005</v>
      </c>
      <c r="AG26" s="7">
        <f>AF26*(1+$Z$30)</f>
        <v>6040.7191939529275</v>
      </c>
      <c r="AH26" s="7">
        <f>AG26*(1+$Z$30)</f>
        <v>6101.1263858924567</v>
      </c>
      <c r="AI26" s="7">
        <f>AH26*(1+$Z$30)</f>
        <v>6162.1376497513811</v>
      </c>
      <c r="AJ26" s="7">
        <f>AI26*(1+$Z$30)</f>
        <v>6223.7590262488948</v>
      </c>
      <c r="AK26" s="7">
        <f>AJ26*(1+$Z$30)</f>
        <v>6285.9966165113838</v>
      </c>
      <c r="AL26" s="7">
        <f>AK26*(1+$Z$30)</f>
        <v>6348.856582676498</v>
      </c>
      <c r="AM26" s="7">
        <f>AL26*(1+$Z$30)</f>
        <v>6412.3451485032629</v>
      </c>
      <c r="AN26" s="7">
        <f>AM26*(1+$Z$30)</f>
        <v>6476.4685999882959</v>
      </c>
      <c r="AO26" s="7">
        <f>AN26*(1+$Z$30)</f>
        <v>6541.233285988179</v>
      </c>
      <c r="AP26" s="7">
        <f>AO26*(1+$Z$30)</f>
        <v>6606.6456188480606</v>
      </c>
      <c r="AQ26" s="7">
        <f>AP26*(1+$Z$30)</f>
        <v>6672.7120750365411</v>
      </c>
      <c r="AR26" s="7">
        <f>AQ26*(1+$Z$30)</f>
        <v>6739.4391957869066</v>
      </c>
      <c r="AS26" s="7">
        <f>AR26*(1+$Z$30)</f>
        <v>6806.8335877447753</v>
      </c>
      <c r="AT26" s="7">
        <f>AS26*(1+$Z$30)</f>
        <v>6874.901923622223</v>
      </c>
      <c r="AU26" s="7">
        <f>AT26*(1+$Z$30)</f>
        <v>6943.650942858445</v>
      </c>
      <c r="AV26" s="7">
        <f>AU26*(1+$Z$30)</f>
        <v>7013.0874522870299</v>
      </c>
      <c r="AW26" s="7">
        <f>AV26*(1+$Z$30)</f>
        <v>7083.2183268099006</v>
      </c>
      <c r="AX26" s="7">
        <f>AW26*(1+$Z$30)</f>
        <v>7154.0505100780001</v>
      </c>
      <c r="AY26" s="7">
        <f>AX26*(1+$Z$30)</f>
        <v>7225.5910151787803</v>
      </c>
      <c r="AZ26" s="7">
        <f>AY26*(1+$Z$30)</f>
        <v>7297.8469253305684</v>
      </c>
      <c r="BA26" s="7">
        <f>AZ26*(1+$Z$30)</f>
        <v>7370.8253945838742</v>
      </c>
      <c r="BB26" s="7">
        <f>BA26*(1+$Z$30)</f>
        <v>7444.533648529713</v>
      </c>
      <c r="BC26" s="7">
        <f>BB26*(1+$Z$30)</f>
        <v>7518.97898501501</v>
      </c>
      <c r="BD26" s="7">
        <f>BC26*(1+$Z$30)</f>
        <v>7594.1687748651602</v>
      </c>
      <c r="BE26" s="7">
        <f>BD26*(1+$Z$30)</f>
        <v>7670.1104626138122</v>
      </c>
      <c r="BF26" s="7">
        <f>BE26*(1+$Z$30)</f>
        <v>7746.8115672399499</v>
      </c>
      <c r="BG26" s="7">
        <f>BF26*(1+$Z$30)</f>
        <v>7824.2796829123499</v>
      </c>
      <c r="BH26" s="7">
        <f>BG26*(1+$Z$30)</f>
        <v>7902.5224797414739</v>
      </c>
      <c r="BI26" s="7">
        <f>BH26*(1+$Z$30)</f>
        <v>7981.5477045388889</v>
      </c>
      <c r="BJ26" s="7">
        <f>BI26*(1+$Z$30)</f>
        <v>8061.3631815842782</v>
      </c>
      <c r="BK26" s="7">
        <f>BJ26*(1+$Z$30)</f>
        <v>8141.9768134001215</v>
      </c>
      <c r="BL26" s="7">
        <f>BK26*(1+$Z$30)</f>
        <v>8223.3965815341235</v>
      </c>
      <c r="BM26" s="7">
        <f>BL26*(1+$Z$30)</f>
        <v>8305.6305473494649</v>
      </c>
      <c r="BN26" s="7">
        <f>BM26*(1+$Z$30)</f>
        <v>8388.6868528229588</v>
      </c>
      <c r="BO26" s="7">
        <f>BN26*(1+$Z$30)</f>
        <v>8472.5737213511893</v>
      </c>
      <c r="BP26" s="7">
        <f>BO26*(1+$Z$30)</f>
        <v>8557.2994585647011</v>
      </c>
      <c r="BQ26" s="7">
        <f>BP26*(1+$Z$30)</f>
        <v>8642.8724531503485</v>
      </c>
      <c r="BR26" s="7">
        <f>BQ26*(1+$Z$30)</f>
        <v>8729.3011776818512</v>
      </c>
      <c r="BS26" s="7">
        <f>BR26*(1+$Z$30)</f>
        <v>8816.5941894586704</v>
      </c>
      <c r="BT26" s="7">
        <f>BS26*(1+$Z$30)</f>
        <v>8904.7601313532577</v>
      </c>
      <c r="BU26" s="7">
        <f>BT26*(1+$Z$30)</f>
        <v>8993.8077326667899</v>
      </c>
      <c r="BV26" s="7">
        <f>BU26*(1+$Z$30)</f>
        <v>9083.7458099934574</v>
      </c>
      <c r="BW26" s="7">
        <f>BV26*(1+$Z$30)</f>
        <v>9174.5832680933927</v>
      </c>
      <c r="BX26" s="7">
        <f>BW26*(1+$Z$30)</f>
        <v>9266.3291007743264</v>
      </c>
      <c r="BY26" s="7">
        <f>BX26*(1+$Z$30)</f>
        <v>9358.9923917820706</v>
      </c>
      <c r="BZ26" s="7">
        <f>BY26*(1+$Z$30)</f>
        <v>9452.5823156998922</v>
      </c>
      <c r="CA26" s="7">
        <f>BZ26*(1+$Z$30)</f>
        <v>9547.1081388568909</v>
      </c>
      <c r="CB26" s="7">
        <f>CA26*(1+$Z$30)</f>
        <v>9642.5792202454595</v>
      </c>
      <c r="CC26" s="7">
        <f>CB26*(1+$Z$30)</f>
        <v>9739.0050124479149</v>
      </c>
      <c r="CD26" s="7">
        <f>CC26*(1+$Z$30)</f>
        <v>9836.3950625723937</v>
      </c>
      <c r="CE26" s="7">
        <f>CD26*(1+$Z$30)</f>
        <v>9934.7590131981178</v>
      </c>
    </row>
    <row r="27" spans="1:83" s="7" customFormat="1" ht="15" x14ac:dyDescent="0.25">
      <c r="A27" s="4" t="s">
        <v>41</v>
      </c>
      <c r="B27" s="3"/>
      <c r="C27" s="3"/>
      <c r="D27" s="3"/>
      <c r="E27" s="3"/>
      <c r="F27" s="3"/>
      <c r="G27" s="3"/>
      <c r="H27" s="3"/>
      <c r="I27" s="3"/>
      <c r="J27" s="3"/>
      <c r="K27" s="4">
        <f>K26/K28</f>
        <v>-1.0376896551724155</v>
      </c>
      <c r="L27" s="4">
        <f>L26/L28</f>
        <v>-0.37250000000000277</v>
      </c>
      <c r="M27" s="4">
        <f>M26/Sheet1!$E$3</f>
        <v>3.8902439024390274</v>
      </c>
      <c r="N27" s="4">
        <f>N26/N28</f>
        <v>2.4607900863621515</v>
      </c>
      <c r="O27" s="4">
        <f>O26/O28</f>
        <v>3.4609608821338309</v>
      </c>
      <c r="P27" s="4">
        <f>P26/P28</f>
        <v>4.1281888135665881</v>
      </c>
      <c r="Q27" s="4">
        <f>Q26/Q28</f>
        <v>4.9450084683350406</v>
      </c>
      <c r="R27" s="4">
        <f>R26/R28</f>
        <v>6.0537288685392214</v>
      </c>
      <c r="S27" s="4">
        <f t="shared" ref="S27:W27" si="30">S26/S28</f>
        <v>6.5372606006186311</v>
      </c>
      <c r="T27" s="4">
        <f t="shared" si="30"/>
        <v>7.0547727760255228</v>
      </c>
      <c r="U27" s="4">
        <f t="shared" si="30"/>
        <v>7.6085280522144929</v>
      </c>
      <c r="V27" s="4">
        <f t="shared" si="30"/>
        <v>8.2009329247828866</v>
      </c>
      <c r="W27" s="4">
        <f t="shared" si="30"/>
        <v>8.8345464995946639</v>
      </c>
    </row>
    <row r="28" spans="1:83" x14ac:dyDescent="0.2">
      <c r="A28" s="3" t="s">
        <v>2</v>
      </c>
      <c r="K28" s="3">
        <v>580</v>
      </c>
      <c r="L28" s="3">
        <v>600</v>
      </c>
      <c r="M28" s="3">
        <v>619</v>
      </c>
      <c r="N28" s="3">
        <f>M28</f>
        <v>619</v>
      </c>
      <c r="O28" s="3">
        <f t="shared" ref="O28:W28" si="31">N28</f>
        <v>619</v>
      </c>
      <c r="P28" s="3">
        <f t="shared" si="31"/>
        <v>619</v>
      </c>
      <c r="Q28" s="3">
        <f t="shared" si="31"/>
        <v>619</v>
      </c>
      <c r="R28" s="3">
        <f t="shared" si="31"/>
        <v>619</v>
      </c>
      <c r="S28" s="3">
        <f t="shared" si="31"/>
        <v>619</v>
      </c>
      <c r="T28" s="3">
        <f t="shared" si="31"/>
        <v>619</v>
      </c>
      <c r="U28" s="3">
        <f t="shared" si="31"/>
        <v>619</v>
      </c>
      <c r="V28" s="3">
        <f t="shared" si="31"/>
        <v>619</v>
      </c>
      <c r="W28" s="3">
        <f t="shared" si="31"/>
        <v>619</v>
      </c>
    </row>
    <row r="29" spans="1:83" x14ac:dyDescent="0.2">
      <c r="Y29" s="3" t="s">
        <v>36</v>
      </c>
      <c r="Z29" s="6">
        <v>0.06</v>
      </c>
    </row>
    <row r="30" spans="1:83" x14ac:dyDescent="0.2">
      <c r="A30" s="3" t="s">
        <v>13</v>
      </c>
      <c r="K30" s="6">
        <f t="shared" ref="K30:R30" si="32">K15/K6</f>
        <v>0.34177863565530658</v>
      </c>
      <c r="L30" s="6">
        <f t="shared" si="32"/>
        <v>0.34245012685028009</v>
      </c>
      <c r="M30" s="6">
        <f t="shared" si="32"/>
        <v>0.36852120558849144</v>
      </c>
      <c r="N30" s="6">
        <f t="shared" si="32"/>
        <v>0.39172440877743325</v>
      </c>
      <c r="O30" s="6">
        <f t="shared" si="32"/>
        <v>0.40800433474034165</v>
      </c>
      <c r="P30" s="6">
        <f t="shared" si="32"/>
        <v>0.4239369301818634</v>
      </c>
      <c r="Q30" s="6">
        <f t="shared" si="32"/>
        <v>0.44027946099984988</v>
      </c>
      <c r="R30" s="6">
        <f t="shared" si="32"/>
        <v>0.45309464970658686</v>
      </c>
      <c r="S30" s="6">
        <f t="shared" ref="S30:W30" si="33">S15/S6</f>
        <v>0.45356951755923947</v>
      </c>
      <c r="T30" s="6">
        <f t="shared" si="33"/>
        <v>0.45410707661108668</v>
      </c>
      <c r="U30" s="6">
        <f t="shared" si="33"/>
        <v>0.45470707171112029</v>
      </c>
      <c r="V30" s="6">
        <f t="shared" si="33"/>
        <v>0.45536919551609545</v>
      </c>
      <c r="W30" s="6">
        <f t="shared" si="33"/>
        <v>0.45609308828254602</v>
      </c>
      <c r="Y30" s="3" t="s">
        <v>35</v>
      </c>
      <c r="Z30" s="6">
        <v>0.01</v>
      </c>
    </row>
    <row r="31" spans="1:83" x14ac:dyDescent="0.2">
      <c r="A31" s="3" t="s">
        <v>14</v>
      </c>
      <c r="K31" s="6">
        <f t="shared" ref="K31:R31" si="34">K26/K6</f>
        <v>-3.432993148387721E-2</v>
      </c>
      <c r="L31" s="6">
        <f t="shared" si="34"/>
        <v>-1.0198214970158319E-2</v>
      </c>
      <c r="M31" s="6">
        <f t="shared" si="34"/>
        <v>9.9187430040213992E-2</v>
      </c>
      <c r="N31" s="6">
        <f t="shared" si="34"/>
        <v>5.8993171820073159E-2</v>
      </c>
      <c r="O31" s="6">
        <f t="shared" si="34"/>
        <v>7.7480139333843609E-2</v>
      </c>
      <c r="P31" s="6">
        <f t="shared" si="34"/>
        <v>8.6268694041054014E-2</v>
      </c>
      <c r="Q31" s="6">
        <f t="shared" si="34"/>
        <v>9.6425739505979893E-2</v>
      </c>
      <c r="R31" s="6">
        <f t="shared" si="34"/>
        <v>0.11010636473843165</v>
      </c>
      <c r="S31" s="6">
        <f t="shared" ref="S31:W31" si="35">S26/S6</f>
        <v>0.11508110844717634</v>
      </c>
      <c r="T31" s="6">
        <f t="shared" si="35"/>
        <v>0.12018205343533152</v>
      </c>
      <c r="U31" s="6">
        <f t="shared" si="35"/>
        <v>0.12541075794308656</v>
      </c>
      <c r="V31" s="6">
        <f t="shared" si="35"/>
        <v>0.13076870352624009</v>
      </c>
      <c r="W31" s="6">
        <f t="shared" si="35"/>
        <v>0.13625729174552609</v>
      </c>
      <c r="Y31" s="3" t="s">
        <v>37</v>
      </c>
      <c r="Z31" s="10">
        <v>8.5000000000000006E-2</v>
      </c>
    </row>
    <row r="32" spans="1:83" x14ac:dyDescent="0.2">
      <c r="A32" s="3" t="s">
        <v>55</v>
      </c>
      <c r="K32" s="6">
        <f>K25/K24</f>
        <v>2.0027354435326269E-2</v>
      </c>
      <c r="L32" s="6">
        <f>L25/L24</f>
        <v>3.4557235421166059E-2</v>
      </c>
      <c r="M32" s="6">
        <f>M25/M24</f>
        <v>-1.7088994565217355</v>
      </c>
      <c r="N32" s="6">
        <v>0.05</v>
      </c>
      <c r="O32" s="6">
        <v>0.05</v>
      </c>
      <c r="P32" s="6">
        <v>0.15</v>
      </c>
      <c r="Q32" s="6">
        <v>0.21</v>
      </c>
      <c r="R32" s="6">
        <v>0.21</v>
      </c>
      <c r="S32" s="6">
        <v>0.21</v>
      </c>
      <c r="T32" s="6">
        <v>0.21</v>
      </c>
      <c r="U32" s="6">
        <v>0.21</v>
      </c>
      <c r="V32" s="6">
        <v>0.21</v>
      </c>
      <c r="W32" s="6">
        <v>0.21</v>
      </c>
      <c r="Y32" s="3" t="s">
        <v>38</v>
      </c>
      <c r="Z32" s="3">
        <f>NPV(Z31,O47:CF47)+Sheet1!E5-Sheet1!E6</f>
        <v>63992.496592795185</v>
      </c>
    </row>
    <row r="33" spans="1:124" x14ac:dyDescent="0.2"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Y33" s="3" t="s">
        <v>1</v>
      </c>
      <c r="Z33" s="9">
        <f>Z32/Sheet1!E3</f>
        <v>104.05283998828486</v>
      </c>
    </row>
    <row r="34" spans="1:124" x14ac:dyDescent="0.2">
      <c r="A34" s="11" t="s">
        <v>62</v>
      </c>
      <c r="K34" s="6">
        <f>(K2-K7)/K2</f>
        <v>0.40998396924339742</v>
      </c>
      <c r="L34" s="6">
        <f>(L2-L7)/L2</f>
        <v>0.4138045698541637</v>
      </c>
      <c r="M34" s="6">
        <f>(M2-M7)/M2</f>
        <v>0.41318777688737013</v>
      </c>
      <c r="N34" s="6">
        <f>M34*1.02</f>
        <v>0.42145153242511751</v>
      </c>
      <c r="O34" s="6">
        <f t="shared" ref="O34:W34" si="36">N34*1.02</f>
        <v>0.42988056307361988</v>
      </c>
      <c r="P34" s="6">
        <f t="shared" si="36"/>
        <v>0.43847817433509229</v>
      </c>
      <c r="Q34" s="6">
        <v>0.45</v>
      </c>
      <c r="R34" s="6">
        <v>0.45</v>
      </c>
      <c r="S34" s="6">
        <v>0.45</v>
      </c>
      <c r="T34" s="6">
        <v>0.45</v>
      </c>
      <c r="U34" s="6">
        <v>0.45</v>
      </c>
      <c r="V34" s="6">
        <v>0.45</v>
      </c>
      <c r="W34" s="6">
        <v>0.45</v>
      </c>
      <c r="Y34" s="3" t="s">
        <v>39</v>
      </c>
      <c r="Z34" s="6">
        <f>Z33/Sheet1!E2-1</f>
        <v>1.081056799765697</v>
      </c>
    </row>
    <row r="35" spans="1:124" x14ac:dyDescent="0.2">
      <c r="A35" s="11" t="s">
        <v>63</v>
      </c>
      <c r="K35" s="6">
        <f t="shared" ref="K35:W37" si="37">(K3-K8)/K3</f>
        <v>0.81070989281321382</v>
      </c>
      <c r="L35" s="6">
        <f t="shared" si="37"/>
        <v>0.81915287309917917</v>
      </c>
      <c r="M35" s="6">
        <f t="shared" si="37"/>
        <v>0.84147498883430105</v>
      </c>
      <c r="N35" s="6">
        <v>0.85</v>
      </c>
      <c r="O35" s="6">
        <v>0.85</v>
      </c>
      <c r="P35" s="6">
        <v>0.85</v>
      </c>
      <c r="Q35" s="6">
        <v>0.85</v>
      </c>
      <c r="R35" s="6">
        <v>0.85</v>
      </c>
      <c r="S35" s="6">
        <v>0.85</v>
      </c>
      <c r="T35" s="6">
        <v>0.85</v>
      </c>
      <c r="U35" s="6">
        <v>0.85</v>
      </c>
      <c r="V35" s="6">
        <v>0.85</v>
      </c>
      <c r="W35" s="6">
        <v>0.85</v>
      </c>
      <c r="Z35" s="6"/>
    </row>
    <row r="36" spans="1:124" x14ac:dyDescent="0.2">
      <c r="A36" s="11" t="s">
        <v>61</v>
      </c>
      <c r="K36" s="6">
        <f>(K5-K10)/K5</f>
        <v>2.1960100662177146E-2</v>
      </c>
      <c r="L36" s="6">
        <f>(L5-L10)/L5</f>
        <v>2.160386595496025E-2</v>
      </c>
      <c r="M36" s="6">
        <f>(M5-M10)/M5</f>
        <v>2.8315946348733339E-2</v>
      </c>
      <c r="N36" s="6">
        <v>0.03</v>
      </c>
      <c r="O36" s="6">
        <v>0.03</v>
      </c>
      <c r="P36" s="6">
        <v>0.03</v>
      </c>
      <c r="Q36" s="6">
        <v>0.03</v>
      </c>
      <c r="R36" s="6">
        <v>0.03</v>
      </c>
      <c r="S36" s="6">
        <v>0.03</v>
      </c>
      <c r="T36" s="6">
        <v>0.03</v>
      </c>
      <c r="U36" s="6">
        <v>0.03</v>
      </c>
      <c r="V36" s="6">
        <v>0.03</v>
      </c>
      <c r="W36" s="6">
        <v>0.03</v>
      </c>
      <c r="Z36" s="6"/>
    </row>
    <row r="37" spans="1:124" x14ac:dyDescent="0.2">
      <c r="L37" s="6"/>
      <c r="N37" s="6"/>
      <c r="O37" s="6"/>
      <c r="P37" s="6"/>
      <c r="Q37" s="6"/>
      <c r="R37" s="6"/>
      <c r="S37" s="6"/>
      <c r="T37" s="6"/>
      <c r="U37" s="6"/>
      <c r="V37" s="6"/>
      <c r="W37" s="6"/>
      <c r="Z37" s="6"/>
    </row>
    <row r="38" spans="1:124" ht="15" x14ac:dyDescent="0.25">
      <c r="A38" s="7" t="s">
        <v>42</v>
      </c>
      <c r="B38" s="7"/>
      <c r="C38" s="7"/>
      <c r="D38" s="7"/>
      <c r="E38" s="7"/>
      <c r="F38" s="7"/>
      <c r="G38" s="7"/>
      <c r="H38" s="7"/>
      <c r="I38" s="7"/>
      <c r="J38" s="7"/>
      <c r="K38" s="8">
        <v>-0.01</v>
      </c>
      <c r="L38" s="8">
        <f>L6/K6-1</f>
        <v>0.25005989171577792</v>
      </c>
      <c r="M38" s="8">
        <f>M6/L6-1</f>
        <v>0.10063151362499778</v>
      </c>
      <c r="N38" s="8">
        <f>N6/M6-1</f>
        <v>7.04543758550642E-2</v>
      </c>
      <c r="O38" s="8">
        <f>O6/N6-1</f>
        <v>7.0861922129104693E-2</v>
      </c>
      <c r="P38" s="8">
        <f>P6/O6-1</f>
        <v>7.1272684747177184E-2</v>
      </c>
      <c r="Q38" s="8">
        <f>Q6/P6-1</f>
        <v>7.168643195501434E-2</v>
      </c>
      <c r="R38" s="8">
        <f>R6/Q6-1</f>
        <v>7.2102923801362628E-2</v>
      </c>
      <c r="S38" s="8">
        <f>S6/R6-1</f>
        <v>3.3192440246531341E-2</v>
      </c>
      <c r="T38" s="8">
        <f>T6/S6-1</f>
        <v>3.3360004690988099E-2</v>
      </c>
      <c r="U38" s="8">
        <f>U6/T6-1</f>
        <v>3.3528467595544953E-2</v>
      </c>
      <c r="V38" s="8">
        <f>V6/U6-1</f>
        <v>3.3697791001390254E-2</v>
      </c>
      <c r="W38" s="8">
        <f>W6/V6-1</f>
        <v>3.3867936108053165E-2</v>
      </c>
    </row>
    <row r="39" spans="1:124" x14ac:dyDescent="0.2">
      <c r="A39" s="3" t="s">
        <v>48</v>
      </c>
    </row>
    <row r="40" spans="1:124" x14ac:dyDescent="0.2">
      <c r="A40" s="3" t="s">
        <v>49</v>
      </c>
    </row>
    <row r="42" spans="1:124" x14ac:dyDescent="0.2">
      <c r="A42" s="3" t="s">
        <v>26</v>
      </c>
    </row>
    <row r="43" spans="1:124" x14ac:dyDescent="0.2">
      <c r="A43" s="3" t="s">
        <v>27</v>
      </c>
      <c r="K43" s="6">
        <f>K31+K38</f>
        <v>-4.4329931483877212E-2</v>
      </c>
      <c r="L43" s="6">
        <f>L31+L38</f>
        <v>0.23986167674561959</v>
      </c>
      <c r="M43" s="6">
        <f>M31+M38</f>
        <v>0.19981894366521177</v>
      </c>
      <c r="N43" s="6">
        <f>N31+N38</f>
        <v>0.12944754767513736</v>
      </c>
      <c r="O43" s="6">
        <f>O31+O38</f>
        <v>0.14834206146294832</v>
      </c>
      <c r="P43" s="6">
        <f>P31+P38</f>
        <v>0.15754137878823121</v>
      </c>
      <c r="Q43" s="6">
        <f>Q31+Q38</f>
        <v>0.16811217146099422</v>
      </c>
      <c r="R43" s="6">
        <f>R31+R38</f>
        <v>0.18220928853979429</v>
      </c>
      <c r="S43" s="6">
        <f t="shared" ref="S43:W43" si="38">S31+S38</f>
        <v>0.14827354869370768</v>
      </c>
      <c r="T43" s="6">
        <f t="shared" si="38"/>
        <v>0.1535420581263196</v>
      </c>
      <c r="U43" s="6">
        <f t="shared" si="38"/>
        <v>0.15893922553863152</v>
      </c>
      <c r="V43" s="6">
        <f t="shared" si="38"/>
        <v>0.16446649452763035</v>
      </c>
      <c r="W43" s="6">
        <f t="shared" si="38"/>
        <v>0.17012522785357925</v>
      </c>
    </row>
    <row r="44" spans="1:124" x14ac:dyDescent="0.2">
      <c r="L44" s="6"/>
      <c r="M44" s="6"/>
      <c r="N44" s="6"/>
      <c r="O44" s="6"/>
      <c r="P44" s="6"/>
      <c r="Q44" s="6"/>
      <c r="R44" s="6"/>
    </row>
    <row r="45" spans="1:124" x14ac:dyDescent="0.2">
      <c r="A45" s="3" t="s">
        <v>15</v>
      </c>
      <c r="B45" s="3">
        <v>489</v>
      </c>
      <c r="C45" s="3">
        <v>519</v>
      </c>
      <c r="D45" s="3">
        <v>685</v>
      </c>
      <c r="E45" s="3">
        <v>14</v>
      </c>
      <c r="K45" s="3">
        <v>175.9</v>
      </c>
      <c r="L45" s="3">
        <v>101</v>
      </c>
      <c r="M45" s="3">
        <v>1707.3</v>
      </c>
    </row>
    <row r="46" spans="1:124" x14ac:dyDescent="0.2">
      <c r="A46" s="3" t="s">
        <v>40</v>
      </c>
      <c r="K46" s="3">
        <v>170.8</v>
      </c>
      <c r="L46" s="3">
        <v>151.1</v>
      </c>
      <c r="M46" s="3">
        <v>154</v>
      </c>
    </row>
    <row r="47" spans="1:124" s="7" customFormat="1" ht="15" x14ac:dyDescent="0.25">
      <c r="A47" s="7" t="s">
        <v>7</v>
      </c>
      <c r="K47" s="7">
        <f>K45-K46</f>
        <v>5.0999999999999943</v>
      </c>
      <c r="L47" s="7">
        <f t="shared" ref="L47:M47" si="39">L45-L46</f>
        <v>-50.099999999999994</v>
      </c>
      <c r="M47" s="7">
        <f t="shared" si="39"/>
        <v>1553.3</v>
      </c>
      <c r="N47" s="7">
        <f>N26*1.1</f>
        <v>1675.5519698039891</v>
      </c>
      <c r="O47" s="7">
        <f t="shared" ref="O47:W47" si="40">O26*1.1</f>
        <v>2356.5682646449254</v>
      </c>
      <c r="P47" s="7">
        <f t="shared" si="40"/>
        <v>2810.8837631574902</v>
      </c>
      <c r="Q47" s="7">
        <f t="shared" si="40"/>
        <v>3367.0562660893293</v>
      </c>
      <c r="R47" s="7">
        <f t="shared" si="40"/>
        <v>4121.9839865883559</v>
      </c>
      <c r="S47" s="7">
        <f t="shared" si="40"/>
        <v>4451.2207429612263</v>
      </c>
      <c r="T47" s="7">
        <f t="shared" si="40"/>
        <v>4803.5947831957792</v>
      </c>
      <c r="U47" s="7">
        <f t="shared" si="40"/>
        <v>5180.6467507528487</v>
      </c>
      <c r="V47" s="7">
        <f t="shared" si="40"/>
        <v>5584.0152284846681</v>
      </c>
      <c r="W47" s="7">
        <f t="shared" si="40"/>
        <v>6015.4427115740073</v>
      </c>
      <c r="X47" s="7">
        <f>W47*(1+$Z$30)</f>
        <v>6075.5971386897472</v>
      </c>
      <c r="Y47" s="7">
        <f t="shared" ref="Y47:CJ47" si="41">X47*(1+$Z$30)</f>
        <v>6136.353110076645</v>
      </c>
      <c r="Z47" s="7">
        <f t="shared" si="41"/>
        <v>6197.7166411774115</v>
      </c>
      <c r="AA47" s="7">
        <f t="shared" si="41"/>
        <v>6259.6938075891858</v>
      </c>
      <c r="AB47" s="7">
        <f t="shared" si="41"/>
        <v>6322.2907456650773</v>
      </c>
      <c r="AC47" s="7">
        <f t="shared" si="41"/>
        <v>6385.5136531217286</v>
      </c>
      <c r="AD47" s="7">
        <f t="shared" si="41"/>
        <v>6449.3687896529464</v>
      </c>
      <c r="AE47" s="7">
        <f t="shared" si="41"/>
        <v>6513.8624775494754</v>
      </c>
      <c r="AF47" s="7">
        <f t="shared" si="41"/>
        <v>6579.0011023249699</v>
      </c>
      <c r="AG47" s="7">
        <f t="shared" si="41"/>
        <v>6644.7911133482194</v>
      </c>
      <c r="AH47" s="7">
        <f t="shared" si="41"/>
        <v>6711.2390244817016</v>
      </c>
      <c r="AI47" s="7">
        <f t="shared" si="41"/>
        <v>6778.3514147265187</v>
      </c>
      <c r="AJ47" s="7">
        <f t="shared" si="41"/>
        <v>6846.1349288737838</v>
      </c>
      <c r="AK47" s="7">
        <f t="shared" si="41"/>
        <v>6914.5962781625221</v>
      </c>
      <c r="AL47" s="7">
        <f t="shared" si="41"/>
        <v>6983.7422409441479</v>
      </c>
      <c r="AM47" s="7">
        <f t="shared" si="41"/>
        <v>7053.5796633535892</v>
      </c>
      <c r="AN47" s="7">
        <f t="shared" si="41"/>
        <v>7124.1154599871252</v>
      </c>
      <c r="AO47" s="7">
        <f t="shared" si="41"/>
        <v>7195.3566145869963</v>
      </c>
      <c r="AP47" s="7">
        <f t="shared" si="41"/>
        <v>7267.3101807328667</v>
      </c>
      <c r="AQ47" s="7">
        <f t="shared" si="41"/>
        <v>7339.9832825401954</v>
      </c>
      <c r="AR47" s="7">
        <f t="shared" si="41"/>
        <v>7413.3831153655974</v>
      </c>
      <c r="AS47" s="7">
        <f t="shared" si="41"/>
        <v>7487.516946519253</v>
      </c>
      <c r="AT47" s="7">
        <f t="shared" si="41"/>
        <v>7562.3921159844458</v>
      </c>
      <c r="AU47" s="7">
        <f t="shared" si="41"/>
        <v>7638.0160371442907</v>
      </c>
      <c r="AV47" s="7">
        <f t="shared" si="41"/>
        <v>7714.3961975157335</v>
      </c>
      <c r="AW47" s="7">
        <f t="shared" si="41"/>
        <v>7791.5401594908908</v>
      </c>
      <c r="AX47" s="7">
        <f t="shared" si="41"/>
        <v>7869.4555610857997</v>
      </c>
      <c r="AY47" s="7">
        <f t="shared" si="41"/>
        <v>7948.1501166966582</v>
      </c>
      <c r="AZ47" s="7">
        <f t="shared" si="41"/>
        <v>8027.6316178636253</v>
      </c>
      <c r="BA47" s="7">
        <f t="shared" si="41"/>
        <v>8107.9079340422613</v>
      </c>
      <c r="BB47" s="7">
        <f t="shared" si="41"/>
        <v>8188.9870133826844</v>
      </c>
      <c r="BC47" s="7">
        <f t="shared" si="41"/>
        <v>8270.876883516512</v>
      </c>
      <c r="BD47" s="7">
        <f t="shared" si="41"/>
        <v>8353.5856523516777</v>
      </c>
      <c r="BE47" s="7">
        <f t="shared" si="41"/>
        <v>8437.1215088751942</v>
      </c>
      <c r="BF47" s="7">
        <f t="shared" si="41"/>
        <v>8521.4927239639455</v>
      </c>
      <c r="BG47" s="7">
        <f t="shared" si="41"/>
        <v>8606.7076512035856</v>
      </c>
      <c r="BH47" s="7">
        <f t="shared" si="41"/>
        <v>8692.7747277156213</v>
      </c>
      <c r="BI47" s="7">
        <f t="shared" si="41"/>
        <v>8779.7024749927768</v>
      </c>
      <c r="BJ47" s="7">
        <f t="shared" si="41"/>
        <v>8867.4994997427038</v>
      </c>
      <c r="BK47" s="7">
        <f t="shared" si="41"/>
        <v>8956.1744947401312</v>
      </c>
      <c r="BL47" s="7">
        <f t="shared" si="41"/>
        <v>9045.7362396875324</v>
      </c>
      <c r="BM47" s="7">
        <f t="shared" si="41"/>
        <v>9136.1936020844078</v>
      </c>
      <c r="BN47" s="7">
        <f t="shared" si="41"/>
        <v>9227.5555381052527</v>
      </c>
      <c r="BO47" s="7">
        <f t="shared" si="41"/>
        <v>9319.8310934863057</v>
      </c>
      <c r="BP47" s="7">
        <f t="shared" si="41"/>
        <v>9413.0294044211696</v>
      </c>
      <c r="BQ47" s="7">
        <f t="shared" si="41"/>
        <v>9507.1596984653806</v>
      </c>
      <c r="BR47" s="7">
        <f t="shared" si="41"/>
        <v>9602.2312954500339</v>
      </c>
      <c r="BS47" s="7">
        <f t="shared" si="41"/>
        <v>9698.253608404535</v>
      </c>
      <c r="BT47" s="7">
        <f t="shared" si="41"/>
        <v>9795.236144488581</v>
      </c>
      <c r="BU47" s="7">
        <f t="shared" si="41"/>
        <v>9893.1885059334672</v>
      </c>
      <c r="BV47" s="7">
        <f t="shared" si="41"/>
        <v>9992.1203909928026</v>
      </c>
      <c r="BW47" s="7">
        <f t="shared" si="41"/>
        <v>10092.04159490273</v>
      </c>
      <c r="BX47" s="7">
        <f t="shared" si="41"/>
        <v>10192.962010851757</v>
      </c>
      <c r="BY47" s="7">
        <f t="shared" si="41"/>
        <v>10294.891630960276</v>
      </c>
      <c r="BZ47" s="7">
        <f t="shared" si="41"/>
        <v>10397.840547269878</v>
      </c>
      <c r="CA47" s="7">
        <f t="shared" si="41"/>
        <v>10501.818952742577</v>
      </c>
      <c r="CB47" s="7">
        <f t="shared" si="41"/>
        <v>10606.837142270002</v>
      </c>
      <c r="CC47" s="7">
        <f t="shared" si="41"/>
        <v>10712.905513692702</v>
      </c>
      <c r="CD47" s="7">
        <f t="shared" si="41"/>
        <v>10820.034568829629</v>
      </c>
      <c r="CE47" s="7">
        <f t="shared" si="41"/>
        <v>10928.234914517925</v>
      </c>
      <c r="CF47" s="7">
        <f t="shared" si="41"/>
        <v>11037.517263663105</v>
      </c>
      <c r="CG47" s="7">
        <f t="shared" si="41"/>
        <v>11147.892436299737</v>
      </c>
      <c r="CH47" s="7">
        <f t="shared" si="41"/>
        <v>11259.371360662733</v>
      </c>
      <c r="CI47" s="7">
        <f t="shared" si="41"/>
        <v>11371.965074269361</v>
      </c>
      <c r="CJ47" s="7">
        <f t="shared" si="41"/>
        <v>11485.684725012055</v>
      </c>
      <c r="CK47" s="7">
        <f t="shared" ref="CK47:DT47" si="42">CJ47*(1+$Z$30)</f>
        <v>11600.541572262176</v>
      </c>
      <c r="CL47" s="7">
        <f t="shared" si="42"/>
        <v>11716.546987984799</v>
      </c>
      <c r="CM47" s="7">
        <f t="shared" si="42"/>
        <v>11833.712457864647</v>
      </c>
      <c r="CN47" s="7">
        <f t="shared" si="42"/>
        <v>11952.049582443293</v>
      </c>
      <c r="CO47" s="7">
        <f t="shared" si="42"/>
        <v>12071.570078267725</v>
      </c>
      <c r="CP47" s="7">
        <f t="shared" si="42"/>
        <v>12192.285779050402</v>
      </c>
      <c r="CQ47" s="7">
        <f t="shared" si="42"/>
        <v>12314.208636840905</v>
      </c>
      <c r="CR47" s="7">
        <f t="shared" si="42"/>
        <v>12437.350723209314</v>
      </c>
      <c r="CS47" s="7">
        <f t="shared" si="42"/>
        <v>12561.724230441407</v>
      </c>
      <c r="CT47" s="7">
        <f t="shared" si="42"/>
        <v>12687.34147274582</v>
      </c>
      <c r="CU47" s="7">
        <f t="shared" si="42"/>
        <v>12814.214887473279</v>
      </c>
      <c r="CV47" s="7">
        <f t="shared" si="42"/>
        <v>12942.357036348012</v>
      </c>
      <c r="CW47" s="7">
        <f t="shared" si="42"/>
        <v>13071.780606711493</v>
      </c>
      <c r="CX47" s="7">
        <f t="shared" si="42"/>
        <v>13202.498412778608</v>
      </c>
      <c r="CY47" s="7">
        <f t="shared" si="42"/>
        <v>13334.523396906394</v>
      </c>
      <c r="CZ47" s="7">
        <f t="shared" si="42"/>
        <v>13467.868630875459</v>
      </c>
      <c r="DA47" s="7">
        <f t="shared" si="42"/>
        <v>13602.547317184213</v>
      </c>
      <c r="DB47" s="7">
        <f t="shared" si="42"/>
        <v>13738.572790356055</v>
      </c>
      <c r="DC47" s="7">
        <f t="shared" si="42"/>
        <v>13875.958518259615</v>
      </c>
      <c r="DD47" s="7">
        <f t="shared" si="42"/>
        <v>14014.71810344221</v>
      </c>
      <c r="DE47" s="7">
        <f t="shared" si="42"/>
        <v>14154.865284476633</v>
      </c>
      <c r="DF47" s="7">
        <f t="shared" si="42"/>
        <v>14296.4139373214</v>
      </c>
      <c r="DG47" s="7">
        <f t="shared" si="42"/>
        <v>14439.378076694615</v>
      </c>
      <c r="DH47" s="7">
        <f t="shared" si="42"/>
        <v>14583.771857461561</v>
      </c>
      <c r="DI47" s="7">
        <f t="shared" si="42"/>
        <v>14729.609576036177</v>
      </c>
      <c r="DJ47" s="7">
        <f t="shared" si="42"/>
        <v>14876.90567179654</v>
      </c>
      <c r="DK47" s="7">
        <f t="shared" si="42"/>
        <v>15025.674728514505</v>
      </c>
      <c r="DL47" s="7">
        <f t="shared" si="42"/>
        <v>15175.931475799651</v>
      </c>
      <c r="DM47" s="7">
        <f t="shared" si="42"/>
        <v>15327.690790557648</v>
      </c>
      <c r="DN47" s="7">
        <f t="shared" si="42"/>
        <v>15480.967698463224</v>
      </c>
      <c r="DO47" s="7">
        <f t="shared" si="42"/>
        <v>15635.777375447857</v>
      </c>
      <c r="DP47" s="7">
        <f t="shared" si="42"/>
        <v>15792.135149202335</v>
      </c>
      <c r="DQ47" s="7">
        <f t="shared" si="42"/>
        <v>15950.056500694358</v>
      </c>
      <c r="DR47" s="7">
        <f t="shared" si="42"/>
        <v>16109.557065701301</v>
      </c>
      <c r="DS47" s="7">
        <f t="shared" si="42"/>
        <v>16270.652636358314</v>
      </c>
      <c r="DT47" s="7">
        <f t="shared" si="42"/>
        <v>16433.359162721899</v>
      </c>
    </row>
    <row r="49" spans="1:23" x14ac:dyDescent="0.2">
      <c r="A49" s="3" t="s">
        <v>57</v>
      </c>
      <c r="E49" s="3">
        <f>E51-E53</f>
        <v>815.03000000000065</v>
      </c>
      <c r="F49" s="3">
        <f>E49+F26</f>
        <v>815.03000000000065</v>
      </c>
      <c r="G49" s="3">
        <f>F49+G26</f>
        <v>815.03000000000065</v>
      </c>
      <c r="H49" s="3">
        <f>G49+H26</f>
        <v>815.03000000000065</v>
      </c>
      <c r="I49" s="3">
        <f>H49+I26</f>
        <v>815.03000000000065</v>
      </c>
      <c r="M49" s="3">
        <f>I49</f>
        <v>815.03000000000065</v>
      </c>
      <c r="N49" s="3">
        <f>M49+N26</f>
        <v>2338.2590634581725</v>
      </c>
      <c r="O49" s="3">
        <f>N49+O26</f>
        <v>4480.5938494990132</v>
      </c>
      <c r="P49" s="3">
        <f>O49+P26</f>
        <v>7035.942725096731</v>
      </c>
      <c r="Q49" s="3">
        <f>P49+Q26</f>
        <v>10096.90296699612</v>
      </c>
      <c r="R49" s="3">
        <f>Q49+R26</f>
        <v>13844.161136621899</v>
      </c>
      <c r="S49" s="3">
        <f>R49+S26</f>
        <v>17890.725448404832</v>
      </c>
      <c r="T49" s="3">
        <f>S49+T26</f>
        <v>22257.629796764631</v>
      </c>
      <c r="U49" s="3">
        <f>T49+U26</f>
        <v>26967.308661085401</v>
      </c>
      <c r="V49" s="3">
        <f>U49+V26</f>
        <v>32043.686141526006</v>
      </c>
      <c r="W49" s="3">
        <f>V49+W26</f>
        <v>37512.270424775103</v>
      </c>
    </row>
    <row r="51" spans="1:23" x14ac:dyDescent="0.2">
      <c r="A51" s="3" t="s">
        <v>4</v>
      </c>
      <c r="E51" s="3">
        <v>7088.83</v>
      </c>
    </row>
    <row r="53" spans="1:23" x14ac:dyDescent="0.2">
      <c r="A53" s="3" t="s">
        <v>5</v>
      </c>
      <c r="E53" s="3">
        <f>619+5108.4+546.4</f>
        <v>6273.7999999999993</v>
      </c>
    </row>
  </sheetData>
  <pageMargins left="0.7" right="0.7" top="0.75" bottom="0.75" header="0.3" footer="0.3"/>
  <pageSetup orientation="portrait" r:id="rId1"/>
  <ignoredErrors>
    <ignoredError sqref="M2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2025-02-24T11:07:20Z</dcterms:created>
  <dcterms:modified xsi:type="dcterms:W3CDTF">2025-05-09T05:17:58Z</dcterms:modified>
</cp:coreProperties>
</file>