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5F5587E2-32EE-40B0-8636-D289D70922EB}" xr6:coauthVersionLast="47" xr6:coauthVersionMax="47" xr10:uidLastSave="{00000000-0000-0000-0000-000000000000}"/>
  <bookViews>
    <workbookView xWindow="4350" yWindow="870" windowWidth="22200" windowHeight="14685" activeTab="1" xr2:uid="{F5CD5BBC-DCF7-4AA4-99E5-12FC1BD91F9B}"/>
  </bookViews>
  <sheets>
    <sheet name="Main" sheetId="1" r:id="rId1"/>
    <sheet name="Model" sheetId="2" r:id="rId2"/>
    <sheet name="IP" sheetId="4" r:id="rId3"/>
    <sheet name="Literature" sheetId="3" r:id="rId4"/>
    <sheet name="Competito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2" l="1"/>
  <c r="V9" i="2" s="1"/>
  <c r="T9" i="2"/>
  <c r="T10" i="2"/>
  <c r="T11" i="2" s="1"/>
  <c r="S10" i="2"/>
  <c r="S11" i="2" s="1"/>
  <c r="S14" i="2" s="1"/>
  <c r="H27" i="2"/>
  <c r="I16" i="2"/>
  <c r="Z2" i="2"/>
  <c r="AA2" i="2" s="1"/>
  <c r="V2" i="2"/>
  <c r="W2" i="2" s="1"/>
  <c r="X2" i="2" s="1"/>
  <c r="Y2" i="2" s="1"/>
  <c r="J13" i="2"/>
  <c r="J14" i="2" s="1"/>
  <c r="J15" i="2" s="1"/>
  <c r="I13" i="2"/>
  <c r="J12" i="2"/>
  <c r="I12" i="2"/>
  <c r="Q9" i="2"/>
  <c r="Q10" i="2"/>
  <c r="Q12" i="2"/>
  <c r="Q14" i="2" s="1"/>
  <c r="Q13" i="2"/>
  <c r="C14" i="2"/>
  <c r="D14" i="2"/>
  <c r="E14" i="2"/>
  <c r="F14" i="2"/>
  <c r="G14" i="2"/>
  <c r="H14" i="2"/>
  <c r="H15" i="2" s="1"/>
  <c r="H17" i="2" s="1"/>
  <c r="H19" i="2" s="1"/>
  <c r="I14" i="2"/>
  <c r="I15" i="2" s="1"/>
  <c r="L14" i="2"/>
  <c r="M14" i="2"/>
  <c r="M15" i="2" s="1"/>
  <c r="M17" i="2" s="1"/>
  <c r="M19" i="2" s="1"/>
  <c r="N14" i="2"/>
  <c r="N15" i="2" s="1"/>
  <c r="N17" i="2" s="1"/>
  <c r="N19" i="2" s="1"/>
  <c r="O14" i="2"/>
  <c r="O15" i="2" s="1"/>
  <c r="O17" i="2" s="1"/>
  <c r="O19" i="2" s="1"/>
  <c r="P14" i="2"/>
  <c r="R14" i="2"/>
  <c r="D15" i="2"/>
  <c r="D17" i="2" s="1"/>
  <c r="D19" i="2" s="1"/>
  <c r="M11" i="2"/>
  <c r="N11" i="2"/>
  <c r="O11" i="2"/>
  <c r="P11" i="2"/>
  <c r="Q11" i="2"/>
  <c r="R11" i="2"/>
  <c r="L11" i="2"/>
  <c r="I11" i="2"/>
  <c r="J11" i="2"/>
  <c r="F15" i="2"/>
  <c r="F17" i="2" s="1"/>
  <c r="F19" i="2" s="1"/>
  <c r="G15" i="2"/>
  <c r="G17" i="2" s="1"/>
  <c r="G19" i="2" s="1"/>
  <c r="D11" i="2"/>
  <c r="E11" i="2"/>
  <c r="E15" i="2" s="1"/>
  <c r="E17" i="2" s="1"/>
  <c r="E19" i="2" s="1"/>
  <c r="F11" i="2"/>
  <c r="G11" i="2"/>
  <c r="C11" i="2"/>
  <c r="H11" i="2"/>
  <c r="M2" i="2"/>
  <c r="N2" i="2" s="1"/>
  <c r="O2" i="2" s="1"/>
  <c r="P2" i="2" s="1"/>
  <c r="Q2" i="2" s="1"/>
  <c r="R2" i="2" s="1"/>
  <c r="S2" i="2" s="1"/>
  <c r="T2" i="2" s="1"/>
  <c r="U2" i="2" s="1"/>
  <c r="K7" i="1"/>
  <c r="K6" i="1"/>
  <c r="K5" i="1"/>
  <c r="K3" i="1"/>
  <c r="K4" i="1"/>
  <c r="T14" i="2" l="1"/>
  <c r="T15" i="2" s="1"/>
  <c r="I17" i="2"/>
  <c r="I18" i="2"/>
  <c r="Q15" i="2"/>
  <c r="P15" i="2"/>
  <c r="P17" i="2" s="1"/>
  <c r="P19" i="2" s="1"/>
  <c r="L15" i="2"/>
  <c r="L17" i="2" s="1"/>
  <c r="L19" i="2" s="1"/>
  <c r="S15" i="2"/>
  <c r="C15" i="2"/>
  <c r="C17" i="2" s="1"/>
  <c r="C19" i="2" s="1"/>
  <c r="R15" i="2"/>
  <c r="B16" i="3"/>
  <c r="B15" i="3"/>
  <c r="W9" i="2" l="1"/>
  <c r="X9" i="2" s="1"/>
  <c r="Y9" i="2" s="1"/>
  <c r="Z9" i="2" s="1"/>
  <c r="AA9" i="2" s="1"/>
  <c r="U10" i="2"/>
  <c r="U11" i="2" s="1"/>
  <c r="U14" i="2" s="1"/>
  <c r="U15" i="2" s="1"/>
  <c r="I19" i="2"/>
  <c r="I27" i="2" s="1"/>
  <c r="V10" i="2" l="1"/>
  <c r="V11" i="2" s="1"/>
  <c r="J16" i="2"/>
  <c r="V14" i="2" l="1"/>
  <c r="V15" i="2"/>
  <c r="W10" i="2"/>
  <c r="W11" i="2" s="1"/>
  <c r="Q16" i="2"/>
  <c r="Q17" i="2" s="1"/>
  <c r="J17" i="2"/>
  <c r="J18" i="2" s="1"/>
  <c r="X10" i="2" l="1"/>
  <c r="X11" i="2" s="1"/>
  <c r="W14" i="2"/>
  <c r="W15" i="2" s="1"/>
  <c r="J19" i="2"/>
  <c r="J27" i="2" s="1"/>
  <c r="Q27" i="2" s="1"/>
  <c r="R16" i="2" s="1"/>
  <c r="R17" i="2" s="1"/>
  <c r="R18" i="2" s="1"/>
  <c r="R19" i="2" s="1"/>
  <c r="R27" i="2" s="1"/>
  <c r="S16" i="2" s="1"/>
  <c r="S17" i="2" s="1"/>
  <c r="S18" i="2" s="1"/>
  <c r="S19" i="2" s="1"/>
  <c r="S27" i="2" s="1"/>
  <c r="T16" i="2" s="1"/>
  <c r="T17" i="2" s="1"/>
  <c r="T18" i="2" s="1"/>
  <c r="T19" i="2" s="1"/>
  <c r="T27" i="2" s="1"/>
  <c r="U16" i="2" s="1"/>
  <c r="U17" i="2" s="1"/>
  <c r="U18" i="2" s="1"/>
  <c r="U19" i="2" s="1"/>
  <c r="U27" i="2" s="1"/>
  <c r="Q18" i="2"/>
  <c r="Q19" i="2"/>
  <c r="X14" i="2" l="1"/>
  <c r="X15" i="2" s="1"/>
  <c r="Y10" i="2"/>
  <c r="Y11" i="2" s="1"/>
  <c r="Y14" i="2" s="1"/>
  <c r="Y15" i="2" s="1"/>
  <c r="V16" i="2"/>
  <c r="V17" i="2" s="1"/>
  <c r="V18" i="2" s="1"/>
  <c r="V19" i="2" s="1"/>
  <c r="V27" i="2" s="1"/>
  <c r="W16" i="2" s="1"/>
  <c r="W17" i="2" s="1"/>
  <c r="W18" i="2" s="1"/>
  <c r="W19" i="2" s="1"/>
  <c r="AA10" i="2" l="1"/>
  <c r="AA11" i="2" s="1"/>
  <c r="AA14" i="2" s="1"/>
  <c r="AA15" i="2" s="1"/>
  <c r="Z10" i="2"/>
  <c r="Z11" i="2" s="1"/>
  <c r="Z14" i="2" s="1"/>
  <c r="Z15" i="2" s="1"/>
  <c r="W27" i="2"/>
  <c r="X16" i="2" l="1"/>
  <c r="X17" i="2" s="1"/>
  <c r="X18" i="2" s="1"/>
  <c r="X19" i="2" s="1"/>
  <c r="X27" i="2" l="1"/>
  <c r="Y16" i="2" l="1"/>
  <c r="Y17" i="2" s="1"/>
  <c r="Y18" i="2" s="1"/>
  <c r="Y19" i="2" s="1"/>
  <c r="Y27" i="2" s="1"/>
  <c r="Z16" i="2" l="1"/>
  <c r="Z17" i="2" s="1"/>
  <c r="Z18" i="2" s="1"/>
  <c r="Z19" i="2" s="1"/>
  <c r="Z27" i="2" s="1"/>
  <c r="AA16" i="2" l="1"/>
  <c r="AA17" i="2" s="1"/>
  <c r="AA18" i="2" l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AD24" i="2" l="1"/>
  <c r="AD25" i="2" s="1"/>
  <c r="AD26" i="2" s="1"/>
  <c r="AA27" i="2"/>
</calcChain>
</file>

<file path=xl/sharedStrings.xml><?xml version="1.0" encoding="utf-8"?>
<sst xmlns="http://schemas.openxmlformats.org/spreadsheetml/2006/main" count="139" uniqueCount="126">
  <si>
    <t>Price</t>
  </si>
  <si>
    <t>Shares</t>
  </si>
  <si>
    <t>MC</t>
  </si>
  <si>
    <t>Cash</t>
  </si>
  <si>
    <t>Debt</t>
  </si>
  <si>
    <t>EV</t>
  </si>
  <si>
    <t>2022 interview w/ CEO Jacob DeWitte</t>
  </si>
  <si>
    <t>30-40m per reactor 15mW</t>
  </si>
  <si>
    <t>10-20 years lifespan</t>
  </si>
  <si>
    <t>AI/Cloud Server Energy demand expansion</t>
  </si>
  <si>
    <t>Current energy demand</t>
  </si>
  <si>
    <t>Literature</t>
  </si>
  <si>
    <t>https://www.eia.gov/electricity/monthly/update/end-use.php</t>
  </si>
  <si>
    <t>&lt;4-5c / kWh price; compared to ~13.63c / kWh as of June 2025 on average for commerical 9c / kWh for industrial</t>
  </si>
  <si>
    <t>Commerical energy cost vs. OKLO reactors</t>
  </si>
  <si>
    <t>Industrial energy cost vs. OKLO reactors</t>
  </si>
  <si>
    <t>energy margins are likely low? So OKLO reactors are ~2x or more on average more cost effective, more space effective, green energy, no pollution?</t>
  </si>
  <si>
    <t>Naturally stops itself from being critical? And naturally cools?</t>
  </si>
  <si>
    <t>EBR2 reactor in 1960s in Idaho; ran for 30 years April 3rd 1986 full-scale safety tests</t>
  </si>
  <si>
    <t>Research:</t>
  </si>
  <si>
    <t>3c/kWh, removed its own waste</t>
  </si>
  <si>
    <t>didn’t get to market because of "regulatory side"</t>
  </si>
  <si>
    <t>Trump BBB / AI new regulatory approach to promote nuclear energy</t>
  </si>
  <si>
    <t>Government nuclear regulations?</t>
  </si>
  <si>
    <t>OKLO patents?</t>
  </si>
  <si>
    <t>Main</t>
  </si>
  <si>
    <t>Revenue</t>
  </si>
  <si>
    <t>AURORA reuse fuel</t>
  </si>
  <si>
    <t>"over 100 years of powering the US stored in nuclear waste that can be recycled"</t>
  </si>
  <si>
    <t>Fast vs. Slow reactor</t>
  </si>
  <si>
    <t>Slow reactors: bounce off hydrogen in water easier to be caught by atoms (need less fuel)</t>
  </si>
  <si>
    <t>Fast: carry more energy, split more (transuranicactonites) = use more waste efficiently</t>
  </si>
  <si>
    <t>Safest form of energy</t>
  </si>
  <si>
    <t>https://www.youtube.com/watch?v=tXbWC1mDrl4</t>
  </si>
  <si>
    <t>Title</t>
  </si>
  <si>
    <t>Topic</t>
  </si>
  <si>
    <t>CEO Interview</t>
  </si>
  <si>
    <t>Energy Pricing</t>
  </si>
  <si>
    <t>Read</t>
  </si>
  <si>
    <t>Patent</t>
  </si>
  <si>
    <t>Notes</t>
  </si>
  <si>
    <t>Date</t>
  </si>
  <si>
    <t>US-12394531-B2</t>
  </si>
  <si>
    <t>Reactor building and vessel systems</t>
  </si>
  <si>
    <t>DeWitte; Jacob et al.</t>
  </si>
  <si>
    <t>US-12347576-B2</t>
  </si>
  <si>
    <t>Fuel cell lifting system for nuclear reactors</t>
  </si>
  <si>
    <t>US-11735326-B2</t>
  </si>
  <si>
    <t>System having heat pipe passing through annulus of nuclear fuel element</t>
  </si>
  <si>
    <t>US-10692611-B2</t>
  </si>
  <si>
    <t>Passive inherent reactivity coefficient control in nuclear reactors</t>
  </si>
  <si>
    <t>"10-100x" less land to use</t>
  </si>
  <si>
    <t>Other clean energies? Solar: way too much space used, dams: too little areas where you can build one, windmills?</t>
  </si>
  <si>
    <t>Assignee</t>
  </si>
  <si>
    <t>Patents expire 2035-2045</t>
  </si>
  <si>
    <t>Big thing is building out manufacturing capabilities</t>
  </si>
  <si>
    <t>https://www.nrc.gov/about-nrc.html</t>
  </si>
  <si>
    <t>NRC denied application 2022; Since the NRC was founded in 1974 no plant that has submitted its initial original plant application has come online</t>
  </si>
  <si>
    <t>Atomic Energy Commission (AEC) 1946-1974 disbanded</t>
  </si>
  <si>
    <t>ERDA: Nuclear R&amp;D</t>
  </si>
  <si>
    <t>Atomic Energy Act of 1954: Permitted private ownership of nuclear power plants, gave regulatory and licensing authority to AEC</t>
  </si>
  <si>
    <t>Atomic Energy Act of 1946</t>
  </si>
  <si>
    <t>Energy Reorginization Act of 1974: Abolished AEC, formed NRC</t>
  </si>
  <si>
    <t>NRC: President and senate appoint spots</t>
  </si>
  <si>
    <t>https://adams-search.nrc.gov/home</t>
  </si>
  <si>
    <t>ADAMS search for NRC documents</t>
  </si>
  <si>
    <t>Beyond Nuclear?</t>
  </si>
  <si>
    <t>Accession#</t>
  </si>
  <si>
    <t>ML20223A390</t>
  </si>
  <si>
    <t>CEO: Jake DeWitte, Ph.D</t>
  </si>
  <si>
    <t>Enrico Fermi - Fast reactors</t>
  </si>
  <si>
    <t>OKLO uses fast reactors, liquid sodium coolant, sodium operates at high temperatures without being pressurized (simplier, smaller, cheaper)</t>
  </si>
  <si>
    <t>compatible with commonly avaliable alloys</t>
  </si>
  <si>
    <t>operating capicity factors, low dose rates</t>
  </si>
  <si>
    <t>self-cooling, self-stabilizing, fuel recycling; thermal expansion, thermal conduction, thermal convection</t>
  </si>
  <si>
    <t>energy transition will take decades</t>
  </si>
  <si>
    <t>Main growth factor: Datacenters (low space, lots of cheap energy, unmet energy demand by local providers) datacenters also need full 100% energy input 24/7 unlike grids which lack during some hours</t>
  </si>
  <si>
    <t>Korea Hydro</t>
  </si>
  <si>
    <t>Trump nuclear energy</t>
  </si>
  <si>
    <t>Natrium</t>
  </si>
  <si>
    <t>NuScale</t>
  </si>
  <si>
    <t>Cameco</t>
  </si>
  <si>
    <t>Constellation</t>
  </si>
  <si>
    <t>No profit until 2027</t>
  </si>
  <si>
    <t>95% of nuclear waste can be recycled</t>
  </si>
  <si>
    <t>Named after Oklo in Gabon: only natural nuclear reactor known to exist</t>
  </si>
  <si>
    <t>Q225</t>
  </si>
  <si>
    <t>Q124</t>
  </si>
  <si>
    <t>Q224</t>
  </si>
  <si>
    <t>Q324</t>
  </si>
  <si>
    <t>Q424</t>
  </si>
  <si>
    <t>Q125</t>
  </si>
  <si>
    <t>Q325</t>
  </si>
  <si>
    <t>Q425</t>
  </si>
  <si>
    <t>COGS</t>
  </si>
  <si>
    <t>Gross Profit</t>
  </si>
  <si>
    <t>R&amp;D</t>
  </si>
  <si>
    <t>G&amp;A</t>
  </si>
  <si>
    <t>Operating Expenses</t>
  </si>
  <si>
    <t>Operating Income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</si>
  <si>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</si>
  <si>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</si>
  <si>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</si>
  <si>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</si>
  <si>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</si>
  <si>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</si>
  <si>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</si>
  <si>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Operating Margin</t>
  </si>
  <si>
    <t>Net Cash</t>
  </si>
  <si>
    <t>Power Plants</t>
  </si>
  <si>
    <t>Total Energy Supplied</t>
  </si>
  <si>
    <t>Data Center CapEx</t>
  </si>
  <si>
    <t>Data Center Energy</t>
  </si>
  <si>
    <t>Qualitative Factors to research:</t>
  </si>
  <si>
    <t>R&amp;D Effectiveness</t>
  </si>
  <si>
    <t>Management Quality &amp; Integrity</t>
  </si>
  <si>
    <t>Market Potential</t>
  </si>
  <si>
    <t>Margin Sustainability</t>
  </si>
  <si>
    <t>Competition</t>
  </si>
  <si>
    <t>Competitor-cross analysis</t>
  </si>
  <si>
    <t>Growth w/o dilution?</t>
  </si>
  <si>
    <t>ROIC</t>
  </si>
  <si>
    <t>Maturity</t>
  </si>
  <si>
    <t>Discount</t>
  </si>
  <si>
    <t>NPV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</si>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</sst>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" fontId="0" fillId="0" borderId="0" xfId="0" applyNumberFormat="1"/>
    <xf numFmtId="9" fontId="0" fillId="0" borderId="0" xfId="0" applyNumberFormat="1"/>
    <xf numFmtId="0" fontId="0" fillId="0" borderId="0" xfId="0" applyFont="1"/>
    <xf numFmtId="0" fontId="3" fillId="0" borderId="0" xfId="1"/>
    <xf numFmtId="14" fontId="0" fillId="0" borderId="0" xfId="0" applyNumberFormat="1"/>
    <xf numFmtId="3" fontId="0" fillId="0" borderId="0" xfId="0" applyNumberFormat="1"/>
    <xf numFmtId="3" fontId="3" fillId="0" borderId="0" xfId="1" applyNumberFormat="1"/>
    <xf numFmtId="3" fontId="1" fillId="0" borderId="0" xfId="0" applyNumberFormat="1" applyFont="1"/>
    <xf numFmtId="1" fontId="0" fillId="0" borderId="0" xfId="0" applyNumberFormat="1"/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73269</xdr:rowOff>
    </xdr:from>
    <xdr:to>
      <xdr:col>16</xdr:col>
      <xdr:colOff>0</xdr:colOff>
      <xdr:row>38</xdr:row>
      <xdr:rowOff>131884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2AC24E-FB64-D65D-3F4B-6C8F8B2AF178}"/>
            </a:ext>
          </a:extLst>
        </xdr:cNvPr>
        <xdr:cNvCxnSpPr/>
      </xdr:nvCxnSpPr>
      <xdr:spPr>
        <a:xfrm>
          <a:off x="9459058" y="73269"/>
          <a:ext cx="0" cy="521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0</xdr:row>
      <xdr:rowOff>58616</xdr:rowOff>
    </xdr:from>
    <xdr:to>
      <xdr:col>8</xdr:col>
      <xdr:colOff>0</xdr:colOff>
      <xdr:row>38</xdr:row>
      <xdr:rowOff>117231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1D5BDC6-86D6-4DCC-A2E1-E25B123F6E12}"/>
            </a:ext>
          </a:extLst>
        </xdr:cNvPr>
        <xdr:cNvCxnSpPr/>
      </xdr:nvCxnSpPr>
      <xdr:spPr>
        <a:xfrm>
          <a:off x="4593981" y="58616"/>
          <a:ext cx="0" cy="521676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243051</xdr:colOff>
      <xdr:row>63</xdr:row>
      <xdr:rowOff>32844</xdr:rowOff>
    </xdr:from>
    <xdr:to>
      <xdr:col>10</xdr:col>
      <xdr:colOff>32844</xdr:colOff>
      <xdr:row>83</xdr:row>
      <xdr:rowOff>25329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C5C5BB-708C-232D-7EE5-698B47D62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8068" y="10214741"/>
          <a:ext cx="5544207" cy="3276967"/>
        </a:xfrm>
        <a:prstGeom prst="rect">
          <a:avLst/>
        </a:prstGeom>
      </xdr:spPr>
    </xdr:pic>
    <xdr:clientData/>
  </xdr:twoCellAnchor>
  <xdr:twoCellAnchor editAs="oneCell">
    <xdr:from>
      <xdr:col>10</xdr:col>
      <xdr:colOff>175094</xdr:colOff>
      <xdr:row>64</xdr:row>
      <xdr:rowOff>91965</xdr:rowOff>
    </xdr:from>
    <xdr:to>
      <xdr:col>15</xdr:col>
      <xdr:colOff>333433</xdr:colOff>
      <xdr:row>82</xdr:row>
      <xdr:rowOff>97550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A328A95-7CA3-BEBD-055F-DDF533176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4525" y="10438086"/>
          <a:ext cx="3212908" cy="2961619"/>
        </a:xfrm>
        <a:prstGeom prst="rect">
          <a:avLst/>
        </a:prstGeom>
      </xdr:spPr>
    </xdr:pic>
    <xdr:clientData/>
  </xdr:twoCellAnchor>
  <xdr:twoCellAnchor editAs="oneCell">
    <xdr:from>
      <xdr:col>0</xdr:col>
      <xdr:colOff>114479</xdr:colOff>
      <xdr:row>83</xdr:row>
      <xdr:rowOff>111673</xdr:rowOff>
    </xdr:from>
    <xdr:to>
      <xdr:col>6</xdr:col>
      <xdr:colOff>471976</xdr:colOff>
      <xdr:row>101</xdr:row>
      <xdr:rowOff>52552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49A711-0161-E67D-DBC2-C89C4F441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479" y="13578052"/>
          <a:ext cx="4003273" cy="2896914"/>
        </a:xfrm>
        <a:prstGeom prst="rect">
          <a:avLst/>
        </a:prstGeom>
      </xdr:spPr>
    </xdr:pic>
    <xdr:clientData/>
  </xdr:twoCellAnchor>
  <xdr:twoCellAnchor editAs="oneCell">
    <xdr:from>
      <xdr:col>7</xdr:col>
      <xdr:colOff>223345</xdr:colOff>
      <xdr:row>84</xdr:row>
      <xdr:rowOff>140792</xdr:rowOff>
    </xdr:from>
    <xdr:to>
      <xdr:col>16</xdr:col>
      <xdr:colOff>181175</xdr:colOff>
      <xdr:row>99</xdr:row>
      <xdr:rowOff>62924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93EC728-C3E9-A71C-1F8C-7F715618E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80035" y="13771395"/>
          <a:ext cx="5456054" cy="2385494"/>
        </a:xfrm>
        <a:prstGeom prst="rect">
          <a:avLst/>
        </a:prstGeom>
      </xdr:spPr>
    </xdr:pic>
    <xdr:clientData/>
  </xdr:twoCellAnchor>
  <xdr:twoCellAnchor editAs="oneCell">
    <xdr:from>
      <xdr:col>1</xdr:col>
      <xdr:colOff>72259</xdr:colOff>
      <xdr:row>102</xdr:row>
      <xdr:rowOff>106273</xdr:rowOff>
    </xdr:from>
    <xdr:to>
      <xdr:col>8</xdr:col>
      <xdr:colOff>484290</xdr:colOff>
      <xdr:row>117</xdr:row>
      <xdr:rowOff>31754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44CA9D-EE06-3AC4-B3E5-2834940CCA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7276" y="16692911"/>
          <a:ext cx="4944617" cy="2388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dams-search.nrc.gov/home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rc.gov/docs/ML2022/ML20223A3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D711-D47F-4FE9-8131-3AF1DEFB8005}">
  <dimension ref="B2:L22"/>
  <sheetViews>
    <sheetView workbookViewId="0">
      <selection activeCell="C22" sqref="C22"/>
    </sheetView>
  </sheetViews>
  <sheetFormatPr defaultRowHeight="12.75" x14ac:dyDescent="0.2"/>
  <sheetData>
    <row r="2" spans="2:12" x14ac:dyDescent="0.2">
      <c r="J2" t="s">
        <v>0</v>
      </c>
      <c r="K2" s="2">
        <v>73</v>
      </c>
    </row>
    <row r="3" spans="2:12" x14ac:dyDescent="0.2">
      <c r="J3" t="s">
        <v>1</v>
      </c>
      <c r="K3" s="7">
        <f>147.6092</f>
        <v>147.60919999999999</v>
      </c>
      <c r="L3" t="s">
        <v>86</v>
      </c>
    </row>
    <row r="4" spans="2:12" x14ac:dyDescent="0.2">
      <c r="J4" t="s">
        <v>2</v>
      </c>
      <c r="K4" s="7">
        <f>K3*K2</f>
        <v>10775.471599999999</v>
      </c>
    </row>
    <row r="5" spans="2:12" x14ac:dyDescent="0.2">
      <c r="J5" t="s">
        <v>3</v>
      </c>
      <c r="K5" s="7">
        <f>226.8+307.66+148.6</f>
        <v>683.06000000000006</v>
      </c>
      <c r="L5" t="s">
        <v>86</v>
      </c>
    </row>
    <row r="6" spans="2:12" x14ac:dyDescent="0.2">
      <c r="J6" t="s">
        <v>4</v>
      </c>
      <c r="K6" s="7">
        <f>1.05</f>
        <v>1.05</v>
      </c>
      <c r="L6" t="s">
        <v>86</v>
      </c>
    </row>
    <row r="7" spans="2:12" x14ac:dyDescent="0.2">
      <c r="J7" t="s">
        <v>5</v>
      </c>
      <c r="K7" s="7">
        <f>K4+K6-K5</f>
        <v>10093.461599999999</v>
      </c>
    </row>
    <row r="8" spans="2:12" x14ac:dyDescent="0.2">
      <c r="B8" t="s">
        <v>85</v>
      </c>
    </row>
    <row r="9" spans="2:12" x14ac:dyDescent="0.2">
      <c r="J9" t="s">
        <v>69</v>
      </c>
    </row>
    <row r="10" spans="2:12" x14ac:dyDescent="0.2">
      <c r="B10" t="s">
        <v>77</v>
      </c>
    </row>
    <row r="11" spans="2:12" x14ac:dyDescent="0.2">
      <c r="B11" t="s">
        <v>78</v>
      </c>
    </row>
    <row r="13" spans="2:12" x14ac:dyDescent="0.2">
      <c r="B13" t="s">
        <v>83</v>
      </c>
    </row>
    <row r="15" spans="2:12" x14ac:dyDescent="0.2">
      <c r="B15" t="s">
        <v>113</v>
      </c>
    </row>
    <row r="16" spans="2:12" x14ac:dyDescent="0.2">
      <c r="C16" t="s">
        <v>114</v>
      </c>
    </row>
    <row r="17" spans="3:3" x14ac:dyDescent="0.2">
      <c r="C17" t="s">
        <v>115</v>
      </c>
    </row>
    <row r="18" spans="3:3" x14ac:dyDescent="0.2">
      <c r="C18" t="s">
        <v>116</v>
      </c>
    </row>
    <row r="19" spans="3:3" x14ac:dyDescent="0.2">
      <c r="C19" t="s">
        <v>117</v>
      </c>
    </row>
    <row r="20" spans="3:3" x14ac:dyDescent="0.2">
      <c r="C20" t="s">
        <v>118</v>
      </c>
    </row>
    <row r="21" spans="3:3" x14ac:dyDescent="0.2">
      <c r="C21" t="s">
        <v>119</v>
      </c>
    </row>
    <row r="22" spans="3:3" x14ac:dyDescent="0.2">
      <c r="C22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22D8-DCBB-4E04-A132-A863C36C41AD}">
  <dimension ref="A1:DW30"/>
  <sheetViews>
    <sheetView tabSelected="1" zoomScale="130" zoomScaleNormal="13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D1" sqref="AD1"/>
    </sheetView>
  </sheetViews>
  <sheetFormatPr defaultRowHeight="12.75" x14ac:dyDescent="0.2"/>
  <cols>
    <col min="1" max="1" width="5" style="7" bestFit="1" customWidth="1"/>
    <col min="2" max="2" width="19.42578125" style="7" bestFit="1" customWidth="1"/>
    <col min="3" max="3" width="9.140625" style="7" customWidth="1"/>
    <col min="4" max="16384" width="9.140625" style="7"/>
  </cols>
  <sheetData>
    <row r="1" spans="1:27" x14ac:dyDescent="0.2">
      <c r="A1" s="8" t="s">
        <v>25</v>
      </c>
    </row>
    <row r="2" spans="1:27" x14ac:dyDescent="0.2">
      <c r="C2" s="7" t="s">
        <v>87</v>
      </c>
      <c r="D2" s="7" t="s">
        <v>88</v>
      </c>
      <c r="E2" s="7" t="s">
        <v>89</v>
      </c>
      <c r="F2" s="7" t="s">
        <v>90</v>
      </c>
      <c r="G2" s="7" t="s">
        <v>91</v>
      </c>
      <c r="H2" s="7" t="s">
        <v>86</v>
      </c>
      <c r="I2" s="7" t="s">
        <v>92</v>
      </c>
      <c r="J2" s="7" t="s">
        <v>93</v>
      </c>
      <c r="L2" s="10">
        <v>2020</v>
      </c>
      <c r="M2" s="10">
        <f>L2+1</f>
        <v>2021</v>
      </c>
      <c r="N2" s="10">
        <f t="shared" ref="N2:AA2" si="0">M2+1</f>
        <v>2022</v>
      </c>
      <c r="O2" s="10">
        <f t="shared" si="0"/>
        <v>2023</v>
      </c>
      <c r="P2" s="10">
        <f t="shared" si="0"/>
        <v>2024</v>
      </c>
      <c r="Q2" s="10">
        <f t="shared" si="0"/>
        <v>2025</v>
      </c>
      <c r="R2" s="10">
        <f t="shared" si="0"/>
        <v>2026</v>
      </c>
      <c r="S2" s="10">
        <f t="shared" si="0"/>
        <v>2027</v>
      </c>
      <c r="T2" s="10">
        <f t="shared" si="0"/>
        <v>2028</v>
      </c>
      <c r="U2" s="10">
        <f t="shared" si="0"/>
        <v>2029</v>
      </c>
      <c r="V2" s="10">
        <f t="shared" si="0"/>
        <v>2030</v>
      </c>
      <c r="W2" s="10">
        <f t="shared" si="0"/>
        <v>2031</v>
      </c>
      <c r="X2" s="10">
        <f t="shared" si="0"/>
        <v>2032</v>
      </c>
      <c r="Y2" s="10">
        <f t="shared" si="0"/>
        <v>2033</v>
      </c>
      <c r="Z2" s="10">
        <f t="shared" si="0"/>
        <v>2034</v>
      </c>
      <c r="AA2" s="10">
        <f t="shared" si="0"/>
        <v>2035</v>
      </c>
    </row>
    <row r="3" spans="1:27" x14ac:dyDescent="0.2">
      <c r="B3" s="7" t="s">
        <v>111</v>
      </c>
    </row>
    <row r="4" spans="1:27" x14ac:dyDescent="0.2">
      <c r="B4" s="7" t="s">
        <v>112</v>
      </c>
    </row>
    <row r="6" spans="1:27" x14ac:dyDescent="0.2">
      <c r="B6" s="7" t="s">
        <v>110</v>
      </c>
    </row>
    <row r="7" spans="1:27" x14ac:dyDescent="0.2">
      <c r="B7" s="7" t="s">
        <v>109</v>
      </c>
    </row>
    <row r="9" spans="1:27" s="9" customFormat="1" x14ac:dyDescent="0.2">
      <c r="A9" s="7"/>
      <c r="B9" s="9" t="s">
        <v>26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Q9" s="7">
        <f>SUM(G9:J9)</f>
        <v>0</v>
      </c>
      <c r="S9" s="9">
        <v>1500</v>
      </c>
      <c r="T9" s="9">
        <f>S9*1.7</f>
        <v>2550</v>
      </c>
      <c r="U9" s="9">
        <f t="shared" ref="U9:V9" si="1">T9*1.7</f>
        <v>4335</v>
      </c>
      <c r="V9" s="9">
        <f t="shared" si="1"/>
        <v>7369.5</v>
      </c>
      <c r="W9" s="9">
        <f>V9*1.05</f>
        <v>7737.9750000000004</v>
      </c>
      <c r="X9" s="9">
        <f t="shared" ref="X9:AA9" si="2">W9*1.05</f>
        <v>8124.8737500000007</v>
      </c>
      <c r="Y9" s="9">
        <f t="shared" si="2"/>
        <v>8531.117437500001</v>
      </c>
      <c r="Z9" s="9">
        <f t="shared" si="2"/>
        <v>8957.6733093750008</v>
      </c>
      <c r="AA9" s="9">
        <f t="shared" si="2"/>
        <v>9405.556974843752</v>
      </c>
    </row>
    <row r="10" spans="1:27" x14ac:dyDescent="0.2">
      <c r="B10" s="7" t="s">
        <v>94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Q10" s="7">
        <f>SUM(G10:J10)</f>
        <v>0</v>
      </c>
      <c r="S10" s="7">
        <f>S9*(1-S24)</f>
        <v>600</v>
      </c>
      <c r="T10" s="7">
        <f t="shared" ref="T10:AA10" si="3">T9*(1-T24)</f>
        <v>1020</v>
      </c>
      <c r="U10" s="7">
        <f t="shared" si="3"/>
        <v>1734</v>
      </c>
      <c r="V10" s="7">
        <f t="shared" si="3"/>
        <v>2947.8</v>
      </c>
      <c r="W10" s="7">
        <f t="shared" si="3"/>
        <v>3095.1900000000005</v>
      </c>
      <c r="X10" s="7">
        <f t="shared" si="3"/>
        <v>3249.9495000000006</v>
      </c>
      <c r="Y10" s="7">
        <f t="shared" si="3"/>
        <v>3412.4469750000007</v>
      </c>
      <c r="Z10" s="7">
        <f t="shared" si="3"/>
        <v>3583.0693237500004</v>
      </c>
      <c r="AA10" s="7">
        <f t="shared" si="3"/>
        <v>3762.2227899375011</v>
      </c>
    </row>
    <row r="11" spans="1:27" x14ac:dyDescent="0.2">
      <c r="B11" s="7" t="s">
        <v>95</v>
      </c>
      <c r="C11" s="7">
        <f>C9-C10</f>
        <v>0</v>
      </c>
      <c r="D11" s="7">
        <f t="shared" ref="D11:G11" si="4">D9-D10</f>
        <v>0</v>
      </c>
      <c r="E11" s="7">
        <f t="shared" si="4"/>
        <v>0</v>
      </c>
      <c r="F11" s="7">
        <f t="shared" si="4"/>
        <v>0</v>
      </c>
      <c r="G11" s="7">
        <f t="shared" si="4"/>
        <v>0</v>
      </c>
      <c r="H11" s="7">
        <f>H9-H10</f>
        <v>0</v>
      </c>
      <c r="I11" s="7">
        <f t="shared" ref="I11:L11" si="5">I9-I10</f>
        <v>0</v>
      </c>
      <c r="J11" s="7">
        <f t="shared" si="5"/>
        <v>0</v>
      </c>
      <c r="L11" s="7">
        <f t="shared" si="5"/>
        <v>0</v>
      </c>
      <c r="M11" s="7">
        <f t="shared" ref="M11" si="6">M9-M10</f>
        <v>0</v>
      </c>
      <c r="N11" s="7">
        <f t="shared" ref="N11" si="7">N9-N10</f>
        <v>0</v>
      </c>
      <c r="O11" s="7">
        <f t="shared" ref="O11" si="8">O9-O10</f>
        <v>0</v>
      </c>
      <c r="P11" s="7">
        <f t="shared" ref="P11" si="9">P9-P10</f>
        <v>0</v>
      </c>
      <c r="Q11" s="7">
        <f t="shared" ref="Q11" si="10">Q9-Q10</f>
        <v>0</v>
      </c>
      <c r="R11" s="7">
        <f t="shared" ref="R11" si="11">R9-R10</f>
        <v>0</v>
      </c>
      <c r="S11" s="7">
        <f t="shared" ref="S11" si="12">S9-S10</f>
        <v>900</v>
      </c>
      <c r="T11" s="7">
        <f t="shared" ref="T11" si="13">T9-T10</f>
        <v>1530</v>
      </c>
      <c r="U11" s="7">
        <f t="shared" ref="U11" si="14">U9-U10</f>
        <v>2601</v>
      </c>
      <c r="V11" s="7">
        <f t="shared" ref="V11" si="15">V9-V10</f>
        <v>4421.7</v>
      </c>
      <c r="W11" s="7">
        <f t="shared" ref="W11" si="16">W9-W10</f>
        <v>4642.7849999999999</v>
      </c>
      <c r="X11" s="7">
        <f t="shared" ref="X11" si="17">X9-X10</f>
        <v>4874.92425</v>
      </c>
      <c r="Y11" s="7">
        <f t="shared" ref="Y11" si="18">Y9-Y10</f>
        <v>5118.6704625000002</v>
      </c>
      <c r="Z11" s="7">
        <f t="shared" ref="Z11" si="19">Z9-Z10</f>
        <v>5374.6039856250009</v>
      </c>
      <c r="AA11" s="7">
        <f t="shared" ref="AA11" si="20">AA9-AA10</f>
        <v>5643.3341849062508</v>
      </c>
    </row>
    <row r="12" spans="1:27" x14ac:dyDescent="0.2">
      <c r="B12" s="7" t="s">
        <v>96</v>
      </c>
      <c r="D12" s="7">
        <v>10.7</v>
      </c>
      <c r="H12" s="7">
        <v>11.5</v>
      </c>
      <c r="I12" s="7">
        <f>H12*1.02</f>
        <v>11.73</v>
      </c>
      <c r="J12" s="7">
        <f>I12*1.02</f>
        <v>11.964600000000001</v>
      </c>
      <c r="Q12" s="7">
        <f>SUM(G12:J12)</f>
        <v>35.194600000000001</v>
      </c>
    </row>
    <row r="13" spans="1:27" x14ac:dyDescent="0.2">
      <c r="B13" s="7" t="s">
        <v>97</v>
      </c>
      <c r="D13" s="7">
        <v>7.05</v>
      </c>
      <c r="H13" s="7">
        <v>16.55</v>
      </c>
      <c r="I13" s="7">
        <f>H13*1.02</f>
        <v>16.881</v>
      </c>
      <c r="J13" s="7">
        <f>I13*1.02</f>
        <v>17.218620000000001</v>
      </c>
      <c r="Q13" s="7">
        <f>SUM(G13:J13)</f>
        <v>50.649619999999999</v>
      </c>
    </row>
    <row r="14" spans="1:27" x14ac:dyDescent="0.2">
      <c r="B14" s="7" t="s">
        <v>98</v>
      </c>
      <c r="C14" s="7">
        <f>C12+C13</f>
        <v>0</v>
      </c>
      <c r="D14" s="7">
        <f>D12+D13</f>
        <v>17.75</v>
      </c>
      <c r="E14" s="7">
        <f>E12+E13</f>
        <v>0</v>
      </c>
      <c r="F14" s="7">
        <f t="shared" ref="F14:L14" si="21">F12+F13</f>
        <v>0</v>
      </c>
      <c r="G14" s="7">
        <f t="shared" si="21"/>
        <v>0</v>
      </c>
      <c r="H14" s="7">
        <f>H12+H13</f>
        <v>28.05</v>
      </c>
      <c r="I14" s="7">
        <f t="shared" si="21"/>
        <v>28.611000000000001</v>
      </c>
      <c r="J14" s="7">
        <f t="shared" si="21"/>
        <v>29.183220000000002</v>
      </c>
      <c r="L14" s="7">
        <f t="shared" si="21"/>
        <v>0</v>
      </c>
      <c r="M14" s="7">
        <f t="shared" ref="M14" si="22">M12+M13</f>
        <v>0</v>
      </c>
      <c r="N14" s="7">
        <f t="shared" ref="N14" si="23">N12+N13</f>
        <v>0</v>
      </c>
      <c r="O14" s="7">
        <f t="shared" ref="O14" si="24">O12+O13</f>
        <v>0</v>
      </c>
      <c r="P14" s="7">
        <f t="shared" ref="P14" si="25">P12+P13</f>
        <v>0</v>
      </c>
      <c r="Q14" s="7">
        <f t="shared" ref="Q14" si="26">Q12+Q13</f>
        <v>85.844220000000007</v>
      </c>
      <c r="R14" s="7">
        <f t="shared" ref="R14" si="27">R12+R13</f>
        <v>0</v>
      </c>
      <c r="S14" s="7">
        <f>S11*(1-S25)</f>
        <v>675</v>
      </c>
      <c r="T14" s="7">
        <f t="shared" ref="T14:AA14" si="28">T11*(1-T25)</f>
        <v>1147.5</v>
      </c>
      <c r="U14" s="7">
        <f t="shared" si="28"/>
        <v>1950.75</v>
      </c>
      <c r="V14" s="7">
        <f t="shared" si="28"/>
        <v>3316.2749999999996</v>
      </c>
      <c r="W14" s="7">
        <f t="shared" si="28"/>
        <v>3482.0887499999999</v>
      </c>
      <c r="X14" s="7">
        <f t="shared" si="28"/>
        <v>3656.1931875</v>
      </c>
      <c r="Y14" s="7">
        <f t="shared" si="28"/>
        <v>3839.0028468750002</v>
      </c>
      <c r="Z14" s="7">
        <f t="shared" si="28"/>
        <v>4030.9529892187506</v>
      </c>
      <c r="AA14" s="7">
        <f t="shared" si="28"/>
        <v>4232.5006386796886</v>
      </c>
    </row>
    <row r="15" spans="1:27" x14ac:dyDescent="0.2">
      <c r="B15" s="7" t="s">
        <v>99</v>
      </c>
      <c r="C15" s="7">
        <f>C11-C14</f>
        <v>0</v>
      </c>
      <c r="D15" s="7">
        <f>D11-D14</f>
        <v>-17.75</v>
      </c>
      <c r="E15" s="7">
        <f>E11-E14</f>
        <v>0</v>
      </c>
      <c r="F15" s="7">
        <f t="shared" ref="F15:L15" si="29">F11-F14</f>
        <v>0</v>
      </c>
      <c r="G15" s="7">
        <f t="shared" si="29"/>
        <v>0</v>
      </c>
      <c r="H15" s="7">
        <f>H11-H14</f>
        <v>-28.05</v>
      </c>
      <c r="I15" s="7">
        <f t="shared" si="29"/>
        <v>-28.611000000000001</v>
      </c>
      <c r="J15" s="7">
        <f t="shared" si="29"/>
        <v>-29.183220000000002</v>
      </c>
      <c r="L15" s="7">
        <f t="shared" si="29"/>
        <v>0</v>
      </c>
      <c r="M15" s="7">
        <f t="shared" ref="M15" si="30">M11-M14</f>
        <v>0</v>
      </c>
      <c r="N15" s="7">
        <f t="shared" ref="N15" si="31">N11-N14</f>
        <v>0</v>
      </c>
      <c r="O15" s="7">
        <f t="shared" ref="O15" si="32">O11-O14</f>
        <v>0</v>
      </c>
      <c r="P15" s="7">
        <f t="shared" ref="P15" si="33">P11-P14</f>
        <v>0</v>
      </c>
      <c r="Q15" s="7">
        <f t="shared" ref="Q15" si="34">Q11-Q14</f>
        <v>-85.844220000000007</v>
      </c>
      <c r="R15" s="7">
        <f t="shared" ref="R15" si="35">R11-R14</f>
        <v>0</v>
      </c>
      <c r="S15" s="7">
        <f t="shared" ref="S15" si="36">S11-S14</f>
        <v>225</v>
      </c>
      <c r="T15" s="7">
        <f t="shared" ref="T15" si="37">T11-T14</f>
        <v>382.5</v>
      </c>
      <c r="U15" s="7">
        <f t="shared" ref="U15" si="38">U11-U14</f>
        <v>650.25</v>
      </c>
      <c r="V15" s="7">
        <f t="shared" ref="V15" si="39">V11-V14</f>
        <v>1105.4250000000002</v>
      </c>
      <c r="W15" s="7">
        <f t="shared" ref="W15" si="40">W11-W14</f>
        <v>1160.69625</v>
      </c>
      <c r="X15" s="7">
        <f t="shared" ref="X15" si="41">X11-X14</f>
        <v>1218.7310625</v>
      </c>
      <c r="Y15" s="7">
        <f t="shared" ref="Y15" si="42">Y11-Y14</f>
        <v>1279.6676156250001</v>
      </c>
      <c r="Z15" s="7">
        <f t="shared" ref="Z15" si="43">Z11-Z14</f>
        <v>1343.6509964062502</v>
      </c>
      <c r="AA15" s="7">
        <f t="shared" ref="AA15" si="44">AA11-AA14</f>
        <v>1410.8335462265622</v>
      </c>
    </row>
    <row r="16" spans="1:27" x14ac:dyDescent="0.2">
      <c r="B16" s="7" t="s">
        <v>100</v>
      </c>
      <c r="D16" s="7">
        <v>1.7</v>
      </c>
      <c r="H16" s="7">
        <v>3.76</v>
      </c>
      <c r="I16" s="7">
        <f>H27*$AD$21</f>
        <v>13.64</v>
      </c>
      <c r="J16" s="7">
        <f>I27*$AD$21</f>
        <v>13.346568400000001</v>
      </c>
      <c r="Q16" s="7">
        <f>SUM(G16:J16)</f>
        <v>30.746568400000001</v>
      </c>
      <c r="R16" s="7">
        <f>Q27*$AD$21</f>
        <v>13.036170028640001</v>
      </c>
      <c r="S16" s="7">
        <f>R27*$AD$21</f>
        <v>13.291678961201347</v>
      </c>
      <c r="T16" s="7">
        <f>S27*$AD$21</f>
        <v>17.152004160372808</v>
      </c>
      <c r="U16" s="7">
        <f>T27*$AD$21</f>
        <v>23.62636662777085</v>
      </c>
      <c r="V16" s="7">
        <f>U27*$AD$21</f>
        <v>34.54316376714074</v>
      </c>
      <c r="W16" s="7">
        <f>V27*$AD$21</f>
        <v>53.010648020168418</v>
      </c>
      <c r="X16" s="7">
        <f>W27*$AD$21</f>
        <v>72.672699768095143</v>
      </c>
      <c r="Y16" s="7">
        <f>X27*$AD$21</f>
        <v>93.593440716838288</v>
      </c>
      <c r="Z16" s="7">
        <f>Y27*$AD$21</f>
        <v>115.84026982957607</v>
      </c>
      <c r="AA16" s="7">
        <f>Z27*$AD$21</f>
        <v>139.48402834259645</v>
      </c>
    </row>
    <row r="17" spans="1:127" x14ac:dyDescent="0.2">
      <c r="B17" s="7" t="s">
        <v>101</v>
      </c>
      <c r="C17" s="7">
        <f>C15+C16</f>
        <v>0</v>
      </c>
      <c r="D17" s="7">
        <f>D15+D16</f>
        <v>-16.05</v>
      </c>
      <c r="E17" s="7">
        <f>E15+E16</f>
        <v>0</v>
      </c>
      <c r="F17" s="7">
        <f t="shared" ref="F17:L17" si="45">F15+F16</f>
        <v>0</v>
      </c>
      <c r="G17" s="7">
        <f t="shared" si="45"/>
        <v>0</v>
      </c>
      <c r="H17" s="7">
        <f>H15+H16</f>
        <v>-24.29</v>
      </c>
      <c r="I17" s="7">
        <f t="shared" si="45"/>
        <v>-14.971</v>
      </c>
      <c r="J17" s="7">
        <f t="shared" si="45"/>
        <v>-15.836651600000001</v>
      </c>
      <c r="L17" s="7">
        <f t="shared" si="45"/>
        <v>0</v>
      </c>
      <c r="M17" s="7">
        <f t="shared" ref="M17" si="46">M15+M16</f>
        <v>0</v>
      </c>
      <c r="N17" s="7">
        <f t="shared" ref="N17" si="47">N15+N16</f>
        <v>0</v>
      </c>
      <c r="O17" s="7">
        <f t="shared" ref="O17" si="48">O15+O16</f>
        <v>0</v>
      </c>
      <c r="P17" s="7">
        <f t="shared" ref="P17" si="49">P15+P16</f>
        <v>0</v>
      </c>
      <c r="Q17" s="7">
        <f t="shared" ref="Q17" si="50">Q15+Q16</f>
        <v>-55.097651600000006</v>
      </c>
      <c r="R17" s="7">
        <f t="shared" ref="R17" si="51">R15+R16</f>
        <v>13.036170028640001</v>
      </c>
      <c r="S17" s="7">
        <f t="shared" ref="S17" si="52">S15+S16</f>
        <v>238.29167896120134</v>
      </c>
      <c r="T17" s="7">
        <f t="shared" ref="T17" si="53">T15+T16</f>
        <v>399.65200416037283</v>
      </c>
      <c r="U17" s="7">
        <f t="shared" ref="U17" si="54">U15+U16</f>
        <v>673.87636662777084</v>
      </c>
      <c r="V17" s="7">
        <f t="shared" ref="V17" si="55">V15+V16</f>
        <v>1139.9681637671408</v>
      </c>
      <c r="W17" s="7">
        <f t="shared" ref="W17" si="56">W15+W16</f>
        <v>1213.7068980201684</v>
      </c>
      <c r="X17" s="7">
        <f t="shared" ref="X17" si="57">X15+X16</f>
        <v>1291.4037622680951</v>
      </c>
      <c r="Y17" s="7">
        <f t="shared" ref="Y17" si="58">Y15+Y16</f>
        <v>1373.2610563418384</v>
      </c>
      <c r="Z17" s="7">
        <f t="shared" ref="Z17" si="59">Z15+Z16</f>
        <v>1459.4912662358263</v>
      </c>
      <c r="AA17" s="7">
        <f t="shared" ref="AA17" si="60">AA15+AA16</f>
        <v>1550.3175745691588</v>
      </c>
    </row>
    <row r="18" spans="1:127" x14ac:dyDescent="0.2">
      <c r="B18" s="7" t="s">
        <v>102</v>
      </c>
      <c r="D18" s="7">
        <v>-0.16400000000000001</v>
      </c>
      <c r="H18" s="7">
        <v>-0.43099999999999999</v>
      </c>
      <c r="I18" s="7">
        <f>I17*0.02</f>
        <v>-0.29942000000000002</v>
      </c>
      <c r="J18" s="7">
        <f>J17*0.02</f>
        <v>-0.31673303200000003</v>
      </c>
      <c r="Q18" s="7">
        <f>SUM(G18:J18)</f>
        <v>-1.0471530320000002</v>
      </c>
      <c r="R18" s="7">
        <f>R17*0.02</f>
        <v>0.26072340057280002</v>
      </c>
      <c r="S18" s="7">
        <f>S17*0.19</f>
        <v>45.275419002628254</v>
      </c>
      <c r="T18" s="7">
        <f t="shared" ref="T18:U18" si="61">T17*0.19</f>
        <v>75.933880790470837</v>
      </c>
      <c r="U18" s="7">
        <f t="shared" si="61"/>
        <v>128.03650965927645</v>
      </c>
      <c r="V18" s="7">
        <f t="shared" ref="V18" si="62">V17*0.19</f>
        <v>216.59395111575677</v>
      </c>
      <c r="W18" s="7">
        <f t="shared" ref="W18" si="63">W17*0.19</f>
        <v>230.60431062383199</v>
      </c>
      <c r="X18" s="7">
        <f t="shared" ref="X18" si="64">X17*0.19</f>
        <v>245.36671483093807</v>
      </c>
      <c r="Y18" s="7">
        <f t="shared" ref="Y18" si="65">Y17*0.19</f>
        <v>260.91960070494929</v>
      </c>
      <c r="Z18" s="7">
        <f t="shared" ref="Z18" si="66">Z17*0.19</f>
        <v>277.30334058480702</v>
      </c>
      <c r="AA18" s="7">
        <f t="shared" ref="AA18" si="67">AA17*0.19</f>
        <v>294.56033916814016</v>
      </c>
    </row>
    <row r="19" spans="1:127" x14ac:dyDescent="0.2">
      <c r="B19" s="7" t="s">
        <v>103</v>
      </c>
      <c r="C19" s="7">
        <f>C17-C18</f>
        <v>0</v>
      </c>
      <c r="D19" s="7">
        <f>D17-D18</f>
        <v>-15.886000000000001</v>
      </c>
      <c r="E19" s="7">
        <f>E17-E18</f>
        <v>0</v>
      </c>
      <c r="F19" s="7">
        <f t="shared" ref="F19:L19" si="68">F17-F18</f>
        <v>0</v>
      </c>
      <c r="G19" s="7">
        <f t="shared" si="68"/>
        <v>0</v>
      </c>
      <c r="H19" s="7">
        <f>H17-H18</f>
        <v>-23.858999999999998</v>
      </c>
      <c r="I19" s="7">
        <f t="shared" si="68"/>
        <v>-14.671580000000001</v>
      </c>
      <c r="J19" s="7">
        <f t="shared" si="68"/>
        <v>-15.519918568000001</v>
      </c>
      <c r="L19" s="7">
        <f t="shared" si="68"/>
        <v>0</v>
      </c>
      <c r="M19" s="7">
        <f t="shared" ref="M19" si="69">M17-M18</f>
        <v>0</v>
      </c>
      <c r="N19" s="7">
        <f t="shared" ref="N19" si="70">N17-N18</f>
        <v>0</v>
      </c>
      <c r="O19" s="7">
        <f t="shared" ref="O19" si="71">O17-O18</f>
        <v>0</v>
      </c>
      <c r="P19" s="7">
        <f t="shared" ref="P19" si="72">P17-P18</f>
        <v>0</v>
      </c>
      <c r="Q19" s="7">
        <f t="shared" ref="Q19" si="73">Q17-Q18</f>
        <v>-54.050498568000009</v>
      </c>
      <c r="R19" s="7">
        <f t="shared" ref="R19" si="74">R17-R18</f>
        <v>12.775446628067201</v>
      </c>
      <c r="S19" s="7">
        <f t="shared" ref="S19" si="75">S17-S18</f>
        <v>193.01625995857307</v>
      </c>
      <c r="T19" s="7">
        <f t="shared" ref="T19" si="76">T17-T18</f>
        <v>323.718123369902</v>
      </c>
      <c r="U19" s="7">
        <f t="shared" ref="U19" si="77">U17-U18</f>
        <v>545.83985696849436</v>
      </c>
      <c r="V19" s="7">
        <f t="shared" ref="V19" si="78">V17-V18</f>
        <v>923.37421265138403</v>
      </c>
      <c r="W19" s="7">
        <f t="shared" ref="W19" si="79">W17-W18</f>
        <v>983.10258739633639</v>
      </c>
      <c r="X19" s="7">
        <f t="shared" ref="X19" si="80">X17-X18</f>
        <v>1046.0370474371571</v>
      </c>
      <c r="Y19" s="7">
        <f t="shared" ref="Y19" si="81">Y17-Y18</f>
        <v>1112.3414556368891</v>
      </c>
      <c r="Z19" s="7">
        <f t="shared" ref="Z19" si="82">Z17-Z18</f>
        <v>1182.1879256510192</v>
      </c>
      <c r="AA19" s="7">
        <f t="shared" ref="AA19" si="83">AA17-AA18</f>
        <v>1255.7572354010185</v>
      </c>
      <c r="AB19" s="7">
        <f>AA19*(1+$AD$22)</f>
        <v>1280.8723801090389</v>
      </c>
      <c r="AC19" s="7">
        <f t="shared" ref="AC19:CN19" si="84">AB19*(1+$AD$22)</f>
        <v>1306.4898277112197</v>
      </c>
      <c r="AD19" s="7">
        <f t="shared" si="84"/>
        <v>1332.6196242654441</v>
      </c>
      <c r="AE19" s="7">
        <f t="shared" si="84"/>
        <v>1359.272016750753</v>
      </c>
      <c r="AF19" s="7">
        <f t="shared" si="84"/>
        <v>1386.4574570857681</v>
      </c>
      <c r="AG19" s="7">
        <f t="shared" si="84"/>
        <v>1414.1866062274835</v>
      </c>
      <c r="AH19" s="7">
        <f t="shared" si="84"/>
        <v>1442.4703383520332</v>
      </c>
      <c r="AI19" s="7">
        <f t="shared" si="84"/>
        <v>1471.3197451190738</v>
      </c>
      <c r="AJ19" s="7">
        <f t="shared" si="84"/>
        <v>1500.7461400214552</v>
      </c>
      <c r="AK19" s="7">
        <f t="shared" si="84"/>
        <v>1530.7610628218843</v>
      </c>
      <c r="AL19" s="7">
        <f t="shared" si="84"/>
        <v>1561.376284078322</v>
      </c>
      <c r="AM19" s="7">
        <f t="shared" si="84"/>
        <v>1592.6038097598885</v>
      </c>
      <c r="AN19" s="7">
        <f t="shared" si="84"/>
        <v>1624.4558859550862</v>
      </c>
      <c r="AO19" s="7">
        <f t="shared" si="84"/>
        <v>1656.945003674188</v>
      </c>
      <c r="AP19" s="7">
        <f t="shared" si="84"/>
        <v>1690.0839037476717</v>
      </c>
      <c r="AQ19" s="7">
        <f t="shared" si="84"/>
        <v>1723.8855818226252</v>
      </c>
      <c r="AR19" s="7">
        <f t="shared" si="84"/>
        <v>1758.3632934590778</v>
      </c>
      <c r="AS19" s="7">
        <f t="shared" si="84"/>
        <v>1793.5305593282594</v>
      </c>
      <c r="AT19" s="7">
        <f t="shared" si="84"/>
        <v>1829.4011705148246</v>
      </c>
      <c r="AU19" s="7">
        <f t="shared" si="84"/>
        <v>1865.9891939251211</v>
      </c>
      <c r="AV19" s="7">
        <f t="shared" si="84"/>
        <v>1903.3089778036235</v>
      </c>
      <c r="AW19" s="7">
        <f t="shared" si="84"/>
        <v>1941.375157359696</v>
      </c>
      <c r="AX19" s="7">
        <f t="shared" si="84"/>
        <v>1980.20266050689</v>
      </c>
      <c r="AY19" s="7">
        <f t="shared" si="84"/>
        <v>2019.8067137170278</v>
      </c>
      <c r="AZ19" s="7">
        <f t="shared" si="84"/>
        <v>2060.2028479913683</v>
      </c>
      <c r="BA19" s="7">
        <f t="shared" si="84"/>
        <v>2101.4069049511959</v>
      </c>
      <c r="BB19" s="7">
        <f t="shared" si="84"/>
        <v>2143.43504305022</v>
      </c>
      <c r="BC19" s="7">
        <f t="shared" si="84"/>
        <v>2186.3037439112245</v>
      </c>
      <c r="BD19" s="7">
        <f t="shared" si="84"/>
        <v>2230.0298187894491</v>
      </c>
      <c r="BE19" s="7">
        <f t="shared" si="84"/>
        <v>2274.630415165238</v>
      </c>
      <c r="BF19" s="7">
        <f t="shared" si="84"/>
        <v>2320.1230234685427</v>
      </c>
      <c r="BG19" s="7">
        <f t="shared" si="84"/>
        <v>2366.5254839379136</v>
      </c>
      <c r="BH19" s="7">
        <f t="shared" si="84"/>
        <v>2413.8559936166721</v>
      </c>
      <c r="BI19" s="7">
        <f t="shared" si="84"/>
        <v>2462.1331134890056</v>
      </c>
      <c r="BJ19" s="7">
        <f t="shared" si="84"/>
        <v>2511.3757757587859</v>
      </c>
      <c r="BK19" s="7">
        <f t="shared" si="84"/>
        <v>2561.6032912739615</v>
      </c>
      <c r="BL19" s="7">
        <f t="shared" si="84"/>
        <v>2612.8353570994409</v>
      </c>
      <c r="BM19" s="7">
        <f t="shared" si="84"/>
        <v>2665.0920642414299</v>
      </c>
      <c r="BN19" s="7">
        <f t="shared" si="84"/>
        <v>2718.3939055262585</v>
      </c>
      <c r="BO19" s="7">
        <f t="shared" si="84"/>
        <v>2772.7617836367835</v>
      </c>
      <c r="BP19" s="7">
        <f t="shared" si="84"/>
        <v>2828.2170193095194</v>
      </c>
      <c r="BQ19" s="7">
        <f t="shared" si="84"/>
        <v>2884.7813596957099</v>
      </c>
      <c r="BR19" s="7">
        <f t="shared" si="84"/>
        <v>2942.4769868896242</v>
      </c>
      <c r="BS19" s="7">
        <f t="shared" si="84"/>
        <v>3001.3265266274166</v>
      </c>
      <c r="BT19" s="7">
        <f t="shared" si="84"/>
        <v>3061.3530571599649</v>
      </c>
      <c r="BU19" s="7">
        <f t="shared" si="84"/>
        <v>3122.5801183031645</v>
      </c>
      <c r="BV19" s="7">
        <f t="shared" si="84"/>
        <v>3185.031720669228</v>
      </c>
      <c r="BW19" s="7">
        <f t="shared" si="84"/>
        <v>3248.7323550826127</v>
      </c>
      <c r="BX19" s="7">
        <f t="shared" si="84"/>
        <v>3313.7070021842651</v>
      </c>
      <c r="BY19" s="7">
        <f t="shared" si="84"/>
        <v>3379.9811422279504</v>
      </c>
      <c r="BZ19" s="7">
        <f t="shared" si="84"/>
        <v>3447.5807650725096</v>
      </c>
      <c r="CA19" s="7">
        <f t="shared" si="84"/>
        <v>3516.5323803739598</v>
      </c>
      <c r="CB19" s="7">
        <f t="shared" si="84"/>
        <v>3586.8630279814392</v>
      </c>
      <c r="CC19" s="7">
        <f t="shared" si="84"/>
        <v>3658.600288541068</v>
      </c>
      <c r="CD19" s="7">
        <f t="shared" si="84"/>
        <v>3731.7722943118893</v>
      </c>
      <c r="CE19" s="7">
        <f t="shared" si="84"/>
        <v>3806.4077401981272</v>
      </c>
      <c r="CF19" s="7">
        <f t="shared" si="84"/>
        <v>3882.5358950020895</v>
      </c>
      <c r="CG19" s="7">
        <f t="shared" si="84"/>
        <v>3960.1866129021314</v>
      </c>
      <c r="CH19" s="7">
        <f t="shared" si="84"/>
        <v>4039.3903451601741</v>
      </c>
      <c r="CI19" s="7">
        <f t="shared" si="84"/>
        <v>4120.1781520633776</v>
      </c>
      <c r="CJ19" s="7">
        <f t="shared" si="84"/>
        <v>4202.5817151046449</v>
      </c>
      <c r="CK19" s="7">
        <f t="shared" si="84"/>
        <v>4286.6333494067376</v>
      </c>
      <c r="CL19" s="7">
        <f t="shared" si="84"/>
        <v>4372.3660163948725</v>
      </c>
      <c r="CM19" s="7">
        <f t="shared" si="84"/>
        <v>4459.8133367227701</v>
      </c>
      <c r="CN19" s="7">
        <f t="shared" si="84"/>
        <v>4549.0096034572252</v>
      </c>
      <c r="CO19" s="7">
        <f t="shared" ref="CO19:DW19" si="85">CN19*(1+$AD$22)</f>
        <v>4639.9897955263696</v>
      </c>
      <c r="CP19" s="7">
        <f t="shared" si="85"/>
        <v>4732.7895914368974</v>
      </c>
      <c r="CQ19" s="7">
        <f t="shared" si="85"/>
        <v>4827.4453832656354</v>
      </c>
      <c r="CR19" s="7">
        <f t="shared" si="85"/>
        <v>4923.9942909309484</v>
      </c>
      <c r="CS19" s="7">
        <f t="shared" si="85"/>
        <v>5022.4741767495671</v>
      </c>
      <c r="CT19" s="7">
        <f t="shared" si="85"/>
        <v>5122.9236602845585</v>
      </c>
      <c r="CU19" s="7">
        <f t="shared" si="85"/>
        <v>5225.3821334902495</v>
      </c>
      <c r="CV19" s="7">
        <f t="shared" si="85"/>
        <v>5329.8897761600547</v>
      </c>
      <c r="CW19" s="7">
        <f t="shared" si="85"/>
        <v>5436.4875716832557</v>
      </c>
      <c r="CX19" s="7">
        <f t="shared" si="85"/>
        <v>5545.2173231169209</v>
      </c>
      <c r="CY19" s="7">
        <f t="shared" si="85"/>
        <v>5656.1216695792591</v>
      </c>
      <c r="CZ19" s="7">
        <f t="shared" si="85"/>
        <v>5769.2441029708443</v>
      </c>
      <c r="DA19" s="7">
        <f t="shared" si="85"/>
        <v>5884.628985030261</v>
      </c>
      <c r="DB19" s="7">
        <f t="shared" si="85"/>
        <v>6002.3215647308662</v>
      </c>
      <c r="DC19" s="7">
        <f t="shared" si="85"/>
        <v>6122.367996025484</v>
      </c>
      <c r="DD19" s="7">
        <f t="shared" si="85"/>
        <v>6244.8153559459934</v>
      </c>
      <c r="DE19" s="7">
        <f t="shared" si="85"/>
        <v>6369.7116630649134</v>
      </c>
      <c r="DF19" s="7">
        <f t="shared" si="85"/>
        <v>6497.1058963262121</v>
      </c>
      <c r="DG19" s="7">
        <f t="shared" si="85"/>
        <v>6627.0480142527367</v>
      </c>
      <c r="DH19" s="7">
        <f t="shared" si="85"/>
        <v>6759.5889745377917</v>
      </c>
      <c r="DI19" s="7">
        <f t="shared" si="85"/>
        <v>6894.7807540285476</v>
      </c>
      <c r="DJ19" s="7">
        <f t="shared" si="85"/>
        <v>7032.6763691091182</v>
      </c>
      <c r="DK19" s="7">
        <f t="shared" si="85"/>
        <v>7173.329896491301</v>
      </c>
      <c r="DL19" s="7">
        <f t="shared" si="85"/>
        <v>7316.7964944211271</v>
      </c>
      <c r="DM19" s="7">
        <f t="shared" si="85"/>
        <v>7463.1324243095496</v>
      </c>
      <c r="DN19" s="7">
        <f t="shared" si="85"/>
        <v>7612.3950727957408</v>
      </c>
      <c r="DO19" s="7">
        <f t="shared" si="85"/>
        <v>7764.6429742516557</v>
      </c>
      <c r="DP19" s="7">
        <f t="shared" si="85"/>
        <v>7919.9358337366893</v>
      </c>
      <c r="DQ19" s="7">
        <f t="shared" si="85"/>
        <v>8078.3345504114232</v>
      </c>
      <c r="DR19" s="7">
        <f t="shared" si="85"/>
        <v>8239.9012414196513</v>
      </c>
      <c r="DS19" s="7">
        <f t="shared" si="85"/>
        <v>8404.6992662480443</v>
      </c>
      <c r="DT19" s="7">
        <f t="shared" si="85"/>
        <v>8572.7932515730045</v>
      </c>
      <c r="DU19" s="7">
        <f t="shared" si="85"/>
        <v>8744.2491166044656</v>
      </c>
      <c r="DV19" s="7">
        <f t="shared" si="85"/>
        <v>8919.1340989365544</v>
      </c>
      <c r="DW19" s="7">
        <f t="shared" si="85"/>
        <v>9097.5167809152863</v>
      </c>
    </row>
    <row r="20" spans="1:127" x14ac:dyDescent="0.2">
      <c r="B20" s="7" t="s">
        <v>1</v>
      </c>
    </row>
    <row r="21" spans="1:127" x14ac:dyDescent="0.2">
      <c r="B21" s="7" t="s">
        <v>104</v>
      </c>
      <c r="AC21" s="7" t="s">
        <v>121</v>
      </c>
      <c r="AD21" s="3">
        <v>0.02</v>
      </c>
    </row>
    <row r="22" spans="1:127" x14ac:dyDescent="0.2">
      <c r="AC22" s="7" t="s">
        <v>122</v>
      </c>
      <c r="AD22" s="3">
        <v>0.02</v>
      </c>
    </row>
    <row r="23" spans="1:127" s="9" customFormat="1" x14ac:dyDescent="0.2">
      <c r="A23" s="7"/>
      <c r="B23" s="9" t="s">
        <v>105</v>
      </c>
      <c r="AC23" s="7" t="s">
        <v>123</v>
      </c>
      <c r="AD23" s="3">
        <v>0.09</v>
      </c>
    </row>
    <row r="24" spans="1:127" x14ac:dyDescent="0.2">
      <c r="B24" s="7" t="s">
        <v>106</v>
      </c>
      <c r="S24" s="3">
        <v>0.6</v>
      </c>
      <c r="T24" s="3">
        <v>0.6</v>
      </c>
      <c r="U24" s="3">
        <v>0.6</v>
      </c>
      <c r="V24" s="3">
        <v>0.6</v>
      </c>
      <c r="W24" s="3">
        <v>0.6</v>
      </c>
      <c r="X24" s="3">
        <v>0.6</v>
      </c>
      <c r="Y24" s="3">
        <v>0.6</v>
      </c>
      <c r="Z24" s="3">
        <v>0.6</v>
      </c>
      <c r="AA24" s="3">
        <v>0.6</v>
      </c>
      <c r="AC24" s="11" t="s">
        <v>124</v>
      </c>
      <c r="AD24" s="11">
        <f>NPV(AD23,Q19:XFD19)+Main!K5-Main!K6</f>
        <v>11569.66932538841</v>
      </c>
    </row>
    <row r="25" spans="1:127" x14ac:dyDescent="0.2">
      <c r="B25" s="7" t="s">
        <v>107</v>
      </c>
      <c r="S25" s="3">
        <v>0.25</v>
      </c>
      <c r="T25" s="3">
        <v>0.25</v>
      </c>
      <c r="U25" s="3">
        <v>0.25</v>
      </c>
      <c r="V25" s="3">
        <v>0.25</v>
      </c>
      <c r="W25" s="3">
        <v>0.25</v>
      </c>
      <c r="X25" s="3">
        <v>0.25</v>
      </c>
      <c r="Y25" s="3">
        <v>0.25</v>
      </c>
      <c r="Z25" s="3">
        <v>0.25</v>
      </c>
      <c r="AA25" s="3">
        <v>0.25</v>
      </c>
      <c r="AC25" s="7" t="s">
        <v>125</v>
      </c>
      <c r="AD25" s="2">
        <f>AD24/Main!K3</f>
        <v>78.380408032754133</v>
      </c>
    </row>
    <row r="26" spans="1:127" x14ac:dyDescent="0.2">
      <c r="AD26" s="3">
        <f>AD25/Main!K2-1</f>
        <v>7.3704219626768985E-2</v>
      </c>
    </row>
    <row r="27" spans="1:127" x14ac:dyDescent="0.2">
      <c r="B27" s="7" t="s">
        <v>108</v>
      </c>
      <c r="H27" s="7">
        <f>H28-H30</f>
        <v>682</v>
      </c>
      <c r="I27" s="7">
        <f>H27+I19</f>
        <v>667.32842000000005</v>
      </c>
      <c r="J27" s="7">
        <f>I27+J19</f>
        <v>651.80850143200007</v>
      </c>
      <c r="Q27" s="7">
        <f>J27</f>
        <v>651.80850143200007</v>
      </c>
      <c r="R27" s="7">
        <f>Q27+R19</f>
        <v>664.58394806006731</v>
      </c>
      <c r="S27" s="7">
        <f t="shared" ref="S27:AA27" si="86">R27+S19</f>
        <v>857.60020801864039</v>
      </c>
      <c r="T27" s="7">
        <f t="shared" si="86"/>
        <v>1181.3183313885424</v>
      </c>
      <c r="U27" s="7">
        <f t="shared" si="86"/>
        <v>1727.1581883570368</v>
      </c>
      <c r="V27" s="7">
        <f t="shared" si="86"/>
        <v>2650.5324010084209</v>
      </c>
      <c r="W27" s="7">
        <f t="shared" si="86"/>
        <v>3633.6349884047572</v>
      </c>
      <c r="X27" s="7">
        <f t="shared" si="86"/>
        <v>4679.6720358419143</v>
      </c>
      <c r="Y27" s="7">
        <f t="shared" si="86"/>
        <v>5792.0134914788032</v>
      </c>
      <c r="Z27" s="7">
        <f t="shared" si="86"/>
        <v>6974.2014171298224</v>
      </c>
      <c r="AA27" s="7">
        <f t="shared" si="86"/>
        <v>8229.9586525308405</v>
      </c>
    </row>
    <row r="28" spans="1:127" x14ac:dyDescent="0.2">
      <c r="B28" s="7" t="s">
        <v>3</v>
      </c>
      <c r="H28" s="7">
        <v>683</v>
      </c>
    </row>
    <row r="30" spans="1:127" x14ac:dyDescent="0.2">
      <c r="B30" s="7" t="s">
        <v>4</v>
      </c>
      <c r="H30" s="7">
        <v>1</v>
      </c>
    </row>
  </sheetData>
  <hyperlinks>
    <hyperlink ref="A1" location="Main!A1" display="Main" xr:uid="{A597AD37-C659-47E9-8AEC-F0CA290E2D3F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904E-489F-4049-9EC7-1CF6B0072A52}">
  <dimension ref="A1:F12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8" sqref="D18"/>
    </sheetView>
  </sheetViews>
  <sheetFormatPr defaultRowHeight="12.75" x14ac:dyDescent="0.2"/>
  <cols>
    <col min="1" max="1" width="5" bestFit="1" customWidth="1"/>
    <col min="2" max="2" width="15.5703125" bestFit="1" customWidth="1"/>
    <col min="3" max="3" width="18.7109375" bestFit="1" customWidth="1"/>
    <col min="5" max="5" width="9.42578125" bestFit="1" customWidth="1"/>
  </cols>
  <sheetData>
    <row r="1" spans="1:6" x14ac:dyDescent="0.2">
      <c r="A1" s="5" t="s">
        <v>25</v>
      </c>
    </row>
    <row r="2" spans="1:6" x14ac:dyDescent="0.2">
      <c r="B2" t="s">
        <v>39</v>
      </c>
      <c r="C2" t="s">
        <v>53</v>
      </c>
      <c r="D2" t="s">
        <v>40</v>
      </c>
      <c r="E2" t="s">
        <v>41</v>
      </c>
      <c r="F2" t="s">
        <v>34</v>
      </c>
    </row>
    <row r="3" spans="1:6" x14ac:dyDescent="0.2">
      <c r="B3" t="s">
        <v>42</v>
      </c>
      <c r="C3" t="s">
        <v>44</v>
      </c>
      <c r="E3" s="6">
        <v>45888</v>
      </c>
      <c r="F3" t="s">
        <v>43</v>
      </c>
    </row>
    <row r="4" spans="1:6" x14ac:dyDescent="0.2">
      <c r="B4" t="s">
        <v>45</v>
      </c>
      <c r="C4" t="s">
        <v>44</v>
      </c>
      <c r="E4" s="6">
        <v>45839</v>
      </c>
      <c r="F4" t="s">
        <v>46</v>
      </c>
    </row>
    <row r="5" spans="1:6" x14ac:dyDescent="0.2">
      <c r="B5" t="s">
        <v>47</v>
      </c>
      <c r="C5" t="s">
        <v>44</v>
      </c>
      <c r="E5" s="6">
        <v>45160</v>
      </c>
      <c r="F5" t="s">
        <v>48</v>
      </c>
    </row>
    <row r="6" spans="1:6" x14ac:dyDescent="0.2">
      <c r="B6" t="s">
        <v>49</v>
      </c>
      <c r="C6" t="s">
        <v>44</v>
      </c>
      <c r="E6" s="6">
        <v>44005</v>
      </c>
      <c r="F6" t="s">
        <v>50</v>
      </c>
    </row>
    <row r="8" spans="1:6" x14ac:dyDescent="0.2">
      <c r="E8" t="s">
        <v>54</v>
      </c>
    </row>
    <row r="11" spans="1:6" x14ac:dyDescent="0.2">
      <c r="E11" t="s">
        <v>65</v>
      </c>
    </row>
    <row r="12" spans="1:6" x14ac:dyDescent="0.2">
      <c r="E12" s="5" t="s">
        <v>64</v>
      </c>
    </row>
  </sheetData>
  <hyperlinks>
    <hyperlink ref="A1" location="Main!A1" display="Main" xr:uid="{8C152149-0B8A-47D5-AC42-2B4472947D11}"/>
    <hyperlink ref="E12" r:id="rId1" xr:uid="{0D03592F-95B0-4944-A2C1-C8C57F4E96E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398B-41EC-465F-831A-C851EF9BD33D}">
  <dimension ref="A1:F63"/>
  <sheetViews>
    <sheetView zoomScale="145" zoomScaleNormal="145" workbookViewId="0">
      <selection activeCell="H102" sqref="H102"/>
    </sheetView>
  </sheetViews>
  <sheetFormatPr defaultRowHeight="12.75" x14ac:dyDescent="0.2"/>
  <cols>
    <col min="1" max="1" width="5" bestFit="1" customWidth="1"/>
    <col min="4" max="4" width="13" bestFit="1" customWidth="1"/>
  </cols>
  <sheetData>
    <row r="1" spans="1:3" x14ac:dyDescent="0.2">
      <c r="A1" s="5" t="s">
        <v>25</v>
      </c>
    </row>
    <row r="2" spans="1:3" x14ac:dyDescent="0.2">
      <c r="A2" s="5"/>
      <c r="B2" t="s">
        <v>71</v>
      </c>
    </row>
    <row r="3" spans="1:3" x14ac:dyDescent="0.2">
      <c r="B3" t="s">
        <v>72</v>
      </c>
    </row>
    <row r="4" spans="1:3" x14ac:dyDescent="0.2">
      <c r="B4" t="s">
        <v>74</v>
      </c>
    </row>
    <row r="5" spans="1:3" x14ac:dyDescent="0.2">
      <c r="B5" t="s">
        <v>73</v>
      </c>
    </row>
    <row r="7" spans="1:3" x14ac:dyDescent="0.2">
      <c r="B7" t="s">
        <v>75</v>
      </c>
    </row>
    <row r="8" spans="1:3" x14ac:dyDescent="0.2">
      <c r="B8" t="s">
        <v>84</v>
      </c>
    </row>
    <row r="9" spans="1:3" x14ac:dyDescent="0.2">
      <c r="B9" s="1" t="s">
        <v>6</v>
      </c>
    </row>
    <row r="11" spans="1:3" x14ac:dyDescent="0.2">
      <c r="B11" t="s">
        <v>7</v>
      </c>
    </row>
    <row r="12" spans="1:3" x14ac:dyDescent="0.2">
      <c r="B12" t="s">
        <v>8</v>
      </c>
    </row>
    <row r="13" spans="1:3" x14ac:dyDescent="0.2">
      <c r="B13" t="s">
        <v>13</v>
      </c>
    </row>
    <row r="15" spans="1:3" x14ac:dyDescent="0.2">
      <c r="B15" s="3">
        <f>9/5-1</f>
        <v>0.8</v>
      </c>
      <c r="C15" t="s">
        <v>15</v>
      </c>
    </row>
    <row r="16" spans="1:3" x14ac:dyDescent="0.2">
      <c r="B16" s="3">
        <f>13.6/5-1</f>
        <v>1.7199999999999998</v>
      </c>
      <c r="C16" t="s">
        <v>14</v>
      </c>
    </row>
    <row r="17" spans="2:3" x14ac:dyDescent="0.2">
      <c r="C17" t="s">
        <v>16</v>
      </c>
    </row>
    <row r="19" spans="2:3" x14ac:dyDescent="0.2">
      <c r="B19" t="s">
        <v>17</v>
      </c>
    </row>
    <row r="20" spans="2:3" x14ac:dyDescent="0.2">
      <c r="B20" t="s">
        <v>27</v>
      </c>
    </row>
    <row r="21" spans="2:3" x14ac:dyDescent="0.2">
      <c r="B21" t="s">
        <v>28</v>
      </c>
    </row>
    <row r="23" spans="2:3" x14ac:dyDescent="0.2">
      <c r="B23" t="s">
        <v>29</v>
      </c>
    </row>
    <row r="24" spans="2:3" x14ac:dyDescent="0.2">
      <c r="B24" t="s">
        <v>30</v>
      </c>
    </row>
    <row r="25" spans="2:3" x14ac:dyDescent="0.2">
      <c r="B25" t="s">
        <v>31</v>
      </c>
    </row>
    <row r="27" spans="2:3" x14ac:dyDescent="0.2">
      <c r="B27" t="s">
        <v>32</v>
      </c>
    </row>
    <row r="29" spans="2:3" x14ac:dyDescent="0.2">
      <c r="B29" t="s">
        <v>51</v>
      </c>
    </row>
    <row r="30" spans="2:3" x14ac:dyDescent="0.2">
      <c r="B30" t="s">
        <v>52</v>
      </c>
    </row>
    <row r="32" spans="2:3" x14ac:dyDescent="0.2">
      <c r="B32" t="s">
        <v>55</v>
      </c>
    </row>
    <row r="34" spans="2:6" x14ac:dyDescent="0.2">
      <c r="B34" t="s">
        <v>57</v>
      </c>
    </row>
    <row r="35" spans="2:6" x14ac:dyDescent="0.2">
      <c r="B35" t="s">
        <v>58</v>
      </c>
    </row>
    <row r="36" spans="2:6" x14ac:dyDescent="0.2">
      <c r="B36" t="s">
        <v>59</v>
      </c>
    </row>
    <row r="37" spans="2:6" x14ac:dyDescent="0.2">
      <c r="B37" t="s">
        <v>61</v>
      </c>
    </row>
    <row r="38" spans="2:6" x14ac:dyDescent="0.2">
      <c r="B38" t="s">
        <v>60</v>
      </c>
    </row>
    <row r="39" spans="2:6" x14ac:dyDescent="0.2">
      <c r="B39" t="s">
        <v>62</v>
      </c>
    </row>
    <row r="40" spans="2:6" x14ac:dyDescent="0.2">
      <c r="B40" t="s">
        <v>63</v>
      </c>
    </row>
    <row r="42" spans="2:6" x14ac:dyDescent="0.2">
      <c r="B42" s="1" t="s">
        <v>19</v>
      </c>
    </row>
    <row r="43" spans="2:6" x14ac:dyDescent="0.2">
      <c r="B43" s="4" t="s">
        <v>18</v>
      </c>
    </row>
    <row r="44" spans="2:6" x14ac:dyDescent="0.2">
      <c r="B44" s="4" t="s">
        <v>20</v>
      </c>
      <c r="F44" t="s">
        <v>21</v>
      </c>
    </row>
    <row r="45" spans="2:6" x14ac:dyDescent="0.2">
      <c r="B45" s="4"/>
    </row>
    <row r="46" spans="2:6" x14ac:dyDescent="0.2">
      <c r="B46" s="4" t="s">
        <v>23</v>
      </c>
    </row>
    <row r="47" spans="2:6" x14ac:dyDescent="0.2">
      <c r="B47" s="4" t="s">
        <v>24</v>
      </c>
    </row>
    <row r="48" spans="2:6" x14ac:dyDescent="0.2">
      <c r="B48" t="s">
        <v>22</v>
      </c>
    </row>
    <row r="51" spans="2:5" x14ac:dyDescent="0.2">
      <c r="B51" t="s">
        <v>10</v>
      </c>
    </row>
    <row r="53" spans="2:5" x14ac:dyDescent="0.2">
      <c r="B53" t="s">
        <v>9</v>
      </c>
    </row>
    <row r="54" spans="2:5" x14ac:dyDescent="0.2">
      <c r="B54" t="s">
        <v>76</v>
      </c>
    </row>
    <row r="56" spans="2:5" x14ac:dyDescent="0.2">
      <c r="B56" t="s">
        <v>70</v>
      </c>
    </row>
    <row r="59" spans="2:5" x14ac:dyDescent="0.2">
      <c r="B59" t="s">
        <v>11</v>
      </c>
    </row>
    <row r="60" spans="2:5" x14ac:dyDescent="0.2">
      <c r="C60" t="s">
        <v>38</v>
      </c>
      <c r="D60" t="s">
        <v>35</v>
      </c>
      <c r="E60" t="s">
        <v>34</v>
      </c>
    </row>
    <row r="61" spans="2:5" x14ac:dyDescent="0.2">
      <c r="D61" t="s">
        <v>37</v>
      </c>
      <c r="E61" t="s">
        <v>12</v>
      </c>
    </row>
    <row r="62" spans="2:5" x14ac:dyDescent="0.2">
      <c r="D62" t="s">
        <v>36</v>
      </c>
      <c r="E62" t="s">
        <v>33</v>
      </c>
    </row>
    <row r="63" spans="2:5" x14ac:dyDescent="0.2">
      <c r="E63" t="s">
        <v>56</v>
      </c>
    </row>
  </sheetData>
  <hyperlinks>
    <hyperlink ref="A1" location="Main!A1" display="Main" xr:uid="{1623257D-AD11-4703-B079-AF36089599E9}"/>
  </hyperlink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FA10-560F-4807-8C9C-E38E8AA6160E}">
  <dimension ref="A1:B13"/>
  <sheetViews>
    <sheetView zoomScale="160" zoomScaleNormal="160" workbookViewId="0">
      <selection activeCell="B14" sqref="B14"/>
    </sheetView>
  </sheetViews>
  <sheetFormatPr defaultRowHeight="12.75" x14ac:dyDescent="0.2"/>
  <cols>
    <col min="1" max="1" width="5" bestFit="1" customWidth="1"/>
  </cols>
  <sheetData>
    <row r="1" spans="1:2" x14ac:dyDescent="0.2">
      <c r="A1" s="5" t="s">
        <v>25</v>
      </c>
    </row>
    <row r="2" spans="1:2" x14ac:dyDescent="0.2">
      <c r="B2" t="s">
        <v>66</v>
      </c>
    </row>
    <row r="3" spans="1:2" x14ac:dyDescent="0.2">
      <c r="B3" t="s">
        <v>67</v>
      </c>
    </row>
    <row r="4" spans="1:2" x14ac:dyDescent="0.2">
      <c r="B4" s="5" t="s">
        <v>68</v>
      </c>
    </row>
    <row r="7" spans="1:2" x14ac:dyDescent="0.2">
      <c r="B7" t="s">
        <v>79</v>
      </c>
    </row>
    <row r="9" spans="1:2" x14ac:dyDescent="0.2">
      <c r="B9" t="s">
        <v>80</v>
      </c>
    </row>
    <row r="11" spans="1:2" x14ac:dyDescent="0.2">
      <c r="B11" t="s">
        <v>81</v>
      </c>
    </row>
    <row r="13" spans="1:2" x14ac:dyDescent="0.2">
      <c r="B13" t="s">
        <v>82</v>
      </c>
    </row>
  </sheetData>
  <hyperlinks>
    <hyperlink ref="A1" location="Main!A1" display="Main" xr:uid="{FFB477FC-8FEE-49C1-9534-3E587213003C}"/>
    <hyperlink ref="B4" r:id="rId1" display="https://www.nrc.gov/docs/ML2022/ML20223A390.pdf" xr:uid="{374FCF1E-3B28-42B8-855C-39042FC872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IP</vt:lpstr>
      <vt:lpstr>Literature</vt:lpstr>
      <vt:lpstr>Competitors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2025-08-28T07:47:35Z</dcterms:created>
  <dcterms:modified xsi:type="dcterms:W3CDTF">2025-08-28T09:23:07Z</dcterms:modified>
</cp:coreProperties>
</file>