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48E7E09B-8C47-4CCD-8381-4126F9946F2A}" xr6:coauthVersionLast="47" xr6:coauthVersionMax="47" xr10:uidLastSave="{00000000-0000-0000-0000-000000000000}"/>
  <bookViews>
    <workbookView xWindow="-105" yWindow="0" windowWidth="14610" windowHeight="15585" activeTab="1" xr2:uid="{0B35871E-4663-488C-B05C-A1B5B9C863D7}"/>
  </bookViews>
  <sheets>
    <sheet name="Main" sheetId="1" r:id="rId1"/>
    <sheet name="Model" sheetId="2" r:id="rId2"/>
    <sheet name="IP" sheetId="5" r:id="rId3"/>
    <sheet name="Trials" sheetId="4" r:id="rId4"/>
    <sheet name="GLP-1s" sheetId="3" r:id="rId5"/>
    <sheet name="Mounjaro-Zepbound" sheetId="6" r:id="rId6"/>
    <sheet name="Trulicity" sheetId="7" r:id="rId7"/>
    <sheet name="Kisunla" sheetId="8" r:id="rId8"/>
    <sheet name="orforglipron" sheetId="10" r:id="rId9"/>
    <sheet name="retratrutide" sheetId="11" r:id="rId10"/>
    <sheet name="imlunestrant" sheetId="12" r:id="rId11"/>
    <sheet name="lebrikizumab" sheetId="13" r:id="rId12"/>
    <sheet name="lepodisiran" sheetId="14" r:id="rId13"/>
    <sheet name="mirikizumab" sheetId="15" r:id="rId14"/>
    <sheet name="olomorasib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7" i="2" l="1"/>
  <c r="I26" i="2" l="1"/>
  <c r="J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H26" i="2"/>
  <c r="H19" i="2"/>
  <c r="I19" i="2" s="1"/>
  <c r="H18" i="2"/>
  <c r="I18" i="2" s="1"/>
  <c r="H15" i="2"/>
  <c r="I15" i="2" s="1"/>
  <c r="J15" i="2" s="1"/>
  <c r="C33" i="8"/>
  <c r="C35" i="8" s="1"/>
  <c r="D32" i="8"/>
  <c r="E32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G31" i="2"/>
  <c r="M29" i="2"/>
  <c r="N29" i="2"/>
  <c r="O29" i="2"/>
  <c r="P29" i="2"/>
  <c r="H16" i="2"/>
  <c r="G92" i="2"/>
  <c r="H88" i="2" s="1"/>
  <c r="J18" i="2" l="1"/>
  <c r="Q18" i="2" s="1"/>
  <c r="I31" i="2"/>
  <c r="J19" i="2"/>
  <c r="J31" i="2" s="1"/>
  <c r="H29" i="2"/>
  <c r="H31" i="2"/>
  <c r="Q19" i="2"/>
  <c r="R19" i="2" s="1"/>
  <c r="R31" i="2" s="1"/>
  <c r="E33" i="8"/>
  <c r="E35" i="8" s="1"/>
  <c r="F32" i="8"/>
  <c r="D33" i="8"/>
  <c r="D35" i="8" s="1"/>
  <c r="I16" i="2"/>
  <c r="I29" i="2"/>
  <c r="H87" i="2"/>
  <c r="H91" i="2"/>
  <c r="H90" i="2"/>
  <c r="H89" i="2"/>
  <c r="S19" i="2" l="1"/>
  <c r="G32" i="8"/>
  <c r="F33" i="8"/>
  <c r="F35" i="8" s="1"/>
  <c r="T19" i="2"/>
  <c r="S31" i="2"/>
  <c r="J16" i="2"/>
  <c r="Q16" i="2" s="1"/>
  <c r="J29" i="2"/>
  <c r="Q15" i="2"/>
  <c r="R15" i="2" s="1"/>
  <c r="S15" i="2" l="1"/>
  <c r="R16" i="2"/>
  <c r="H32" i="8"/>
  <c r="G33" i="8"/>
  <c r="G35" i="8" s="1"/>
  <c r="U19" i="2"/>
  <c r="T31" i="2"/>
  <c r="Q29" i="2"/>
  <c r="R29" i="2"/>
  <c r="S29" i="2" l="1"/>
  <c r="T15" i="2"/>
  <c r="S16" i="2"/>
  <c r="I32" i="8"/>
  <c r="H33" i="8"/>
  <c r="H35" i="8" s="1"/>
  <c r="V19" i="2"/>
  <c r="U31" i="2"/>
  <c r="V20" i="2"/>
  <c r="V31" i="2" l="1"/>
  <c r="W19" i="2"/>
  <c r="T29" i="2"/>
  <c r="U15" i="2"/>
  <c r="T16" i="2"/>
  <c r="J32" i="8"/>
  <c r="I33" i="8"/>
  <c r="I35" i="8" s="1"/>
  <c r="U16" i="2" l="1"/>
  <c r="U29" i="2"/>
  <c r="V15" i="2"/>
  <c r="X19" i="2"/>
  <c r="W31" i="2"/>
  <c r="W20" i="2"/>
  <c r="K32" i="8"/>
  <c r="J33" i="8"/>
  <c r="J35" i="8" s="1"/>
  <c r="X20" i="2" l="1"/>
  <c r="Y19" i="2"/>
  <c r="X31" i="2"/>
  <c r="W15" i="2"/>
  <c r="V16" i="2"/>
  <c r="V17" i="2" s="1"/>
  <c r="V29" i="2"/>
  <c r="L32" i="8"/>
  <c r="K33" i="8"/>
  <c r="K35" i="8" s="1"/>
  <c r="V30" i="2" l="1"/>
  <c r="V21" i="2"/>
  <c r="X15" i="2"/>
  <c r="W16" i="2"/>
  <c r="W17" i="2"/>
  <c r="W29" i="2"/>
  <c r="Z19" i="2"/>
  <c r="Y31" i="2"/>
  <c r="Y20" i="2"/>
  <c r="M32" i="8"/>
  <c r="L33" i="8"/>
  <c r="L35" i="8" s="1"/>
  <c r="Z20" i="2" l="1"/>
  <c r="Z31" i="2"/>
  <c r="AA19" i="2"/>
  <c r="W30" i="2"/>
  <c r="W21" i="2"/>
  <c r="X17" i="2"/>
  <c r="X16" i="2"/>
  <c r="Y15" i="2"/>
  <c r="X29" i="2"/>
  <c r="N32" i="8"/>
  <c r="M33" i="8"/>
  <c r="M35" i="8" s="1"/>
  <c r="X21" i="2" l="1"/>
  <c r="X30" i="2"/>
  <c r="Y29" i="2"/>
  <c r="Z15" i="2"/>
  <c r="Y16" i="2"/>
  <c r="Y17" i="2" s="1"/>
  <c r="AA20" i="2"/>
  <c r="AA31" i="2"/>
  <c r="O32" i="8"/>
  <c r="N33" i="8"/>
  <c r="N35" i="8" s="1"/>
  <c r="Y30" i="2" l="1"/>
  <c r="Y21" i="2"/>
  <c r="AA15" i="2"/>
  <c r="Z16" i="2"/>
  <c r="Z17" i="2" s="1"/>
  <c r="Z29" i="2"/>
  <c r="P32" i="8"/>
  <c r="O33" i="8"/>
  <c r="O35" i="8" s="1"/>
  <c r="Z30" i="2" l="1"/>
  <c r="Z21" i="2"/>
  <c r="AA29" i="2"/>
  <c r="AA16" i="2"/>
  <c r="AA17" i="2" s="1"/>
  <c r="Q32" i="8"/>
  <c r="P33" i="8"/>
  <c r="P35" i="8" s="1"/>
  <c r="AA30" i="2" l="1"/>
  <c r="AA21" i="2"/>
  <c r="R32" i="8"/>
  <c r="Q33" i="8"/>
  <c r="Q35" i="8" s="1"/>
  <c r="S32" i="8" l="1"/>
  <c r="S33" i="8" s="1"/>
  <c r="S35" i="8" s="1"/>
  <c r="R33" i="8"/>
  <c r="R35" i="8" s="1"/>
  <c r="D38" i="8" l="1"/>
  <c r="G80" i="2" l="1"/>
  <c r="G83" i="2" s="1"/>
  <c r="G74" i="2"/>
  <c r="G77" i="2" s="1"/>
  <c r="G69" i="2"/>
  <c r="G71" i="2" s="1"/>
  <c r="G48" i="2"/>
  <c r="G58" i="2" s="1"/>
  <c r="K7" i="1"/>
  <c r="G85" i="2" l="1"/>
  <c r="M33" i="2"/>
  <c r="N33" i="2"/>
  <c r="O33" i="2"/>
  <c r="P33" i="2"/>
  <c r="L33" i="2"/>
  <c r="C33" i="2"/>
  <c r="D33" i="2"/>
  <c r="E33" i="2"/>
  <c r="F33" i="2"/>
  <c r="G34" i="2" l="1"/>
  <c r="G70" i="2" s="1"/>
  <c r="M17" i="2"/>
  <c r="M30" i="2" s="1"/>
  <c r="N17" i="2"/>
  <c r="N30" i="2" s="1"/>
  <c r="O17" i="2"/>
  <c r="O30" i="2" s="1"/>
  <c r="P17" i="2"/>
  <c r="P30" i="2" s="1"/>
  <c r="Q17" i="2"/>
  <c r="Q30" i="2" s="1"/>
  <c r="R17" i="2"/>
  <c r="R30" i="2" s="1"/>
  <c r="S17" i="2"/>
  <c r="S30" i="2" s="1"/>
  <c r="T17" i="2"/>
  <c r="U17" i="2"/>
  <c r="M20" i="2"/>
  <c r="N20" i="2"/>
  <c r="N21" i="2" s="1"/>
  <c r="N23" i="2" s="1"/>
  <c r="N25" i="2" s="1"/>
  <c r="N27" i="2" s="1"/>
  <c r="O20" i="2"/>
  <c r="O21" i="2" s="1"/>
  <c r="O23" i="2" s="1"/>
  <c r="O25" i="2" s="1"/>
  <c r="O27" i="2" s="1"/>
  <c r="P20" i="2"/>
  <c r="Q20" i="2"/>
  <c r="R20" i="2"/>
  <c r="S20" i="2"/>
  <c r="T20" i="2"/>
  <c r="U20" i="2"/>
  <c r="L20" i="2"/>
  <c r="L17" i="2"/>
  <c r="I17" i="2"/>
  <c r="I30" i="2" s="1"/>
  <c r="J17" i="2"/>
  <c r="J30" i="2" s="1"/>
  <c r="I20" i="2"/>
  <c r="I21" i="2" s="1"/>
  <c r="J20" i="2"/>
  <c r="H20" i="2"/>
  <c r="H17" i="2"/>
  <c r="H30" i="2" s="1"/>
  <c r="F20" i="2"/>
  <c r="F17" i="2"/>
  <c r="F30" i="2" s="1"/>
  <c r="E20" i="2"/>
  <c r="E17" i="2"/>
  <c r="E30" i="2" s="1"/>
  <c r="D17" i="2"/>
  <c r="D20" i="2"/>
  <c r="C17" i="2"/>
  <c r="C30" i="2" s="1"/>
  <c r="C20" i="2"/>
  <c r="G20" i="2"/>
  <c r="G17" i="2"/>
  <c r="G30" i="2" s="1"/>
  <c r="G29" i="2"/>
  <c r="D21" i="2" l="1"/>
  <c r="D23" i="2" s="1"/>
  <c r="D25" i="2" s="1"/>
  <c r="D30" i="2"/>
  <c r="L21" i="2"/>
  <c r="L23" i="2" s="1"/>
  <c r="L25" i="2" s="1"/>
  <c r="L27" i="2" s="1"/>
  <c r="L30" i="2"/>
  <c r="U21" i="2"/>
  <c r="U30" i="2"/>
  <c r="T21" i="2"/>
  <c r="T30" i="2"/>
  <c r="J21" i="2"/>
  <c r="M21" i="2"/>
  <c r="M23" i="2" s="1"/>
  <c r="M25" i="2" s="1"/>
  <c r="M27" i="2" s="1"/>
  <c r="F21" i="2"/>
  <c r="F23" i="2" s="1"/>
  <c r="F25" i="2" s="1"/>
  <c r="F27" i="2" s="1"/>
  <c r="D27" i="2"/>
  <c r="D62" i="2"/>
  <c r="G21" i="2"/>
  <c r="G23" i="2" s="1"/>
  <c r="G25" i="2" s="1"/>
  <c r="G46" i="2"/>
  <c r="G59" i="2" s="1"/>
  <c r="G60" i="2" s="1"/>
  <c r="G33" i="2"/>
  <c r="H22" i="2" s="1"/>
  <c r="H21" i="2"/>
  <c r="E21" i="2"/>
  <c r="E23" i="2" s="1"/>
  <c r="E25" i="2" s="1"/>
  <c r="Q21" i="2"/>
  <c r="S21" i="2"/>
  <c r="P21" i="2"/>
  <c r="P23" i="2" s="1"/>
  <c r="P25" i="2" s="1"/>
  <c r="P27" i="2" s="1"/>
  <c r="R21" i="2"/>
  <c r="C21" i="2"/>
  <c r="C23" i="2" s="1"/>
  <c r="C25" i="2" s="1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K6" i="1"/>
  <c r="K4" i="1"/>
  <c r="K5" i="1" s="1"/>
  <c r="H23" i="2" l="1"/>
  <c r="H24" i="2"/>
  <c r="H25" i="2" s="1"/>
  <c r="K8" i="1"/>
  <c r="F62" i="2"/>
  <c r="C27" i="2"/>
  <c r="C62" i="2"/>
  <c r="E27" i="2"/>
  <c r="E62" i="2"/>
  <c r="G27" i="2"/>
  <c r="G62" i="2"/>
  <c r="H27" i="2" l="1"/>
  <c r="H33" i="2"/>
  <c r="I22" i="2" s="1"/>
  <c r="I23" i="2" l="1"/>
  <c r="I24" i="2" l="1"/>
  <c r="I25" i="2" s="1"/>
  <c r="I27" i="2" l="1"/>
  <c r="I33" i="2"/>
  <c r="J22" i="2" s="1"/>
  <c r="J23" i="2" l="1"/>
  <c r="Q22" i="2"/>
  <c r="Q23" i="2" s="1"/>
  <c r="J24" i="2" l="1"/>
  <c r="Q24" i="2" s="1"/>
  <c r="Q25" i="2" s="1"/>
  <c r="Q27" i="2" s="1"/>
  <c r="J25" i="2" l="1"/>
  <c r="J27" i="2" l="1"/>
  <c r="J33" i="2"/>
  <c r="Q33" i="2" s="1"/>
  <c r="R22" i="2" s="1"/>
  <c r="R23" i="2" s="1"/>
  <c r="R24" i="2" s="1"/>
  <c r="R25" i="2" s="1"/>
  <c r="R27" i="2" s="1"/>
  <c r="R33" i="2" l="1"/>
  <c r="S22" i="2"/>
  <c r="S23" i="2" s="1"/>
  <c r="S24" i="2" s="1"/>
  <c r="S25" i="2" s="1"/>
  <c r="S27" i="2" l="1"/>
  <c r="S33" i="2"/>
  <c r="T22" i="2" l="1"/>
  <c r="T23" i="2" s="1"/>
  <c r="T24" i="2" s="1"/>
  <c r="T25" i="2" s="1"/>
  <c r="T27" i="2" l="1"/>
  <c r="T33" i="2"/>
  <c r="U22" i="2" l="1"/>
  <c r="U23" i="2" s="1"/>
  <c r="U24" i="2" s="1"/>
  <c r="U25" i="2" s="1"/>
  <c r="U33" i="2" s="1"/>
  <c r="V22" i="2" l="1"/>
  <c r="V23" i="2" s="1"/>
  <c r="V24" i="2" s="1"/>
  <c r="V25" i="2" s="1"/>
  <c r="V33" i="2" s="1"/>
  <c r="U27" i="2"/>
  <c r="W22" i="2" l="1"/>
  <c r="W23" i="2" s="1"/>
  <c r="V27" i="2"/>
  <c r="W24" i="2" l="1"/>
  <c r="W25" i="2" s="1"/>
  <c r="W27" i="2" l="1"/>
  <c r="W33" i="2"/>
  <c r="X22" i="2" l="1"/>
  <c r="X23" i="2" s="1"/>
  <c r="X24" i="2" l="1"/>
  <c r="X25" i="2"/>
  <c r="X27" i="2" l="1"/>
  <c r="X33" i="2"/>
  <c r="Y22" i="2" l="1"/>
  <c r="Y23" i="2" s="1"/>
  <c r="Y24" i="2" s="1"/>
  <c r="Y25" i="2" s="1"/>
  <c r="Y27" i="2" s="1"/>
  <c r="Y33" i="2"/>
  <c r="Z22" i="2" l="1"/>
  <c r="Z23" i="2" s="1"/>
  <c r="Z24" i="2" s="1"/>
  <c r="Z25" i="2" s="1"/>
  <c r="Z27" i="2" s="1"/>
  <c r="Z33" i="2" l="1"/>
  <c r="AA22" i="2" l="1"/>
  <c r="AA23" i="2" s="1"/>
  <c r="AA24" i="2" s="1"/>
  <c r="AA25" i="2" s="1"/>
  <c r="AA33" i="2" s="1"/>
  <c r="AA27" i="2" l="1"/>
  <c r="AB25" i="2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AD30" i="2" s="1"/>
  <c r="AD31" i="2" l="1"/>
  <c r="AD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tc={870D49C2-D2BC-4507-9362-BAC854248C6B}</author>
  </authors>
  <commentList>
    <comment ref="Q15" authorId="0" shapeId="0" xr:uid="{870D49C2-D2BC-4507-9362-BAC854248C6B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guidance 58-61B as per Q125 presentation</t>
      </text>
    </comment>
  </commentList>
</comments>
</file>

<file path=xl/sharedStrings.xml><?xml version="1.0" encoding="utf-8"?>
<sst xmlns="http://schemas.openxmlformats.org/spreadsheetml/2006/main" count="558" uniqueCount="349">
  <si>
    <t>Price</t>
  </si>
  <si>
    <t>Shares</t>
  </si>
  <si>
    <t>MC</t>
  </si>
  <si>
    <t>Cash</t>
  </si>
  <si>
    <t>Debt</t>
  </si>
  <si>
    <t>EV</t>
  </si>
  <si>
    <t>Name</t>
  </si>
  <si>
    <t>Indication</t>
  </si>
  <si>
    <t>Phase</t>
  </si>
  <si>
    <t>Approved</t>
  </si>
  <si>
    <t>MOA</t>
  </si>
  <si>
    <t>Economics</t>
  </si>
  <si>
    <t>IP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</si>
  <si>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</si>
  <si>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</si>
  <si>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</si>
  <si>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</si>
  <si>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</si>
  <si>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</si>
  <si>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</si>
  <si>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</si>
  <si>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</si>
  <si>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</si>
  <si>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COGS</t>
  </si>
  <si>
    <t>Gross Profit</t>
  </si>
  <si>
    <t>R&amp;D</t>
  </si>
  <si>
    <t>SG&amp;A</t>
  </si>
  <si>
    <t>Operating Expenses</t>
  </si>
  <si>
    <t>Operating Income</t>
  </si>
  <si>
    <t>Number</t>
  </si>
  <si>
    <t>n</t>
  </si>
  <si>
    <t>Date</t>
  </si>
  <si>
    <t>Notes</t>
  </si>
  <si>
    <t>Patent</t>
  </si>
  <si>
    <t>Title</t>
  </si>
  <si>
    <t>Brand</t>
  </si>
  <si>
    <t>Generic</t>
  </si>
  <si>
    <t>Approval</t>
  </si>
  <si>
    <t>Company</t>
  </si>
  <si>
    <t>Y1</t>
  </si>
  <si>
    <t>Y2</t>
  </si>
  <si>
    <t>Y3</t>
  </si>
  <si>
    <t>Y4</t>
  </si>
  <si>
    <t>Y5</t>
  </si>
  <si>
    <t>Q1</t>
  </si>
  <si>
    <t>Q2</t>
  </si>
  <si>
    <t>Total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</si>
  <si>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</si>
  <si>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</si>
  <si>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</si>
  <si>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</si>
  <si>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</si>
  <si>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</si>
  <si>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</si>
  <si>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Net Cash</t>
  </si>
  <si>
    <t>AR</t>
  </si>
  <si>
    <t>Inventories</t>
  </si>
  <si>
    <t>Prepaids</t>
  </si>
  <si>
    <t>OCA</t>
  </si>
  <si>
    <t>Investments</t>
  </si>
  <si>
    <t>GW</t>
  </si>
  <si>
    <t>Other Receivables</t>
  </si>
  <si>
    <t>Other Intangibles</t>
  </si>
  <si>
    <t>PP&amp;E</t>
  </si>
  <si>
    <t>ONCA</t>
  </si>
  <si>
    <t>Assets</t>
  </si>
  <si>
    <t>AP</t>
  </si>
  <si>
    <t>Compensation</t>
  </si>
  <si>
    <t>OCL</t>
  </si>
  <si>
    <t>ONCL</t>
  </si>
  <si>
    <t>Liabilities</t>
  </si>
  <si>
    <t>L+SE</t>
  </si>
  <si>
    <t>SE</t>
  </si>
  <si>
    <t>Model NI</t>
  </si>
  <si>
    <t>Reported NI</t>
  </si>
  <si>
    <t>D&amp;A</t>
  </si>
  <si>
    <t>DT</t>
  </si>
  <si>
    <t>Taxes</t>
  </si>
  <si>
    <t>Retirement</t>
  </si>
  <si>
    <t>Sales Rebates</t>
  </si>
  <si>
    <t>Dividends</t>
  </si>
  <si>
    <t>SBC</t>
  </si>
  <si>
    <t>IPR&amp;D</t>
  </si>
  <si>
    <t>Other</t>
  </si>
  <si>
    <t>WC</t>
  </si>
  <si>
    <t>CFFO</t>
  </si>
  <si>
    <t>CapEx</t>
  </si>
  <si>
    <t>Acquisitions/IPRD</t>
  </si>
  <si>
    <t>CFFI</t>
  </si>
  <si>
    <t>Borrowing</t>
  </si>
  <si>
    <t>Buyback</t>
  </si>
  <si>
    <t>CFFF</t>
  </si>
  <si>
    <t>FX</t>
  </si>
  <si>
    <t>CIC</t>
  </si>
  <si>
    <t>Royalties</t>
  </si>
  <si>
    <t>Mounjaro</t>
  </si>
  <si>
    <t>Zepbound</t>
  </si>
  <si>
    <t>Trulicity</t>
  </si>
  <si>
    <t>Jardiance</t>
  </si>
  <si>
    <t>USA</t>
  </si>
  <si>
    <t>Europe</t>
  </si>
  <si>
    <t>China</t>
  </si>
  <si>
    <t>Japan</t>
  </si>
  <si>
    <t>Rest of World</t>
  </si>
  <si>
    <t>Other Cardiometabolic Health</t>
  </si>
  <si>
    <t>Verzenio</t>
  </si>
  <si>
    <t>Other Oncology</t>
  </si>
  <si>
    <t>Taltz</t>
  </si>
  <si>
    <t>Other Immunology</t>
  </si>
  <si>
    <t>Neuroscience</t>
  </si>
  <si>
    <t>Pricing power of GLP-1s?</t>
  </si>
  <si>
    <t>TAM GLP-1s</t>
  </si>
  <si>
    <t>Olomorasib</t>
  </si>
  <si>
    <t>Tirzepatide</t>
  </si>
  <si>
    <t>Orforglipron</t>
  </si>
  <si>
    <t>Questions:</t>
  </si>
  <si>
    <t>III</t>
  </si>
  <si>
    <t>CEO: David Ricks</t>
  </si>
  <si>
    <t>SG&amp;A y/y</t>
  </si>
  <si>
    <t>ROIC</t>
  </si>
  <si>
    <t>Maturity</t>
  </si>
  <si>
    <t>Discount</t>
  </si>
  <si>
    <t>NPV</t>
  </si>
  <si>
    <t>Share</t>
  </si>
  <si>
    <t>CFO: Lucas Montarce</t>
  </si>
  <si>
    <t>Abecmaciclib</t>
  </si>
  <si>
    <t>Imlunestrant</t>
  </si>
  <si>
    <t>Insulin Efsitora Alfa</t>
  </si>
  <si>
    <t>Lebrikizumab</t>
  </si>
  <si>
    <t>Lepodisiran</t>
  </si>
  <si>
    <t>Remternetug</t>
  </si>
  <si>
    <t>Retatrutide</t>
  </si>
  <si>
    <t>Selpercatinib</t>
  </si>
  <si>
    <t>Bimagrumab</t>
  </si>
  <si>
    <t>CD19 Ab</t>
  </si>
  <si>
    <t>Eloralintide</t>
  </si>
  <si>
    <t>Eltrekibart</t>
  </si>
  <si>
    <t>Epiregulin Ab</t>
  </si>
  <si>
    <t>GBA1 Gene Therapy</t>
  </si>
  <si>
    <t>GLP-1R NPA II</t>
  </si>
  <si>
    <t>GRN Gene Therapy</t>
  </si>
  <si>
    <t>Kv1.3 Antagonist</t>
  </si>
  <si>
    <t>Mazdutide</t>
  </si>
  <si>
    <t>Mazisotine</t>
  </si>
  <si>
    <t>Mevidalen</t>
  </si>
  <si>
    <t>MORF-057</t>
  </si>
  <si>
    <t>Muvalaplin</t>
  </si>
  <si>
    <t>Ocadusertib</t>
  </si>
  <si>
    <t>OTOF Gene Therapy</t>
  </si>
  <si>
    <t>P2X7 Inhibitor</t>
  </si>
  <si>
    <t>Simepdekinra</t>
  </si>
  <si>
    <t>Solbinsiran</t>
  </si>
  <si>
    <t>II</t>
  </si>
  <si>
    <t>[Ac-225]-PSMA-62</t>
  </si>
  <si>
    <t>Anti-VEGF Gene Therapy</t>
  </si>
  <si>
    <t>AT2R Antagonist</t>
  </si>
  <si>
    <t>FGFR3 Selective</t>
  </si>
  <si>
    <t>Fra ADC</t>
  </si>
  <si>
    <t>FXR Agonist (FXR314)</t>
  </si>
  <si>
    <t>GIP/GLP-1 Coagonist III</t>
  </si>
  <si>
    <t>GIPR Agonist Long Acting</t>
  </si>
  <si>
    <t>GS Insulin Receptor Agonist</t>
  </si>
  <si>
    <t>Integrin a5b1</t>
  </si>
  <si>
    <t>Itaconate Mimetic</t>
  </si>
  <si>
    <t>KRAS G12D</t>
  </si>
  <si>
    <t>LA-ANP</t>
  </si>
  <si>
    <t>Macupatide</t>
  </si>
  <si>
    <t>MAPT siRNA</t>
  </si>
  <si>
    <t>Nectin-4 ADC 1</t>
  </si>
  <si>
    <t>Nectin-4 ADC 2</t>
  </si>
  <si>
    <t>Nisotirostide</t>
  </si>
  <si>
    <t>Pan KRAS</t>
  </si>
  <si>
    <t>PI3Ka Inhibitor (STX-478)</t>
  </si>
  <si>
    <t>PNPLA3 siRNA</t>
  </si>
  <si>
    <t>SARM1 Inhibitor</t>
  </si>
  <si>
    <t>SCAP siRNA</t>
  </si>
  <si>
    <t>SMARCA2 (BRM)</t>
  </si>
  <si>
    <t>SNCA siRNA</t>
  </si>
  <si>
    <t>I</t>
  </si>
  <si>
    <t>Mounjaro (tirzepatide)</t>
  </si>
  <si>
    <t>Zepbound (tirzepatide)</t>
  </si>
  <si>
    <t>Emgality (galcanezumab-gnlm)</t>
  </si>
  <si>
    <t>Jaypirca (pirtobrutinib)</t>
  </si>
  <si>
    <t>Retevmo (selpercatinib)</t>
  </si>
  <si>
    <t>Olumiant (baricitinib)</t>
  </si>
  <si>
    <t>Omvoh (mirikizumab-mrkz)</t>
  </si>
  <si>
    <t>Reyvow (lasmiditan)</t>
  </si>
  <si>
    <t>Lyumjev (insulin lispro)</t>
  </si>
  <si>
    <t>Ebglyss (lebrikizumab-lbkz)</t>
  </si>
  <si>
    <t>Adcirca (tadalafil)</t>
  </si>
  <si>
    <t>Alimta (pemetrexed)</t>
  </si>
  <si>
    <t>AmyviD (florbetapir)</t>
  </si>
  <si>
    <t>Baqsimi (glucagon)</t>
  </si>
  <si>
    <t>Basaglar (insulin glargine)</t>
  </si>
  <si>
    <t>Erbitux (cetuximab)</t>
  </si>
  <si>
    <t>Forteo (teriparatide)</t>
  </si>
  <si>
    <t>Humalog (insulin lispro)</t>
  </si>
  <si>
    <t>Humatrope (somatropin)</t>
  </si>
  <si>
    <t>Humulin (insulin isophane)</t>
  </si>
  <si>
    <t>Jardiance (empagliflozin)</t>
  </si>
  <si>
    <t>Jentadeuto (linagliptin I metformin HCI)</t>
  </si>
  <si>
    <t>Synjardy (empagliflozin/metformin HCI)</t>
  </si>
  <si>
    <t>Taltz (ixekizumab)</t>
  </si>
  <si>
    <t>Tauvid (flortaucipir F 18)</t>
  </si>
  <si>
    <t>Tradjenta (linagliptin)</t>
  </si>
  <si>
    <t>Trulicity (dulaglutide)</t>
  </si>
  <si>
    <t>Verzenio (abecmaciclib)</t>
  </si>
  <si>
    <t>Zyprexa (olanzapine)</t>
  </si>
  <si>
    <t>Acquistions</t>
  </si>
  <si>
    <t>Clinical Trials</t>
  </si>
  <si>
    <t>Physiochemistry</t>
  </si>
  <si>
    <t>Regulatory</t>
  </si>
  <si>
    <t>Dosing</t>
  </si>
  <si>
    <t>US Patient Pool</t>
  </si>
  <si>
    <t>Treated</t>
  </si>
  <si>
    <t>Kisunla (donanemab-azbt)</t>
  </si>
  <si>
    <t>Kisunla</t>
  </si>
  <si>
    <t>donanemab</t>
  </si>
  <si>
    <t>Alzheimer's</t>
  </si>
  <si>
    <t>mAb</t>
  </si>
  <si>
    <t>Approved FDA; Likely approval EMA</t>
  </si>
  <si>
    <t>Verve Therapeutics - July 25 2025</t>
  </si>
  <si>
    <t>Phase III "ACHIEVE-1" in Obesity? n= NCT:</t>
  </si>
  <si>
    <t>orforglipron</t>
  </si>
  <si>
    <t>Obesity?</t>
  </si>
  <si>
    <t>Phase III "ATTAIN-1"</t>
  </si>
  <si>
    <t>Results Q325</t>
  </si>
  <si>
    <t>retratrutide</t>
  </si>
  <si>
    <t>Phase III "TRUMPH-4" in Obestity? n= NCT:</t>
  </si>
  <si>
    <t>Results Q425</t>
  </si>
  <si>
    <t>mAb blocks activin type II receptors</t>
  </si>
  <si>
    <t>P.E MACE-3: CV death, myocardial infarction or stroke</t>
  </si>
  <si>
    <t xml:space="preserve">Phase III "SURPASS-CVOT" in  n=13299 NCT: </t>
  </si>
  <si>
    <t>dulaglutide</t>
  </si>
  <si>
    <t>Reduced risk of MACE-3 by 12% p=0.026</t>
  </si>
  <si>
    <t>double US manufacturing investments to a total of 50B since 2020</t>
  </si>
  <si>
    <t>GLP-1</t>
  </si>
  <si>
    <t>Oral</t>
  </si>
  <si>
    <t>S.S?</t>
  </si>
  <si>
    <t>Cyramza (ramucirumab)</t>
  </si>
  <si>
    <t>Glyxambi (empagliflozin/linagliptin)</t>
  </si>
  <si>
    <t>Type 2 Diabetes</t>
  </si>
  <si>
    <t>ASCVD</t>
  </si>
  <si>
    <t>III?</t>
  </si>
  <si>
    <t>resected adjuvant NSCLC</t>
  </si>
  <si>
    <t>ER+, HER2-mBC</t>
  </si>
  <si>
    <t>Crohn's disease</t>
  </si>
  <si>
    <t>Phase III "TRAILBLAZER-ALZ 3" in Alzheimer's n=2196 NCT:NCT05026866</t>
  </si>
  <si>
    <t>Phase III "TRAILBLAZER-ALZ 5" in Alzheimer's n=1500 NCT:NCT05508789</t>
  </si>
  <si>
    <t>Phase III "TRAILBLAZER-ALZ 6" in Alzheimer's n=800 NCT:NCT04437511</t>
  </si>
  <si>
    <t>Phase III "TRAILBLAZER-ALZ 2" in Alzheimer's n=1736 NCT:NCT05738486</t>
  </si>
  <si>
    <t>P.E iADRS</t>
  </si>
  <si>
    <t>P.E ARIA-E</t>
  </si>
  <si>
    <t>P.E CDR-GS</t>
  </si>
  <si>
    <t>imlunestrant</t>
  </si>
  <si>
    <t>Phase III "EMBER-3" in ER+, HER2-mBC n=866 NCT:NCT04975308</t>
  </si>
  <si>
    <t>Phase III "EMBER-4" in ER+, HER2-mBC n=8000 NCT:NCT05514054</t>
  </si>
  <si>
    <t>ER+, HER2-mBC; Breast Neoplasms</t>
  </si>
  <si>
    <t>P.E. PFS in ITT</t>
  </si>
  <si>
    <t>P.E. IDFS</t>
  </si>
  <si>
    <t>lebrikizumab</t>
  </si>
  <si>
    <t>LY3650150</t>
  </si>
  <si>
    <t>Phase III "ADmirable" in mod-severe Atopic Dermatitis n=80 NCT:NCT05372419</t>
  </si>
  <si>
    <t>Phase III "ADjoin" in mod-severe Atopic Dermatitis n=1188 NCT:NCT04392154</t>
  </si>
  <si>
    <t>Phase III "ADorable-2" in mod-severe Atopic Dermatitis 6mo to &lt;18yr age n=310 NCT:NCT05735483</t>
  </si>
  <si>
    <t>Phase III "ADorable-1" in mod-severe Atopic Dermatitis 6mo to &lt;18yr age n=360 NCT:NCT05559359</t>
  </si>
  <si>
    <t>Phase III "ADvance-Asia" w/without topical corticosteroid mod-severe Atopic Dermatitis n=430 NCT:NCT06280716</t>
  </si>
  <si>
    <t>Phase III "PREPARED-1" in Perennial Allergic Rhinitis n=450 NCT:NCT06339008</t>
  </si>
  <si>
    <t>Phase III "" efficacy and safety in mod-severe Atopic Hand and Foot Dermatitis n=206 NCT:NCT06921759</t>
  </si>
  <si>
    <t>Phase III "CONTRAST-NP" in chronic rhinosinusitis &amp; nasal polyps treated w/intranasal corticosteroids n=510 NCT:NCT06338995</t>
  </si>
  <si>
    <t>P.E. EASI-75</t>
  </si>
  <si>
    <t>P.E. % of participants discountinued due to AE</t>
  </si>
  <si>
    <t>P.E. CFBL in TNSS at week 16</t>
  </si>
  <si>
    <t>P.E. % of participants achieving a HF-IGA score of 0 or 1 w/&gt;=2 point improvement from baseline</t>
  </si>
  <si>
    <t>P.E. CFBL in NCS</t>
  </si>
  <si>
    <t>lepodisiran</t>
  </si>
  <si>
    <t>Phase III "ACCLAIM-Lp?" in ASCVD n=12500 NCT:NCT06292013</t>
  </si>
  <si>
    <t>P.E. time to first occurance of any MACE-4 composite endpoint</t>
  </si>
  <si>
    <t>mirikizumab</t>
  </si>
  <si>
    <t>Crohn's Disease, Ulcerative Colitis</t>
  </si>
  <si>
    <t>Phase III "VIVID-2" in Crohn's Disease n=778 NCT:NCT04232553</t>
  </si>
  <si>
    <t>Phase III "COMMIT-CD" in Crohn's Disease n=290 NCT:NCT06937099</t>
  </si>
  <si>
    <t>Phase III "LUCENT-3" in Ulcerative Colitis n=1063 NCT:NCT03519945</t>
  </si>
  <si>
    <t>Phase III "COMMIT-UC" in Ulcerative Colitis n=350 NCT:NCT06937086</t>
  </si>
  <si>
    <t>Omvoh, LY3074828</t>
  </si>
  <si>
    <t>P.E. % of participants achieving endoscopic response</t>
  </si>
  <si>
    <t>P.E. % of participants who simultaneously achieve clinical remission by CDAI</t>
  </si>
  <si>
    <t>% of participants in clinical remission</t>
  </si>
  <si>
    <t>% of participants who simultaneously achieve clinical remission and at least 10% weight reduction</t>
  </si>
  <si>
    <t>olomorasib</t>
  </si>
  <si>
    <t>NSCLC</t>
  </si>
  <si>
    <t>LY3537982</t>
  </si>
  <si>
    <t>Phase III "SUNRAY-01" in NSCLC n=1016 NCT:NCT06119581</t>
  </si>
  <si>
    <t>Phase I/II "" in KRAS-G12C n=540 NCT:NCT04956640</t>
  </si>
  <si>
    <t>Phase III "SUNRAY-02" in resected or unresectable KRAS G12C-mutant NSCLC n=700 NCT:NCT06890598</t>
  </si>
  <si>
    <t>P.E. DFS at 48 months &amp; PFS per RECIST by BICR at 3 years</t>
  </si>
  <si>
    <t>P.E. dose optimization and safety &amp; number of participants w/ TEAE</t>
  </si>
  <si>
    <t>P.E. Phase 1a to determine recommended phase 2 dose (RP2D) monotherapy</t>
  </si>
  <si>
    <t>What pipeline drugs are worth investigating? (high revenue, good data)</t>
  </si>
  <si>
    <t>Obesity, Type 2 Diabetes, OSA</t>
  </si>
  <si>
    <t>CLL, MCL, ITP</t>
  </si>
  <si>
    <t>Obesity, Type 2 Diabetes, Chronic Kidney Disease</t>
  </si>
  <si>
    <t>NSCLC, Medullary Thyroid Cancer</t>
  </si>
  <si>
    <t>Psoriasis, Psoriatic Arthritis</t>
  </si>
  <si>
    <t>Obesity, Type 2 Diabetes, CKD, Type 1 Diabetes</t>
  </si>
  <si>
    <t>Breast Cancer, Breast Neoplasm</t>
  </si>
  <si>
    <t>Obesity</t>
  </si>
  <si>
    <t>Obesity, Hypertension</t>
  </si>
  <si>
    <t>Obesity, Alchohol Use Disorder</t>
  </si>
  <si>
    <t>Non-Alcoholic Fatty Liver Disease</t>
  </si>
  <si>
    <t>MS, RA</t>
  </si>
  <si>
    <t>Plaque Psoriasis</t>
  </si>
  <si>
    <t>Hidradenitis Suppurativa, Ulcerative Colitis</t>
  </si>
  <si>
    <t>Ulcerative Colitis, Crohn's Disease</t>
  </si>
  <si>
    <t>RA</t>
  </si>
  <si>
    <t>Vestibular Schwannoma</t>
  </si>
  <si>
    <t>Parkinson's, Gaucher Disease</t>
  </si>
  <si>
    <t>Frontotemporal Dementia</t>
  </si>
  <si>
    <t>OTOF-mediated hearing loss</t>
  </si>
  <si>
    <t>Parkinson's</t>
  </si>
  <si>
    <t>Prostate Cancer</t>
  </si>
  <si>
    <t>Urinary Bladder Neoplasms</t>
  </si>
  <si>
    <t>Ovarian Neoplasms</t>
  </si>
  <si>
    <t>Pancreatic Ductal Adenocarcinoma</t>
  </si>
  <si>
    <t>Metastatic Solid Tumor</t>
  </si>
  <si>
    <t>Breast Cancer</t>
  </si>
  <si>
    <t>Neuropathic Pain</t>
  </si>
  <si>
    <t>Diabetic Peripheral Neuropathy</t>
  </si>
  <si>
    <t>Ozempic</t>
  </si>
  <si>
    <t>NVO</t>
  </si>
  <si>
    <t>LLY</t>
  </si>
  <si>
    <t>Saxenda</t>
  </si>
  <si>
    <t>Wegovy</t>
  </si>
  <si>
    <t>Rybelsus</t>
  </si>
  <si>
    <t>Victoza</t>
  </si>
  <si>
    <t>liraglutide</t>
  </si>
  <si>
    <t>semaglutide</t>
  </si>
  <si>
    <t>tirzepatide</t>
  </si>
  <si>
    <t>Q1 ER Call</t>
  </si>
  <si>
    <t>"deep into a replacement cycle tirzepatide most of market"</t>
  </si>
  <si>
    <t>Hypertension, Obesity, Type 2 Diabetes</t>
  </si>
  <si>
    <t>GLP-1 agonist</t>
  </si>
  <si>
    <t>orforglipron oral GLP-1 launch</t>
  </si>
  <si>
    <t>oral manufacturing easier to scale and wider reach to patients</t>
  </si>
  <si>
    <t>orforglipron pricing power:</t>
  </si>
  <si>
    <t>"less flow into the channel more transparent pricing"</t>
  </si>
  <si>
    <t>semaglutide vs tirzepatide efficacy analysis; best competitors? In trials and released?</t>
  </si>
  <si>
    <t>60% slowing in progressing as per management confrence call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</si>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</sst>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0" fillId="0" borderId="0" xfId="0" applyNumberFormat="1" applyFont="1"/>
    <xf numFmtId="9" fontId="0" fillId="0" borderId="0" xfId="0" applyNumberFormat="1" applyFont="1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1" applyBorder="1"/>
    <xf numFmtId="14" fontId="0" fillId="0" borderId="0" xfId="0" applyNumberFormat="1"/>
    <xf numFmtId="0" fontId="3" fillId="0" borderId="0" xfId="0" applyFont="1"/>
    <xf numFmtId="38" fontId="0" fillId="0" borderId="0" xfId="0" applyNumberFormat="1"/>
    <xf numFmtId="0" fontId="0" fillId="0" borderId="0" xfId="0" applyFill="1" applyBorder="1"/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7" fontId="0" fillId="0" borderId="0" xfId="0" applyNumberFormat="1"/>
    <xf numFmtId="0" fontId="2" fillId="0" borderId="1" xfId="1" applyFill="1" applyBorder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65942</xdr:rowOff>
    </xdr:from>
    <xdr:to>
      <xdr:col>7</xdr:col>
      <xdr:colOff>0</xdr:colOff>
      <xdr:row>65</xdr:row>
      <xdr:rowOff>131885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153FC9-E82E-C612-E669-B798AF9FA040}"/>
            </a:ext>
          </a:extLst>
        </xdr:cNvPr>
        <xdr:cNvCxnSpPr/>
      </xdr:nvCxnSpPr>
      <xdr:spPr>
        <a:xfrm>
          <a:off x="4586654" y="65942"/>
          <a:ext cx="0" cy="84479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0</xdr:row>
      <xdr:rowOff>0</xdr:rowOff>
    </xdr:from>
    <xdr:to>
      <xdr:col>16</xdr:col>
      <xdr:colOff>1</xdr:colOff>
      <xdr:row>49</xdr:row>
      <xdr:rowOff>36635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AD8E94-9E65-4833-989F-04F41C4DD1B5}"/>
            </a:ext>
          </a:extLst>
        </xdr:cNvPr>
        <xdr:cNvCxnSpPr/>
      </xdr:nvCxnSpPr>
      <xdr:spPr>
        <a:xfrm>
          <a:off x="10059866" y="0"/>
          <a:ext cx="0" cy="79350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65941</xdr:colOff>
      <xdr:row>93</xdr:row>
      <xdr:rowOff>4475</xdr:rowOff>
    </xdr:from>
    <xdr:to>
      <xdr:col>9</xdr:col>
      <xdr:colOff>495579</xdr:colOff>
      <xdr:row>101</xdr:row>
      <xdr:rowOff>117231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4FCF56D-E764-3630-B001-26D10E78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1922" y="14995360"/>
          <a:ext cx="4752522" cy="1402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49742</xdr:colOff>
      <xdr:row>35</xdr:row>
      <xdr:rowOff>21979</xdr:rowOff>
    </xdr:from>
    <xdr:to>
      <xdr:col>8</xdr:col>
      <xdr:colOff>55134</xdr:colOff>
      <xdr:row>48</xdr:row>
      <xdr:rowOff>140378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64993-F141-0D29-529E-C629B8E5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80" y="5663710"/>
          <a:ext cx="4657989" cy="22138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8EFBBC1-5F71-4714-B1FB-1E2DFC825096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5" dT="2025-07-27T04:33:05.47" personId="{98EFBBC1-5F71-4714-B1FB-1E2DFC825096}" id="{870D49C2-D2BC-4507-9362-BAC854248C6B}">
    <text>2025 guidance 58-61B as per Q125 presentation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B04E-7193-4895-997B-E4F4972CD4A5}">
  <dimension ref="B2:L96"/>
  <sheetViews>
    <sheetView zoomScaleNormal="100" workbookViewId="0">
      <selection activeCell="I29" sqref="I29"/>
    </sheetView>
  </sheetViews>
  <sheetFormatPr defaultRowHeight="12.75" x14ac:dyDescent="0.2"/>
  <cols>
    <col min="1" max="1" width="3" customWidth="1"/>
    <col min="2" max="2" width="33.85546875" bestFit="1" customWidth="1"/>
    <col min="3" max="3" width="22.5703125" bestFit="1" customWidth="1"/>
    <col min="4" max="4" width="10.140625" bestFit="1" customWidth="1"/>
    <col min="5" max="5" width="14.7109375" customWidth="1"/>
    <col min="6" max="6" width="10.28515625" bestFit="1" customWidth="1"/>
    <col min="8" max="8" width="4.42578125" customWidth="1"/>
    <col min="9" max="9" width="4.5703125" customWidth="1"/>
  </cols>
  <sheetData>
    <row r="2" spans="2:12" x14ac:dyDescent="0.2">
      <c r="B2" s="25" t="s">
        <v>6</v>
      </c>
      <c r="C2" s="23" t="s">
        <v>7</v>
      </c>
      <c r="D2" s="23" t="s">
        <v>9</v>
      </c>
      <c r="E2" s="23" t="s">
        <v>10</v>
      </c>
      <c r="F2" s="23" t="s">
        <v>11</v>
      </c>
      <c r="G2" s="26" t="s">
        <v>12</v>
      </c>
    </row>
    <row r="3" spans="2:12" x14ac:dyDescent="0.2">
      <c r="B3" s="27" t="s">
        <v>179</v>
      </c>
      <c r="C3" s="14" t="s">
        <v>241</v>
      </c>
      <c r="D3" s="32">
        <v>44694</v>
      </c>
      <c r="E3" s="14"/>
      <c r="F3" s="14"/>
      <c r="G3" s="16"/>
      <c r="J3" t="s">
        <v>0</v>
      </c>
      <c r="K3" s="1">
        <v>811</v>
      </c>
    </row>
    <row r="4" spans="2:12" x14ac:dyDescent="0.2">
      <c r="B4" s="27" t="s">
        <v>180</v>
      </c>
      <c r="C4" s="14"/>
      <c r="D4" s="32">
        <v>45238</v>
      </c>
      <c r="E4" s="14"/>
      <c r="F4" s="14"/>
      <c r="G4" s="16"/>
      <c r="J4" t="s">
        <v>1</v>
      </c>
      <c r="K4" s="2">
        <f>947.735</f>
        <v>947.73500000000001</v>
      </c>
      <c r="L4" t="s">
        <v>13</v>
      </c>
    </row>
    <row r="5" spans="2:12" x14ac:dyDescent="0.2">
      <c r="B5" s="13" t="s">
        <v>181</v>
      </c>
      <c r="C5" s="14"/>
      <c r="D5" s="32">
        <v>43370</v>
      </c>
      <c r="E5" s="14"/>
      <c r="F5" s="14"/>
      <c r="G5" s="16"/>
      <c r="J5" t="s">
        <v>2</v>
      </c>
      <c r="K5" s="2">
        <f>K4*K3</f>
        <v>768613.08499999996</v>
      </c>
    </row>
    <row r="6" spans="2:12" x14ac:dyDescent="0.2">
      <c r="B6" s="13" t="s">
        <v>182</v>
      </c>
      <c r="C6" s="14" t="s">
        <v>300</v>
      </c>
      <c r="D6" s="32">
        <v>44953</v>
      </c>
      <c r="E6" s="14"/>
      <c r="F6" s="14"/>
      <c r="G6" s="16"/>
      <c r="J6" t="s">
        <v>3</v>
      </c>
      <c r="K6" s="2">
        <f>3093+127</f>
        <v>3220</v>
      </c>
      <c r="L6" t="s">
        <v>13</v>
      </c>
    </row>
    <row r="7" spans="2:12" x14ac:dyDescent="0.2">
      <c r="B7" s="13" t="s">
        <v>183</v>
      </c>
      <c r="C7" s="31" t="s">
        <v>302</v>
      </c>
      <c r="D7" s="32">
        <v>43959</v>
      </c>
      <c r="E7" s="14"/>
      <c r="F7" s="14"/>
      <c r="G7" s="16"/>
      <c r="J7" t="s">
        <v>4</v>
      </c>
      <c r="K7" s="2">
        <f>4016+34499</f>
        <v>38515</v>
      </c>
      <c r="L7" t="s">
        <v>13</v>
      </c>
    </row>
    <row r="8" spans="2:12" x14ac:dyDescent="0.2">
      <c r="B8" s="13" t="s">
        <v>184</v>
      </c>
      <c r="C8" s="14"/>
      <c r="D8" s="32">
        <v>43251</v>
      </c>
      <c r="E8" s="14"/>
      <c r="F8" s="14"/>
      <c r="G8" s="16"/>
      <c r="J8" t="s">
        <v>5</v>
      </c>
      <c r="K8" s="2">
        <f>K5+K7-K6</f>
        <v>803908.08499999996</v>
      </c>
    </row>
    <row r="9" spans="2:12" x14ac:dyDescent="0.2">
      <c r="B9" s="27" t="s">
        <v>185</v>
      </c>
      <c r="C9" s="14" t="s">
        <v>246</v>
      </c>
      <c r="D9" s="32">
        <v>45225</v>
      </c>
      <c r="E9" s="14"/>
      <c r="F9" s="14"/>
      <c r="G9" s="16"/>
      <c r="K9" s="2"/>
    </row>
    <row r="10" spans="2:12" x14ac:dyDescent="0.2">
      <c r="B10" s="13" t="s">
        <v>186</v>
      </c>
      <c r="C10" s="14"/>
      <c r="D10" s="32">
        <v>43749</v>
      </c>
      <c r="E10" s="14"/>
      <c r="F10" s="14"/>
      <c r="G10" s="16"/>
      <c r="J10" t="s">
        <v>117</v>
      </c>
      <c r="K10" s="2"/>
    </row>
    <row r="11" spans="2:12" x14ac:dyDescent="0.2">
      <c r="B11" s="13" t="s">
        <v>187</v>
      </c>
      <c r="C11" s="14"/>
      <c r="D11" s="32">
        <v>43997</v>
      </c>
      <c r="E11" s="14"/>
      <c r="F11" s="14"/>
      <c r="G11" s="16"/>
      <c r="J11" t="s">
        <v>124</v>
      </c>
      <c r="K11" s="2"/>
    </row>
    <row r="12" spans="2:12" x14ac:dyDescent="0.2">
      <c r="B12" s="35" t="s">
        <v>215</v>
      </c>
      <c r="C12" s="14" t="s">
        <v>218</v>
      </c>
      <c r="D12" s="32">
        <v>45475</v>
      </c>
      <c r="E12" s="14"/>
      <c r="F12" s="14"/>
      <c r="G12" s="16"/>
      <c r="K12" s="2"/>
    </row>
    <row r="13" spans="2:12" x14ac:dyDescent="0.2">
      <c r="B13" s="13" t="s">
        <v>188</v>
      </c>
      <c r="C13" s="14"/>
      <c r="D13" s="32">
        <v>45548</v>
      </c>
      <c r="E13" s="14"/>
      <c r="F13" s="14"/>
      <c r="G13" s="16"/>
      <c r="J13" s="5" t="s">
        <v>115</v>
      </c>
      <c r="K13" s="2"/>
    </row>
    <row r="14" spans="2:12" x14ac:dyDescent="0.2">
      <c r="B14" s="13" t="s">
        <v>189</v>
      </c>
      <c r="C14" s="14"/>
      <c r="D14" s="32">
        <v>39955</v>
      </c>
      <c r="E14" s="14"/>
      <c r="F14" s="14"/>
      <c r="G14" s="16"/>
      <c r="J14" t="s">
        <v>110</v>
      </c>
      <c r="K14" s="2"/>
    </row>
    <row r="15" spans="2:12" x14ac:dyDescent="0.2">
      <c r="B15" s="13" t="s">
        <v>190</v>
      </c>
      <c r="C15" s="14"/>
      <c r="D15" s="32">
        <v>38021</v>
      </c>
      <c r="E15" s="14"/>
      <c r="F15" s="14"/>
      <c r="G15" s="16"/>
      <c r="J15" t="s">
        <v>111</v>
      </c>
      <c r="K15" s="2"/>
    </row>
    <row r="16" spans="2:12" x14ac:dyDescent="0.2">
      <c r="B16" s="13" t="s">
        <v>191</v>
      </c>
      <c r="C16" s="14"/>
      <c r="D16" s="32">
        <v>41005</v>
      </c>
      <c r="E16" s="14"/>
      <c r="F16" s="14"/>
      <c r="G16" s="16"/>
      <c r="J16" t="s">
        <v>298</v>
      </c>
      <c r="K16" s="2"/>
    </row>
    <row r="17" spans="2:11" x14ac:dyDescent="0.2">
      <c r="B17" s="13" t="s">
        <v>192</v>
      </c>
      <c r="C17" s="14"/>
      <c r="D17" s="32">
        <v>43670</v>
      </c>
      <c r="E17" s="14"/>
      <c r="F17" s="14"/>
      <c r="G17" s="16"/>
      <c r="J17" t="s">
        <v>346</v>
      </c>
      <c r="K17" s="2"/>
    </row>
    <row r="18" spans="2:11" x14ac:dyDescent="0.2">
      <c r="B18" s="13" t="s">
        <v>193</v>
      </c>
      <c r="C18" s="14"/>
      <c r="D18" s="32">
        <v>42354</v>
      </c>
      <c r="E18" s="14"/>
      <c r="F18" s="14"/>
      <c r="G18" s="16"/>
      <c r="K18" s="2"/>
    </row>
    <row r="19" spans="2:11" x14ac:dyDescent="0.2">
      <c r="B19" s="13" t="s">
        <v>239</v>
      </c>
      <c r="C19" s="14"/>
      <c r="D19" s="32">
        <v>41750</v>
      </c>
      <c r="E19" s="14"/>
      <c r="F19" s="14"/>
      <c r="G19" s="16"/>
      <c r="J19" s="29" t="s">
        <v>208</v>
      </c>
      <c r="K19" s="2"/>
    </row>
    <row r="20" spans="2:11" x14ac:dyDescent="0.2">
      <c r="B20" s="13" t="s">
        <v>194</v>
      </c>
      <c r="C20" s="14"/>
      <c r="D20" s="32">
        <v>38029</v>
      </c>
      <c r="E20" s="14"/>
      <c r="F20" s="14"/>
      <c r="G20" s="16"/>
      <c r="J20" t="s">
        <v>221</v>
      </c>
      <c r="K20" s="2"/>
    </row>
    <row r="21" spans="2:11" x14ac:dyDescent="0.2">
      <c r="B21" s="13" t="s">
        <v>195</v>
      </c>
      <c r="C21" s="14"/>
      <c r="D21" s="32">
        <v>37586</v>
      </c>
      <c r="E21" s="14"/>
      <c r="F21" s="14"/>
      <c r="G21" s="16"/>
      <c r="K21" s="2"/>
    </row>
    <row r="22" spans="2:11" x14ac:dyDescent="0.2">
      <c r="B22" s="13" t="s">
        <v>240</v>
      </c>
      <c r="C22" s="14"/>
      <c r="D22" s="32">
        <v>42034</v>
      </c>
      <c r="E22" s="14"/>
      <c r="F22" s="14"/>
      <c r="G22" s="16"/>
      <c r="K22" s="2"/>
    </row>
    <row r="23" spans="2:11" x14ac:dyDescent="0.2">
      <c r="B23" s="13" t="s">
        <v>196</v>
      </c>
      <c r="C23" s="14"/>
      <c r="D23" s="32">
        <v>35230</v>
      </c>
      <c r="E23" s="14"/>
      <c r="F23" s="14"/>
      <c r="G23" s="16"/>
      <c r="J23" t="s">
        <v>235</v>
      </c>
      <c r="K23" s="2"/>
    </row>
    <row r="24" spans="2:11" x14ac:dyDescent="0.2">
      <c r="B24" s="13" t="s">
        <v>197</v>
      </c>
      <c r="C24" s="14"/>
      <c r="D24" s="32">
        <v>31701</v>
      </c>
      <c r="E24" s="14"/>
      <c r="F24" s="14"/>
      <c r="G24" s="16"/>
      <c r="K24" s="2"/>
    </row>
    <row r="25" spans="2:11" x14ac:dyDescent="0.2">
      <c r="B25" s="13" t="s">
        <v>198</v>
      </c>
      <c r="C25" s="14"/>
      <c r="D25" s="32">
        <v>32623</v>
      </c>
      <c r="E25" s="14"/>
      <c r="F25" s="14"/>
      <c r="G25" s="16"/>
      <c r="K25" s="2"/>
    </row>
    <row r="26" spans="2:11" x14ac:dyDescent="0.2">
      <c r="B26" s="13" t="s">
        <v>199</v>
      </c>
      <c r="C26" s="14"/>
      <c r="D26" s="32">
        <v>41852</v>
      </c>
      <c r="E26" s="14"/>
      <c r="F26" s="14"/>
      <c r="G26" s="16"/>
      <c r="J26" s="29" t="s">
        <v>338</v>
      </c>
      <c r="K26" s="2"/>
    </row>
    <row r="27" spans="2:11" x14ac:dyDescent="0.2">
      <c r="B27" s="13" t="s">
        <v>200</v>
      </c>
      <c r="C27" s="14"/>
      <c r="D27" s="32">
        <v>40938</v>
      </c>
      <c r="E27" s="14"/>
      <c r="F27" s="14"/>
      <c r="G27" s="16"/>
      <c r="J27" t="s">
        <v>339</v>
      </c>
      <c r="K27" s="2"/>
    </row>
    <row r="28" spans="2:11" x14ac:dyDescent="0.2">
      <c r="B28" s="13" t="s">
        <v>201</v>
      </c>
      <c r="C28" s="14"/>
      <c r="D28" s="32">
        <v>42242</v>
      </c>
      <c r="E28" s="14"/>
      <c r="F28" s="14"/>
      <c r="G28" s="16"/>
      <c r="J28" t="s">
        <v>342</v>
      </c>
      <c r="K28" s="2"/>
    </row>
    <row r="29" spans="2:11" x14ac:dyDescent="0.2">
      <c r="B29" s="13" t="s">
        <v>202</v>
      </c>
      <c r="C29" s="14" t="s">
        <v>303</v>
      </c>
      <c r="D29" s="32">
        <v>42451</v>
      </c>
      <c r="E29" s="14"/>
      <c r="F29" s="14"/>
      <c r="G29" s="16"/>
      <c r="K29" s="2"/>
    </row>
    <row r="30" spans="2:11" x14ac:dyDescent="0.2">
      <c r="B30" s="13" t="s">
        <v>203</v>
      </c>
      <c r="C30" s="14"/>
      <c r="D30" s="32">
        <v>43979</v>
      </c>
      <c r="E30" s="14"/>
      <c r="F30" s="14"/>
      <c r="G30" s="16"/>
      <c r="J30" t="s">
        <v>343</v>
      </c>
      <c r="K30" s="2"/>
    </row>
    <row r="31" spans="2:11" x14ac:dyDescent="0.2">
      <c r="B31" s="13" t="s">
        <v>204</v>
      </c>
      <c r="C31" s="14"/>
      <c r="D31" s="32">
        <v>40665</v>
      </c>
      <c r="E31" s="14"/>
      <c r="F31" s="14"/>
      <c r="G31" s="16"/>
      <c r="K31" s="2"/>
    </row>
    <row r="32" spans="2:11" x14ac:dyDescent="0.2">
      <c r="B32" s="27" t="s">
        <v>205</v>
      </c>
      <c r="C32" s="14"/>
      <c r="D32" s="32">
        <v>45553</v>
      </c>
      <c r="E32" s="14"/>
      <c r="F32" s="14"/>
      <c r="G32" s="16"/>
      <c r="J32" t="s">
        <v>344</v>
      </c>
      <c r="K32" s="2"/>
    </row>
    <row r="33" spans="2:11" x14ac:dyDescent="0.2">
      <c r="B33" s="13" t="s">
        <v>206</v>
      </c>
      <c r="C33" s="14" t="s">
        <v>305</v>
      </c>
      <c r="D33" s="32">
        <v>43006</v>
      </c>
      <c r="E33" s="14"/>
      <c r="F33" s="14"/>
      <c r="G33" s="16"/>
      <c r="J33" t="s">
        <v>345</v>
      </c>
      <c r="K33" s="2"/>
    </row>
    <row r="34" spans="2:11" x14ac:dyDescent="0.2">
      <c r="B34" s="17" t="s">
        <v>207</v>
      </c>
      <c r="C34" s="18"/>
      <c r="D34" s="33">
        <v>35338</v>
      </c>
      <c r="E34" s="18"/>
      <c r="F34" s="18"/>
      <c r="G34" s="20"/>
      <c r="K34" s="2"/>
    </row>
    <row r="35" spans="2:11" x14ac:dyDescent="0.2">
      <c r="B35" s="21"/>
      <c r="C35" s="22"/>
      <c r="D35" s="23" t="s">
        <v>8</v>
      </c>
      <c r="E35" s="22"/>
      <c r="F35" s="22"/>
      <c r="G35" s="24"/>
    </row>
    <row r="36" spans="2:11" x14ac:dyDescent="0.2">
      <c r="B36" s="13" t="s">
        <v>125</v>
      </c>
      <c r="C36" s="14"/>
      <c r="D36" s="15" t="s">
        <v>116</v>
      </c>
      <c r="E36" s="14"/>
      <c r="F36" s="14"/>
      <c r="G36" s="16"/>
    </row>
    <row r="37" spans="2:11" x14ac:dyDescent="0.2">
      <c r="B37" s="27" t="s">
        <v>126</v>
      </c>
      <c r="C37" s="14" t="s">
        <v>245</v>
      </c>
      <c r="D37" s="15" t="s">
        <v>116</v>
      </c>
      <c r="E37" s="14"/>
      <c r="F37" s="14"/>
      <c r="G37" s="16"/>
    </row>
    <row r="38" spans="2:11" x14ac:dyDescent="0.2">
      <c r="B38" s="13" t="s">
        <v>127</v>
      </c>
      <c r="C38" s="14" t="s">
        <v>241</v>
      </c>
      <c r="D38" s="15" t="s">
        <v>116</v>
      </c>
      <c r="E38" s="14"/>
      <c r="F38" s="14"/>
      <c r="G38" s="16"/>
    </row>
    <row r="39" spans="2:11" x14ac:dyDescent="0.2">
      <c r="B39" s="27" t="s">
        <v>128</v>
      </c>
      <c r="C39" s="14"/>
      <c r="D39" s="15" t="s">
        <v>116</v>
      </c>
      <c r="E39" s="14"/>
      <c r="F39" s="14"/>
      <c r="G39" s="16"/>
    </row>
    <row r="40" spans="2:11" x14ac:dyDescent="0.2">
      <c r="B40" s="27" t="s">
        <v>129</v>
      </c>
      <c r="C40" s="14" t="s">
        <v>242</v>
      </c>
      <c r="D40" s="15" t="s">
        <v>116</v>
      </c>
      <c r="E40" s="14"/>
      <c r="F40" s="14"/>
      <c r="G40" s="16"/>
    </row>
    <row r="41" spans="2:11" x14ac:dyDescent="0.2">
      <c r="B41" s="27" t="s">
        <v>112</v>
      </c>
      <c r="C41" s="14" t="s">
        <v>244</v>
      </c>
      <c r="D41" s="15" t="s">
        <v>116</v>
      </c>
      <c r="E41" s="14"/>
      <c r="F41" s="14"/>
      <c r="G41" s="16"/>
    </row>
    <row r="42" spans="2:11" x14ac:dyDescent="0.2">
      <c r="B42" s="27" t="s">
        <v>114</v>
      </c>
      <c r="C42" s="14" t="s">
        <v>340</v>
      </c>
      <c r="D42" s="15" t="s">
        <v>116</v>
      </c>
      <c r="E42" s="14" t="s">
        <v>341</v>
      </c>
      <c r="F42" s="14"/>
      <c r="G42" s="16"/>
    </row>
    <row r="43" spans="2:11" x14ac:dyDescent="0.2">
      <c r="B43" s="13" t="s">
        <v>130</v>
      </c>
      <c r="C43" s="31" t="s">
        <v>218</v>
      </c>
      <c r="D43" s="15" t="s">
        <v>116</v>
      </c>
      <c r="E43" s="14"/>
      <c r="F43" s="14"/>
      <c r="G43" s="16"/>
    </row>
    <row r="44" spans="2:11" x14ac:dyDescent="0.2">
      <c r="B44" s="27" t="s">
        <v>131</v>
      </c>
      <c r="C44" s="14" t="s">
        <v>301</v>
      </c>
      <c r="D44" s="15" t="s">
        <v>116</v>
      </c>
      <c r="E44" s="14"/>
      <c r="F44" s="14"/>
      <c r="G44" s="16"/>
    </row>
    <row r="45" spans="2:11" x14ac:dyDescent="0.2">
      <c r="B45" s="13" t="s">
        <v>132</v>
      </c>
      <c r="C45" s="14"/>
      <c r="D45" s="15" t="s">
        <v>116</v>
      </c>
      <c r="E45" s="14"/>
      <c r="F45" s="14"/>
      <c r="G45" s="16"/>
    </row>
    <row r="46" spans="2:11" x14ac:dyDescent="0.2">
      <c r="B46" s="13" t="s">
        <v>113</v>
      </c>
      <c r="C46" s="31" t="s">
        <v>304</v>
      </c>
      <c r="D46" s="15" t="s">
        <v>116</v>
      </c>
      <c r="E46" s="14"/>
      <c r="F46" s="14"/>
      <c r="G46" s="16"/>
    </row>
    <row r="47" spans="2:11" x14ac:dyDescent="0.2">
      <c r="B47" s="13" t="s">
        <v>133</v>
      </c>
      <c r="C47" s="14" t="s">
        <v>306</v>
      </c>
      <c r="D47" s="15" t="s">
        <v>152</v>
      </c>
      <c r="E47" s="31" t="s">
        <v>230</v>
      </c>
      <c r="F47" s="14"/>
      <c r="G47" s="16"/>
    </row>
    <row r="48" spans="2:11" x14ac:dyDescent="0.2">
      <c r="B48" s="13" t="s">
        <v>134</v>
      </c>
      <c r="C48" s="31" t="s">
        <v>310</v>
      </c>
      <c r="D48" s="15" t="s">
        <v>152</v>
      </c>
      <c r="E48" s="14"/>
      <c r="F48" s="14"/>
      <c r="G48" s="16"/>
    </row>
    <row r="49" spans="2:7" x14ac:dyDescent="0.2">
      <c r="B49" s="13" t="s">
        <v>135</v>
      </c>
      <c r="C49" s="14" t="s">
        <v>306</v>
      </c>
      <c r="D49" s="15" t="s">
        <v>152</v>
      </c>
      <c r="E49" s="14"/>
      <c r="F49" s="14"/>
      <c r="G49" s="16"/>
    </row>
    <row r="50" spans="2:7" x14ac:dyDescent="0.2">
      <c r="B50" s="13" t="s">
        <v>136</v>
      </c>
      <c r="C50" s="31" t="s">
        <v>312</v>
      </c>
      <c r="D50" s="15" t="s">
        <v>152</v>
      </c>
      <c r="E50" s="14"/>
      <c r="F50" s="14"/>
      <c r="G50" s="16"/>
    </row>
    <row r="51" spans="2:7" x14ac:dyDescent="0.2">
      <c r="B51" s="13" t="s">
        <v>137</v>
      </c>
      <c r="C51" s="31" t="s">
        <v>326</v>
      </c>
      <c r="D51" s="15" t="s">
        <v>152</v>
      </c>
      <c r="E51" s="14"/>
      <c r="F51" s="14"/>
      <c r="G51" s="16"/>
    </row>
    <row r="52" spans="2:7" x14ac:dyDescent="0.2">
      <c r="B52" s="13" t="s">
        <v>138</v>
      </c>
      <c r="C52" s="31" t="s">
        <v>316</v>
      </c>
      <c r="D52" s="15" t="s">
        <v>152</v>
      </c>
      <c r="E52" s="14"/>
      <c r="F52" s="14"/>
      <c r="G52" s="16"/>
    </row>
    <row r="53" spans="2:7" x14ac:dyDescent="0.2">
      <c r="B53" s="13" t="s">
        <v>139</v>
      </c>
      <c r="C53" s="14" t="s">
        <v>306</v>
      </c>
      <c r="D53" s="15" t="s">
        <v>152</v>
      </c>
      <c r="E53" s="14"/>
      <c r="F53" s="14"/>
      <c r="G53" s="16"/>
    </row>
    <row r="54" spans="2:7" x14ac:dyDescent="0.2">
      <c r="B54" s="13" t="s">
        <v>140</v>
      </c>
      <c r="C54" s="31" t="s">
        <v>317</v>
      </c>
      <c r="D54" s="15" t="s">
        <v>152</v>
      </c>
      <c r="E54" s="14"/>
      <c r="F54" s="14"/>
      <c r="G54" s="16"/>
    </row>
    <row r="55" spans="2:7" x14ac:dyDescent="0.2">
      <c r="B55" s="13" t="s">
        <v>141</v>
      </c>
      <c r="C55" s="14" t="s">
        <v>311</v>
      </c>
      <c r="D55" s="15" t="s">
        <v>152</v>
      </c>
      <c r="E55" s="14"/>
      <c r="F55" s="14"/>
      <c r="G55" s="16"/>
    </row>
    <row r="56" spans="2:7" x14ac:dyDescent="0.2">
      <c r="B56" s="13" t="s">
        <v>142</v>
      </c>
      <c r="C56" s="14" t="s">
        <v>308</v>
      </c>
      <c r="D56" s="15" t="s">
        <v>152</v>
      </c>
      <c r="E56" s="14"/>
      <c r="F56" s="14"/>
      <c r="G56" s="16"/>
    </row>
    <row r="57" spans="2:7" x14ac:dyDescent="0.2">
      <c r="B57" s="13" t="s">
        <v>143</v>
      </c>
      <c r="C57" s="31" t="s">
        <v>327</v>
      </c>
      <c r="D57" s="15" t="s">
        <v>152</v>
      </c>
      <c r="E57" s="14"/>
      <c r="F57" s="14"/>
      <c r="G57" s="16"/>
    </row>
    <row r="58" spans="2:7" x14ac:dyDescent="0.2">
      <c r="B58" s="13" t="s">
        <v>144</v>
      </c>
      <c r="C58" s="31" t="s">
        <v>218</v>
      </c>
      <c r="D58" s="15" t="s">
        <v>152</v>
      </c>
      <c r="E58" s="14"/>
      <c r="F58" s="14"/>
      <c r="G58" s="16"/>
    </row>
    <row r="59" spans="2:7" x14ac:dyDescent="0.2">
      <c r="B59" s="13" t="s">
        <v>145</v>
      </c>
      <c r="C59" s="14" t="s">
        <v>313</v>
      </c>
      <c r="D59" s="15" t="s">
        <v>152</v>
      </c>
      <c r="E59" s="14"/>
      <c r="F59" s="14"/>
      <c r="G59" s="16"/>
    </row>
    <row r="60" spans="2:7" x14ac:dyDescent="0.2">
      <c r="B60" s="13" t="s">
        <v>146</v>
      </c>
      <c r="C60" s="14" t="s">
        <v>242</v>
      </c>
      <c r="D60" s="15" t="s">
        <v>243</v>
      </c>
      <c r="E60" s="14"/>
      <c r="F60" s="14"/>
      <c r="G60" s="16"/>
    </row>
    <row r="61" spans="2:7" x14ac:dyDescent="0.2">
      <c r="B61" s="13" t="s">
        <v>147</v>
      </c>
      <c r="C61" s="31" t="s">
        <v>314</v>
      </c>
      <c r="D61" s="15" t="s">
        <v>152</v>
      </c>
      <c r="E61" s="14"/>
      <c r="F61" s="14"/>
      <c r="G61" s="16"/>
    </row>
    <row r="62" spans="2:7" x14ac:dyDescent="0.2">
      <c r="B62" s="13" t="s">
        <v>148</v>
      </c>
      <c r="C62" s="31" t="s">
        <v>318</v>
      </c>
      <c r="D62" s="15" t="s">
        <v>152</v>
      </c>
      <c r="E62" s="14"/>
      <c r="F62" s="14"/>
      <c r="G62" s="16"/>
    </row>
    <row r="63" spans="2:7" x14ac:dyDescent="0.2">
      <c r="B63" s="13" t="s">
        <v>149</v>
      </c>
      <c r="C63" s="14"/>
      <c r="D63" s="15" t="s">
        <v>152</v>
      </c>
      <c r="E63" s="14"/>
      <c r="F63" s="14"/>
      <c r="G63" s="16"/>
    </row>
    <row r="64" spans="2:7" x14ac:dyDescent="0.2">
      <c r="B64" s="13" t="s">
        <v>150</v>
      </c>
      <c r="C64" s="14" t="s">
        <v>311</v>
      </c>
      <c r="D64" s="15" t="s">
        <v>152</v>
      </c>
      <c r="E64" s="14"/>
      <c r="F64" s="14"/>
      <c r="G64" s="16"/>
    </row>
    <row r="65" spans="2:7" x14ac:dyDescent="0.2">
      <c r="B65" s="13" t="s">
        <v>151</v>
      </c>
      <c r="C65" s="14"/>
      <c r="D65" s="15" t="s">
        <v>152</v>
      </c>
      <c r="E65" s="14"/>
      <c r="F65" s="14"/>
      <c r="G65" s="16"/>
    </row>
    <row r="66" spans="2:7" x14ac:dyDescent="0.2">
      <c r="B66" s="13" t="s">
        <v>153</v>
      </c>
      <c r="C66" s="31" t="s">
        <v>320</v>
      </c>
      <c r="D66" s="15" t="s">
        <v>178</v>
      </c>
      <c r="E66" s="14"/>
      <c r="F66" s="14"/>
      <c r="G66" s="16"/>
    </row>
    <row r="67" spans="2:7" x14ac:dyDescent="0.2">
      <c r="B67" s="13" t="s">
        <v>154</v>
      </c>
      <c r="C67" s="14" t="s">
        <v>315</v>
      </c>
      <c r="D67" s="15" t="s">
        <v>178</v>
      </c>
      <c r="E67" s="14"/>
      <c r="F67" s="14"/>
      <c r="G67" s="16"/>
    </row>
    <row r="68" spans="2:7" x14ac:dyDescent="0.2">
      <c r="B68" s="13" t="s">
        <v>155</v>
      </c>
      <c r="C68" s="14"/>
      <c r="D68" s="15" t="s">
        <v>178</v>
      </c>
      <c r="E68" s="14"/>
      <c r="F68" s="14"/>
      <c r="G68" s="16"/>
    </row>
    <row r="69" spans="2:7" x14ac:dyDescent="0.2">
      <c r="B69" s="13" t="s">
        <v>156</v>
      </c>
      <c r="C69" s="31" t="s">
        <v>321</v>
      </c>
      <c r="D69" s="15" t="s">
        <v>178</v>
      </c>
      <c r="E69" s="14"/>
      <c r="F69" s="14"/>
      <c r="G69" s="16"/>
    </row>
    <row r="70" spans="2:7" x14ac:dyDescent="0.2">
      <c r="B70" s="13" t="s">
        <v>157</v>
      </c>
      <c r="C70" s="31" t="s">
        <v>322</v>
      </c>
      <c r="D70" s="15" t="s">
        <v>178</v>
      </c>
      <c r="E70" s="14"/>
      <c r="F70" s="14"/>
      <c r="G70" s="16"/>
    </row>
    <row r="71" spans="2:7" x14ac:dyDescent="0.2">
      <c r="B71" s="13" t="s">
        <v>158</v>
      </c>
      <c r="C71" s="14"/>
      <c r="D71" s="15" t="s">
        <v>178</v>
      </c>
      <c r="E71" s="14"/>
      <c r="F71" s="14"/>
      <c r="G71" s="16"/>
    </row>
    <row r="72" spans="2:7" x14ac:dyDescent="0.2">
      <c r="B72" s="13" t="s">
        <v>159</v>
      </c>
      <c r="C72" s="14" t="s">
        <v>306</v>
      </c>
      <c r="D72" s="15" t="s">
        <v>178</v>
      </c>
      <c r="E72" s="14"/>
      <c r="F72" s="14"/>
      <c r="G72" s="16"/>
    </row>
    <row r="73" spans="2:7" x14ac:dyDescent="0.2">
      <c r="B73" s="13" t="s">
        <v>160</v>
      </c>
      <c r="C73" s="14"/>
      <c r="D73" s="15" t="s">
        <v>178</v>
      </c>
      <c r="E73" s="14"/>
      <c r="F73" s="14"/>
      <c r="G73" s="16"/>
    </row>
    <row r="74" spans="2:7" x14ac:dyDescent="0.2">
      <c r="B74" s="13" t="s">
        <v>161</v>
      </c>
      <c r="C74" s="14" t="s">
        <v>306</v>
      </c>
      <c r="D74" s="15" t="s">
        <v>178</v>
      </c>
      <c r="E74" s="14"/>
      <c r="F74" s="14"/>
      <c r="G74" s="16"/>
    </row>
    <row r="75" spans="2:7" x14ac:dyDescent="0.2">
      <c r="B75" s="13" t="s">
        <v>162</v>
      </c>
      <c r="C75" s="14"/>
      <c r="D75" s="15" t="s">
        <v>178</v>
      </c>
      <c r="E75" s="14"/>
      <c r="F75" s="14"/>
      <c r="G75" s="16"/>
    </row>
    <row r="76" spans="2:7" x14ac:dyDescent="0.2">
      <c r="B76" s="13" t="s">
        <v>163</v>
      </c>
      <c r="C76" s="14"/>
      <c r="D76" s="15" t="s">
        <v>178</v>
      </c>
      <c r="E76" s="14"/>
      <c r="F76" s="14"/>
      <c r="G76" s="16"/>
    </row>
    <row r="77" spans="2:7" x14ac:dyDescent="0.2">
      <c r="B77" s="13" t="s">
        <v>164</v>
      </c>
      <c r="C77" s="14" t="s">
        <v>323</v>
      </c>
      <c r="D77" s="15" t="s">
        <v>178</v>
      </c>
      <c r="E77" s="14"/>
      <c r="F77" s="14"/>
      <c r="G77" s="16"/>
    </row>
    <row r="78" spans="2:7" x14ac:dyDescent="0.2">
      <c r="B78" s="13" t="s">
        <v>165</v>
      </c>
      <c r="C78" s="14" t="s">
        <v>307</v>
      </c>
      <c r="D78" s="15" t="s">
        <v>178</v>
      </c>
      <c r="E78" s="14"/>
      <c r="F78" s="14"/>
      <c r="G78" s="16"/>
    </row>
    <row r="79" spans="2:7" x14ac:dyDescent="0.2">
      <c r="B79" s="13" t="s">
        <v>166</v>
      </c>
      <c r="C79" s="14" t="s">
        <v>306</v>
      </c>
      <c r="D79" s="15" t="s">
        <v>178</v>
      </c>
      <c r="E79" s="14"/>
      <c r="F79" s="14"/>
      <c r="G79" s="16"/>
    </row>
    <row r="80" spans="2:7" x14ac:dyDescent="0.2">
      <c r="B80" s="13" t="s">
        <v>167</v>
      </c>
      <c r="C80" s="14" t="s">
        <v>218</v>
      </c>
      <c r="D80" s="15" t="s">
        <v>178</v>
      </c>
      <c r="E80" s="14"/>
      <c r="F80" s="14"/>
      <c r="G80" s="16"/>
    </row>
    <row r="81" spans="2:7" x14ac:dyDescent="0.2">
      <c r="B81" s="13" t="s">
        <v>168</v>
      </c>
      <c r="C81" s="31" t="s">
        <v>324</v>
      </c>
      <c r="D81" s="15" t="s">
        <v>178</v>
      </c>
      <c r="E81" s="14"/>
      <c r="F81" s="14"/>
      <c r="G81" s="16"/>
    </row>
    <row r="82" spans="2:7" x14ac:dyDescent="0.2">
      <c r="B82" s="13" t="s">
        <v>169</v>
      </c>
      <c r="C82" s="14"/>
      <c r="D82" s="15" t="s">
        <v>178</v>
      </c>
      <c r="E82" s="14"/>
      <c r="F82" s="14"/>
      <c r="G82" s="16"/>
    </row>
    <row r="83" spans="2:7" x14ac:dyDescent="0.2">
      <c r="B83" s="13" t="s">
        <v>170</v>
      </c>
      <c r="C83" s="14" t="s">
        <v>241</v>
      </c>
      <c r="D83" s="15" t="s">
        <v>178</v>
      </c>
      <c r="E83" s="14"/>
      <c r="F83" s="14"/>
      <c r="G83" s="16"/>
    </row>
    <row r="84" spans="2:7" x14ac:dyDescent="0.2">
      <c r="B84" s="13" t="s">
        <v>171</v>
      </c>
      <c r="C84" s="31" t="s">
        <v>323</v>
      </c>
      <c r="D84" s="15" t="s">
        <v>178</v>
      </c>
      <c r="E84" s="14"/>
      <c r="F84" s="14"/>
      <c r="G84" s="16"/>
    </row>
    <row r="85" spans="2:7" x14ac:dyDescent="0.2">
      <c r="B85" s="13" t="s">
        <v>172</v>
      </c>
      <c r="C85" s="31" t="s">
        <v>325</v>
      </c>
      <c r="D85" s="15" t="s">
        <v>178</v>
      </c>
      <c r="E85" s="14"/>
      <c r="F85" s="14"/>
      <c r="G85" s="16"/>
    </row>
    <row r="86" spans="2:7" x14ac:dyDescent="0.2">
      <c r="B86" s="13" t="s">
        <v>173</v>
      </c>
      <c r="C86" s="14" t="s">
        <v>309</v>
      </c>
      <c r="D86" s="15" t="s">
        <v>178</v>
      </c>
      <c r="E86" s="14"/>
      <c r="F86" s="14"/>
      <c r="G86" s="16"/>
    </row>
    <row r="87" spans="2:7" x14ac:dyDescent="0.2">
      <c r="B87" s="13" t="s">
        <v>174</v>
      </c>
      <c r="C87" s="14"/>
      <c r="D87" s="15" t="s">
        <v>178</v>
      </c>
      <c r="E87" s="14"/>
      <c r="F87" s="14"/>
      <c r="G87" s="16"/>
    </row>
    <row r="88" spans="2:7" x14ac:dyDescent="0.2">
      <c r="B88" s="13" t="s">
        <v>175</v>
      </c>
      <c r="C88" s="14"/>
      <c r="D88" s="15" t="s">
        <v>178</v>
      </c>
      <c r="E88" s="14"/>
      <c r="F88" s="14"/>
      <c r="G88" s="16"/>
    </row>
    <row r="89" spans="2:7" x14ac:dyDescent="0.2">
      <c r="B89" s="13" t="s">
        <v>176</v>
      </c>
      <c r="C89" s="14" t="s">
        <v>324</v>
      </c>
      <c r="D89" s="15" t="s">
        <v>178</v>
      </c>
      <c r="E89" s="14"/>
      <c r="F89" s="14"/>
      <c r="G89" s="16"/>
    </row>
    <row r="90" spans="2:7" x14ac:dyDescent="0.2">
      <c r="B90" s="17" t="s">
        <v>177</v>
      </c>
      <c r="C90" s="18" t="s">
        <v>319</v>
      </c>
      <c r="D90" s="19" t="s">
        <v>178</v>
      </c>
      <c r="E90" s="18"/>
      <c r="F90" s="18"/>
      <c r="G90" s="20"/>
    </row>
    <row r="91" spans="2:7" x14ac:dyDescent="0.2">
      <c r="D91" s="3"/>
    </row>
    <row r="92" spans="2:7" x14ac:dyDescent="0.2">
      <c r="D92" s="3"/>
    </row>
    <row r="93" spans="2:7" x14ac:dyDescent="0.2">
      <c r="D93" s="3"/>
    </row>
    <row r="94" spans="2:7" x14ac:dyDescent="0.2">
      <c r="D94" s="3"/>
    </row>
    <row r="95" spans="2:7" x14ac:dyDescent="0.2">
      <c r="D95" s="3"/>
    </row>
    <row r="96" spans="2:7" x14ac:dyDescent="0.2">
      <c r="D96" s="3"/>
    </row>
  </sheetData>
  <hyperlinks>
    <hyperlink ref="B3" location="'Mounjaro-Zepbound'!A1" display="Mounjaro (tirzepatide)" xr:uid="{0C5F0B94-81CD-41B8-8260-29D7B5C2D50E}"/>
    <hyperlink ref="B4" location="'Mounjaro-Zepbound'!A1" display="Zepbound (tirzepatide)" xr:uid="{7C402F06-D760-48B4-BC4C-CCBE56412979}"/>
    <hyperlink ref="B32" location="Trulicity!A1" display="Trulicity (dulaglutide)" xr:uid="{FC20B418-153B-42B3-9A53-A3EA1B65F958}"/>
    <hyperlink ref="B42" location="orforglipron!A1" display="Orforglipron" xr:uid="{D0F7F558-38EC-402D-BBEB-C86D7717AA7D}"/>
    <hyperlink ref="B44" location="retratrutide!A1" display="Retatrutide" xr:uid="{2A09D526-D063-4409-93BE-774B02C727DC}"/>
    <hyperlink ref="B12" location="Kisunla!A1" display="Kisunla (donanemab-azbt)" xr:uid="{889E8E40-039A-475B-A62D-BB951C3F4C8B}"/>
    <hyperlink ref="B37" location="imlunestrant!A1" display="Imlunestrant" xr:uid="{7C4B9306-2548-42C6-AB30-3AFAF4A7AF72}"/>
    <hyperlink ref="B39" location="lebrikizumab!A1" display="Lebrikizumab" xr:uid="{A4704682-12B2-4334-B405-91540F1C9347}"/>
    <hyperlink ref="B40" location="lepodisiran!A1" display="Lepodisiran" xr:uid="{47ACDD19-D730-4CFE-8F93-97F2F94638EE}"/>
    <hyperlink ref="B9" location="mirikizumab!A1" display="Omvoh (mirikizumab-mrkz)" xr:uid="{E037DA28-FC78-43F4-A6E8-0D78AE3CE945}"/>
    <hyperlink ref="B41" location="olomorasib!A1" display="Olomorasib" xr:uid="{75058294-6EA6-4DFA-AE9A-6468C9C5B459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3FF-A569-428F-A3AC-698CB3C8F0D4}">
  <dimension ref="A1:C12"/>
  <sheetViews>
    <sheetView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227</v>
      </c>
    </row>
    <row r="4" spans="1:3" x14ac:dyDescent="0.2">
      <c r="B4" t="s">
        <v>7</v>
      </c>
      <c r="C4" t="s">
        <v>224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9" t="s">
        <v>228</v>
      </c>
    </row>
    <row r="12" spans="1:3" x14ac:dyDescent="0.2">
      <c r="C12" t="s">
        <v>229</v>
      </c>
    </row>
  </sheetData>
  <hyperlinks>
    <hyperlink ref="A1" location="Main!A1" display="Main" xr:uid="{A1418863-84F2-49C7-AA37-7BC877A9125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883-F550-49DC-8A22-C9EDC397F408}">
  <dimension ref="A1:C17"/>
  <sheetViews>
    <sheetView zoomScale="130" zoomScaleNormal="130" workbookViewId="0">
      <selection activeCell="B10" sqref="A1:B10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254</v>
      </c>
    </row>
    <row r="4" spans="1:3" x14ac:dyDescent="0.2">
      <c r="B4" t="s">
        <v>7</v>
      </c>
      <c r="C4" t="s">
        <v>257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9" t="s">
        <v>255</v>
      </c>
    </row>
    <row r="12" spans="1:3" x14ac:dyDescent="0.2">
      <c r="C12" t="s">
        <v>258</v>
      </c>
    </row>
    <row r="13" spans="1:3" x14ac:dyDescent="0.2">
      <c r="C13" s="34">
        <v>46600</v>
      </c>
    </row>
    <row r="15" spans="1:3" x14ac:dyDescent="0.2">
      <c r="C15" s="29" t="s">
        <v>256</v>
      </c>
    </row>
    <row r="16" spans="1:3" x14ac:dyDescent="0.2">
      <c r="C16" t="s">
        <v>259</v>
      </c>
    </row>
    <row r="17" spans="3:3" x14ac:dyDescent="0.2">
      <c r="C17" s="34">
        <v>48274</v>
      </c>
    </row>
  </sheetData>
  <hyperlinks>
    <hyperlink ref="A1" location="Main!A1" display="Main" xr:uid="{4931E407-EDE6-48D9-916D-A8EE4E1011C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6EB6-E7FB-48AF-BF3C-2B541E9E55CA}">
  <dimension ref="A1:C34"/>
  <sheetViews>
    <sheetView zoomScale="130" zoomScaleNormal="130" workbookViewId="0">
      <selection activeCell="B10" sqref="A1:B10"/>
    </sheetView>
  </sheetViews>
  <sheetFormatPr defaultRowHeight="12.75" x14ac:dyDescent="0.2"/>
  <cols>
    <col min="1" max="1" width="5" bestFit="1" customWidth="1"/>
    <col min="2" max="2" width="15" bestFit="1" customWidth="1"/>
    <col min="3" max="3" width="11.4257812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261</v>
      </c>
    </row>
    <row r="3" spans="1:3" x14ac:dyDescent="0.2">
      <c r="B3" t="s">
        <v>36</v>
      </c>
      <c r="C3" t="s">
        <v>260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9" t="s">
        <v>262</v>
      </c>
    </row>
    <row r="12" spans="1:3" x14ac:dyDescent="0.2">
      <c r="C12" t="s">
        <v>270</v>
      </c>
    </row>
    <row r="13" spans="1:3" x14ac:dyDescent="0.2">
      <c r="C13" s="34">
        <v>45689</v>
      </c>
    </row>
    <row r="14" spans="1:3" x14ac:dyDescent="0.2">
      <c r="C14" s="29" t="s">
        <v>263</v>
      </c>
    </row>
    <row r="15" spans="1:3" x14ac:dyDescent="0.2">
      <c r="C15" t="s">
        <v>271</v>
      </c>
    </row>
    <row r="16" spans="1:3" x14ac:dyDescent="0.2">
      <c r="C16" s="34">
        <v>45748</v>
      </c>
    </row>
    <row r="17" spans="3:3" x14ac:dyDescent="0.2">
      <c r="C17" s="29" t="s">
        <v>265</v>
      </c>
    </row>
    <row r="18" spans="3:3" x14ac:dyDescent="0.2">
      <c r="C18" t="s">
        <v>270</v>
      </c>
    </row>
    <row r="19" spans="3:3" x14ac:dyDescent="0.2">
      <c r="C19" s="34">
        <v>46419</v>
      </c>
    </row>
    <row r="20" spans="3:3" x14ac:dyDescent="0.2">
      <c r="C20" s="29" t="s">
        <v>264</v>
      </c>
    </row>
    <row r="21" spans="3:3" x14ac:dyDescent="0.2">
      <c r="C21" t="s">
        <v>271</v>
      </c>
    </row>
    <row r="22" spans="3:3" x14ac:dyDescent="0.2">
      <c r="C22" s="34">
        <v>46174</v>
      </c>
    </row>
    <row r="23" spans="3:3" x14ac:dyDescent="0.2">
      <c r="C23" s="29" t="s">
        <v>266</v>
      </c>
    </row>
    <row r="24" spans="3:3" x14ac:dyDescent="0.2">
      <c r="C24" t="s">
        <v>270</v>
      </c>
    </row>
    <row r="25" spans="3:3" x14ac:dyDescent="0.2">
      <c r="C25" s="34">
        <v>46327</v>
      </c>
    </row>
    <row r="26" spans="3:3" x14ac:dyDescent="0.2">
      <c r="C26" s="29" t="s">
        <v>267</v>
      </c>
    </row>
    <row r="27" spans="3:3" x14ac:dyDescent="0.2">
      <c r="C27" t="s">
        <v>272</v>
      </c>
    </row>
    <row r="28" spans="3:3" x14ac:dyDescent="0.2">
      <c r="C28" s="34">
        <v>46419</v>
      </c>
    </row>
    <row r="29" spans="3:3" x14ac:dyDescent="0.2">
      <c r="C29" s="29" t="s">
        <v>268</v>
      </c>
    </row>
    <row r="30" spans="3:3" x14ac:dyDescent="0.2">
      <c r="C30" t="s">
        <v>273</v>
      </c>
    </row>
    <row r="31" spans="3:3" x14ac:dyDescent="0.2">
      <c r="C31" s="34">
        <v>46266</v>
      </c>
    </row>
    <row r="32" spans="3:3" x14ac:dyDescent="0.2">
      <c r="C32" s="29" t="s">
        <v>269</v>
      </c>
    </row>
    <row r="33" spans="3:3" x14ac:dyDescent="0.2">
      <c r="C33" t="s">
        <v>274</v>
      </c>
    </row>
    <row r="34" spans="3:3" x14ac:dyDescent="0.2">
      <c r="C34" s="34">
        <v>46419</v>
      </c>
    </row>
  </sheetData>
  <hyperlinks>
    <hyperlink ref="A1" location="Main!A1" display="Main" xr:uid="{740889EA-F2D8-43F6-A503-19990B2EF81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556F-E243-45F0-BA15-3375F9F3D65A}">
  <dimension ref="A1:C13"/>
  <sheetViews>
    <sheetView zoomScale="130" zoomScaleNormal="130" workbookViewId="0">
      <selection activeCell="B10" sqref="A1:B10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275</v>
      </c>
    </row>
    <row r="4" spans="1:3" x14ac:dyDescent="0.2">
      <c r="B4" t="s">
        <v>7</v>
      </c>
      <c r="C4" t="s">
        <v>242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9" t="s">
        <v>276</v>
      </c>
    </row>
    <row r="12" spans="1:3" x14ac:dyDescent="0.2">
      <c r="C12" t="s">
        <v>277</v>
      </c>
    </row>
    <row r="13" spans="1:3" x14ac:dyDescent="0.2">
      <c r="C13" s="34">
        <v>47178</v>
      </c>
    </row>
  </sheetData>
  <hyperlinks>
    <hyperlink ref="A1" location="Main!A1" display="Main" xr:uid="{60FF9F2F-01C8-4C40-94DF-DBAE612AE1D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FE77-10D0-4452-A008-CC8E0FEAB7B3}">
  <dimension ref="A1:C25"/>
  <sheetViews>
    <sheetView zoomScale="130" zoomScaleNormal="130" workbookViewId="0">
      <selection activeCell="B10" sqref="A1:B10"/>
    </sheetView>
  </sheetViews>
  <sheetFormatPr defaultRowHeight="12.75" x14ac:dyDescent="0.2"/>
  <cols>
    <col min="1" max="1" width="5" bestFit="1" customWidth="1"/>
    <col min="2" max="2" width="15" bestFit="1" customWidth="1"/>
    <col min="3" max="3" width="10.5703125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284</v>
      </c>
    </row>
    <row r="3" spans="1:3" x14ac:dyDescent="0.2">
      <c r="B3" t="s">
        <v>36</v>
      </c>
      <c r="C3" t="s">
        <v>278</v>
      </c>
    </row>
    <row r="4" spans="1:3" x14ac:dyDescent="0.2">
      <c r="B4" t="s">
        <v>7</v>
      </c>
      <c r="C4" t="s">
        <v>279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9" t="s">
        <v>280</v>
      </c>
    </row>
    <row r="12" spans="1:3" x14ac:dyDescent="0.2">
      <c r="C12" t="s">
        <v>285</v>
      </c>
    </row>
    <row r="13" spans="1:3" x14ac:dyDescent="0.2">
      <c r="C13" s="34">
        <v>46357</v>
      </c>
    </row>
    <row r="15" spans="1:3" x14ac:dyDescent="0.2">
      <c r="C15" s="29" t="s">
        <v>281</v>
      </c>
    </row>
    <row r="16" spans="1:3" x14ac:dyDescent="0.2">
      <c r="C16" t="s">
        <v>286</v>
      </c>
    </row>
    <row r="17" spans="3:3" x14ac:dyDescent="0.2">
      <c r="C17" s="34">
        <v>46874</v>
      </c>
    </row>
    <row r="19" spans="3:3" x14ac:dyDescent="0.2">
      <c r="C19" s="29" t="s">
        <v>282</v>
      </c>
    </row>
    <row r="20" spans="3:3" x14ac:dyDescent="0.2">
      <c r="C20" t="s">
        <v>287</v>
      </c>
    </row>
    <row r="21" spans="3:3" x14ac:dyDescent="0.2">
      <c r="C21" s="34">
        <v>46722</v>
      </c>
    </row>
    <row r="23" spans="3:3" x14ac:dyDescent="0.2">
      <c r="C23" s="29" t="s">
        <v>283</v>
      </c>
    </row>
    <row r="24" spans="3:3" x14ac:dyDescent="0.2">
      <c r="C24" t="s">
        <v>288</v>
      </c>
    </row>
    <row r="25" spans="3:3" x14ac:dyDescent="0.2">
      <c r="C25" s="34">
        <v>46844</v>
      </c>
    </row>
  </sheetData>
  <hyperlinks>
    <hyperlink ref="A1" location="Main!A1" display="Main" xr:uid="{7BCB8BDA-EA88-4EFD-8583-5F745437393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A2C5-07C5-40B2-9372-AC6E7F29EFB7}">
  <dimension ref="A1:C21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291</v>
      </c>
    </row>
    <row r="3" spans="1:3" x14ac:dyDescent="0.2">
      <c r="B3" t="s">
        <v>36</v>
      </c>
      <c r="C3" t="s">
        <v>289</v>
      </c>
    </row>
    <row r="4" spans="1:3" x14ac:dyDescent="0.2">
      <c r="B4" t="s">
        <v>7</v>
      </c>
      <c r="C4" t="s">
        <v>290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9" t="s">
        <v>292</v>
      </c>
    </row>
    <row r="12" spans="1:3" x14ac:dyDescent="0.2">
      <c r="C12" t="s">
        <v>296</v>
      </c>
    </row>
    <row r="13" spans="1:3" x14ac:dyDescent="0.2">
      <c r="C13" s="34">
        <v>47392</v>
      </c>
    </row>
    <row r="15" spans="1:3" x14ac:dyDescent="0.2">
      <c r="C15" s="29" t="s">
        <v>294</v>
      </c>
    </row>
    <row r="16" spans="1:3" x14ac:dyDescent="0.2">
      <c r="C16" t="s">
        <v>295</v>
      </c>
    </row>
    <row r="17" spans="3:3" x14ac:dyDescent="0.2">
      <c r="C17" s="34">
        <v>48245</v>
      </c>
    </row>
    <row r="19" spans="3:3" x14ac:dyDescent="0.2">
      <c r="C19" s="29" t="s">
        <v>293</v>
      </c>
    </row>
    <row r="20" spans="3:3" x14ac:dyDescent="0.2">
      <c r="C20" t="s">
        <v>297</v>
      </c>
    </row>
    <row r="21" spans="3:3" x14ac:dyDescent="0.2">
      <c r="C21" s="34">
        <v>46478</v>
      </c>
    </row>
  </sheetData>
  <hyperlinks>
    <hyperlink ref="A1" location="Main!A1" display="Main" xr:uid="{81F6F906-A93D-4409-8C04-AF26116D6C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BA39-FD53-497C-AEEB-0F0FD94197E7}">
  <dimension ref="A1:DP92"/>
  <sheetViews>
    <sheetView tabSelected="1" zoomScale="130" zoomScaleNormal="130" workbookViewId="0">
      <pane xSplit="2" ySplit="2" topLeftCell="U15" activePane="bottomRight" state="frozen"/>
      <selection pane="topRight" activeCell="C1" sqref="C1"/>
      <selection pane="bottomLeft" activeCell="A3" sqref="A3"/>
      <selection pane="bottomRight" activeCell="AB39" sqref="AB39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8" width="9.140625" style="2"/>
    <col min="9" max="9" width="10.140625" style="2" bestFit="1" customWidth="1"/>
    <col min="10" max="16384" width="9.140625" style="2"/>
  </cols>
  <sheetData>
    <row r="1" spans="1:27" x14ac:dyDescent="0.2">
      <c r="A1" s="6" t="s">
        <v>14</v>
      </c>
      <c r="H1" s="28">
        <v>45876</v>
      </c>
      <c r="I1" s="28">
        <v>45960</v>
      </c>
    </row>
    <row r="2" spans="1:27" x14ac:dyDescent="0.2">
      <c r="C2" s="2" t="s">
        <v>16</v>
      </c>
      <c r="D2" s="2" t="s">
        <v>17</v>
      </c>
      <c r="E2" s="2" t="s">
        <v>18</v>
      </c>
      <c r="F2" s="2" t="s">
        <v>19</v>
      </c>
      <c r="G2" s="2" t="s">
        <v>13</v>
      </c>
      <c r="H2" s="2" t="s">
        <v>20</v>
      </c>
      <c r="I2" s="2" t="s">
        <v>21</v>
      </c>
      <c r="J2" s="2" t="s">
        <v>22</v>
      </c>
      <c r="L2" s="8">
        <v>2020</v>
      </c>
      <c r="M2" s="8">
        <f>L2+1</f>
        <v>2021</v>
      </c>
      <c r="N2" s="8">
        <f>M2+1</f>
        <v>2022</v>
      </c>
      <c r="O2" s="8">
        <f t="shared" ref="O2:AA2" si="0">N2+1</f>
        <v>2023</v>
      </c>
      <c r="P2" s="8">
        <f t="shared" si="0"/>
        <v>2024</v>
      </c>
      <c r="Q2" s="8">
        <f t="shared" si="0"/>
        <v>2025</v>
      </c>
      <c r="R2" s="8">
        <f t="shared" si="0"/>
        <v>2026</v>
      </c>
      <c r="S2" s="8">
        <f t="shared" si="0"/>
        <v>2027</v>
      </c>
      <c r="T2" s="8">
        <f t="shared" si="0"/>
        <v>2028</v>
      </c>
      <c r="U2" s="8">
        <f t="shared" si="0"/>
        <v>2029</v>
      </c>
      <c r="V2" s="8">
        <f t="shared" si="0"/>
        <v>2030</v>
      </c>
      <c r="W2" s="8">
        <f t="shared" si="0"/>
        <v>2031</v>
      </c>
      <c r="X2" s="8">
        <f t="shared" si="0"/>
        <v>2032</v>
      </c>
      <c r="Y2" s="8">
        <f t="shared" si="0"/>
        <v>2033</v>
      </c>
      <c r="Z2" s="8">
        <f t="shared" si="0"/>
        <v>2034</v>
      </c>
      <c r="AA2" s="8">
        <f t="shared" si="0"/>
        <v>2035</v>
      </c>
    </row>
    <row r="3" spans="1:27" x14ac:dyDescent="0.2">
      <c r="B3" s="2" t="s">
        <v>95</v>
      </c>
      <c r="L3" s="8"/>
      <c r="M3" s="8"/>
      <c r="N3" s="8"/>
      <c r="O3" s="8"/>
      <c r="P3" s="8"/>
      <c r="Q3" s="8"/>
      <c r="R3" s="8"/>
      <c r="S3" s="8"/>
      <c r="T3" s="8"/>
      <c r="U3" s="8"/>
    </row>
    <row r="4" spans="1:27" x14ac:dyDescent="0.2">
      <c r="B4" s="2" t="s">
        <v>96</v>
      </c>
      <c r="L4" s="8"/>
      <c r="M4" s="8"/>
      <c r="N4" s="8"/>
      <c r="O4" s="8"/>
      <c r="P4" s="8"/>
      <c r="Q4" s="8"/>
      <c r="R4" s="8"/>
      <c r="S4" s="8"/>
      <c r="T4" s="8"/>
      <c r="U4" s="8"/>
    </row>
    <row r="5" spans="1:27" x14ac:dyDescent="0.2">
      <c r="B5" s="2" t="s">
        <v>97</v>
      </c>
      <c r="L5" s="8"/>
      <c r="M5" s="8"/>
      <c r="N5" s="8"/>
      <c r="O5" s="8"/>
      <c r="P5" s="8"/>
      <c r="Q5" s="8"/>
      <c r="R5" s="8"/>
      <c r="S5" s="8"/>
      <c r="T5" s="8"/>
      <c r="U5" s="8"/>
    </row>
    <row r="6" spans="1:27" x14ac:dyDescent="0.2">
      <c r="B6" s="2" t="s">
        <v>98</v>
      </c>
      <c r="L6" s="8"/>
      <c r="M6" s="8"/>
      <c r="N6" s="8"/>
      <c r="O6" s="8"/>
      <c r="P6" s="8"/>
      <c r="Q6" s="8"/>
      <c r="R6" s="8"/>
      <c r="S6" s="8"/>
      <c r="T6" s="8"/>
      <c r="U6" s="8"/>
    </row>
    <row r="7" spans="1:27" x14ac:dyDescent="0.2">
      <c r="B7" s="2" t="s">
        <v>104</v>
      </c>
      <c r="L7" s="8"/>
      <c r="M7" s="8"/>
      <c r="N7" s="8"/>
      <c r="O7" s="8"/>
      <c r="P7" s="8"/>
      <c r="Q7" s="8"/>
      <c r="R7" s="8"/>
      <c r="S7" s="8"/>
      <c r="T7" s="8"/>
      <c r="U7" s="8"/>
    </row>
    <row r="8" spans="1:27" x14ac:dyDescent="0.2">
      <c r="B8" s="2" t="s">
        <v>105</v>
      </c>
      <c r="L8" s="8"/>
      <c r="M8" s="8"/>
      <c r="N8" s="8"/>
      <c r="O8" s="8"/>
      <c r="P8" s="8"/>
      <c r="Q8" s="8"/>
      <c r="R8" s="8"/>
      <c r="S8" s="8"/>
      <c r="T8" s="8"/>
      <c r="U8" s="8"/>
    </row>
    <row r="9" spans="1:27" x14ac:dyDescent="0.2">
      <c r="B9" s="2" t="s">
        <v>106</v>
      </c>
      <c r="L9" s="8"/>
      <c r="M9" s="8"/>
      <c r="N9" s="8"/>
      <c r="O9" s="8"/>
      <c r="P9" s="8"/>
      <c r="Q9" s="8"/>
      <c r="R9" s="8"/>
      <c r="S9" s="8"/>
      <c r="T9" s="8"/>
      <c r="U9" s="8"/>
    </row>
    <row r="10" spans="1:27" x14ac:dyDescent="0.2">
      <c r="B10" s="2" t="s">
        <v>107</v>
      </c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7" x14ac:dyDescent="0.2">
      <c r="B11" s="2" t="s">
        <v>108</v>
      </c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7" x14ac:dyDescent="0.2">
      <c r="B12" s="2" t="s">
        <v>109</v>
      </c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7" x14ac:dyDescent="0.2">
      <c r="B13" s="2" t="s">
        <v>83</v>
      </c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7" x14ac:dyDescent="0.2">
      <c r="B14" s="2" t="s">
        <v>94</v>
      </c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7" s="7" customFormat="1" x14ac:dyDescent="0.2">
      <c r="A15" s="2"/>
      <c r="B15" s="7" t="s">
        <v>15</v>
      </c>
      <c r="C15" s="7">
        <v>8768</v>
      </c>
      <c r="G15" s="7">
        <v>12728</v>
      </c>
      <c r="H15" s="7">
        <f>G15*1.1</f>
        <v>14000.800000000001</v>
      </c>
      <c r="I15" s="7">
        <f t="shared" ref="I15:J15" si="1">H15*1.1</f>
        <v>15400.880000000003</v>
      </c>
      <c r="J15" s="7">
        <f t="shared" si="1"/>
        <v>16940.968000000004</v>
      </c>
      <c r="Q15" s="7">
        <f>SUM(G15:J15)</f>
        <v>59070.648000000016</v>
      </c>
      <c r="R15" s="7">
        <f>Q15*1.1</f>
        <v>64977.712800000023</v>
      </c>
      <c r="S15" s="7">
        <f t="shared" ref="S15:V15" si="2">R15*1.1</f>
        <v>71475.484080000024</v>
      </c>
      <c r="T15" s="7">
        <f t="shared" si="2"/>
        <v>78623.032488000026</v>
      </c>
      <c r="U15" s="7">
        <f t="shared" si="2"/>
        <v>86485.335736800029</v>
      </c>
      <c r="V15" s="7">
        <f t="shared" si="2"/>
        <v>95133.869310480033</v>
      </c>
      <c r="W15" s="7">
        <f t="shared" ref="W15:AA15" si="3">V15*1.1</f>
        <v>104647.25624152804</v>
      </c>
      <c r="X15" s="7">
        <f t="shared" si="3"/>
        <v>115111.98186568085</v>
      </c>
      <c r="Y15" s="7">
        <f t="shared" si="3"/>
        <v>126623.18005224895</v>
      </c>
      <c r="Z15" s="7">
        <f t="shared" si="3"/>
        <v>139285.49805747386</v>
      </c>
      <c r="AA15" s="7">
        <f t="shared" si="3"/>
        <v>153214.04786322126</v>
      </c>
    </row>
    <row r="16" spans="1:27" x14ac:dyDescent="0.2">
      <c r="B16" s="2" t="s">
        <v>23</v>
      </c>
      <c r="C16" s="2">
        <v>1674</v>
      </c>
      <c r="G16" s="2">
        <v>2224</v>
      </c>
      <c r="H16" s="2">
        <f>H15*0.17</f>
        <v>2380.1360000000004</v>
      </c>
      <c r="I16" s="2">
        <f t="shared" ref="I16:J16" si="4">I15*0.17</f>
        <v>2618.1496000000006</v>
      </c>
      <c r="J16" s="2">
        <f t="shared" si="4"/>
        <v>2879.9645600000008</v>
      </c>
      <c r="Q16" s="2">
        <f>SUM(G16:J16)</f>
        <v>10102.250160000001</v>
      </c>
      <c r="R16" s="2">
        <f t="shared" ref="R16" si="5">R15*0.17</f>
        <v>11046.211176000004</v>
      </c>
      <c r="S16" s="2">
        <f t="shared" ref="S16" si="6">S15*0.17</f>
        <v>12150.832293600004</v>
      </c>
      <c r="T16" s="2">
        <f t="shared" ref="T16" si="7">T15*0.17</f>
        <v>13365.915522960006</v>
      </c>
      <c r="U16" s="2">
        <f t="shared" ref="U16:V16" si="8">U15*0.17</f>
        <v>14702.507075256006</v>
      </c>
      <c r="V16" s="2">
        <f t="shared" si="8"/>
        <v>16172.757782781608</v>
      </c>
      <c r="W16" s="2">
        <f t="shared" ref="W16" si="9">W15*0.17</f>
        <v>17790.033561059769</v>
      </c>
      <c r="X16" s="2">
        <f t="shared" ref="X16" si="10">X15*0.17</f>
        <v>19569.036917165748</v>
      </c>
      <c r="Y16" s="2">
        <f t="shared" ref="Y16" si="11">Y15*0.17</f>
        <v>21525.940608882323</v>
      </c>
      <c r="Z16" s="2">
        <f t="shared" ref="Z16" si="12">Z15*0.17</f>
        <v>23678.534669770557</v>
      </c>
      <c r="AA16" s="2">
        <f t="shared" ref="AA16" si="13">AA15*0.17</f>
        <v>26046.388136747617</v>
      </c>
    </row>
    <row r="17" spans="1:120" x14ac:dyDescent="0.2">
      <c r="B17" s="2" t="s">
        <v>24</v>
      </c>
      <c r="C17" s="2">
        <f>C15-C16</f>
        <v>7094</v>
      </c>
      <c r="D17" s="2">
        <f>D15-D16</f>
        <v>0</v>
      </c>
      <c r="E17" s="2">
        <f>E15-E16</f>
        <v>0</v>
      </c>
      <c r="F17" s="2">
        <f>F15-F16</f>
        <v>0</v>
      </c>
      <c r="G17" s="2">
        <f>G15-G16</f>
        <v>10504</v>
      </c>
      <c r="H17" s="2">
        <f>H15-H16</f>
        <v>11620.664000000001</v>
      </c>
      <c r="I17" s="2">
        <f t="shared" ref="I17:L17" si="14">I15-I16</f>
        <v>12782.730400000002</v>
      </c>
      <c r="J17" s="2">
        <f t="shared" si="14"/>
        <v>14061.003440000004</v>
      </c>
      <c r="L17" s="2">
        <f t="shared" si="14"/>
        <v>0</v>
      </c>
      <c r="M17" s="2">
        <f t="shared" ref="M17" si="15">M15-M16</f>
        <v>0</v>
      </c>
      <c r="N17" s="2">
        <f t="shared" ref="N17" si="16">N15-N16</f>
        <v>0</v>
      </c>
      <c r="O17" s="2">
        <f t="shared" ref="O17" si="17">O15-O16</f>
        <v>0</v>
      </c>
      <c r="P17" s="2">
        <f t="shared" ref="P17" si="18">P15-P16</f>
        <v>0</v>
      </c>
      <c r="Q17" s="2">
        <f t="shared" ref="Q17" si="19">Q15-Q16</f>
        <v>48968.397840000012</v>
      </c>
      <c r="R17" s="2">
        <f t="shared" ref="R17" si="20">R15-R16</f>
        <v>53931.501624000019</v>
      </c>
      <c r="S17" s="2">
        <f t="shared" ref="S17" si="21">S15-S16</f>
        <v>59324.65178640002</v>
      </c>
      <c r="T17" s="2">
        <f t="shared" ref="T17" si="22">T15-T16</f>
        <v>65257.116965040019</v>
      </c>
      <c r="U17" s="2">
        <f t="shared" ref="U17:V17" si="23">U15-U16</f>
        <v>71782.828661544016</v>
      </c>
      <c r="V17" s="2">
        <f t="shared" si="23"/>
        <v>78961.11152769842</v>
      </c>
      <c r="W17" s="2">
        <f t="shared" ref="W17" si="24">W15-W16</f>
        <v>86857.222680468272</v>
      </c>
      <c r="X17" s="2">
        <f t="shared" ref="X17" si="25">X15-X16</f>
        <v>95542.944948515098</v>
      </c>
      <c r="Y17" s="2">
        <f t="shared" ref="Y17" si="26">Y15-Y16</f>
        <v>105097.23944336662</v>
      </c>
      <c r="Z17" s="2">
        <f t="shared" ref="Z17" si="27">Z15-Z16</f>
        <v>115606.9633877033</v>
      </c>
      <c r="AA17" s="2">
        <f t="shared" ref="AA17" si="28">AA15-AA16</f>
        <v>127167.65972647365</v>
      </c>
    </row>
    <row r="18" spans="1:120" x14ac:dyDescent="0.2">
      <c r="B18" s="2" t="s">
        <v>25</v>
      </c>
      <c r="C18" s="2">
        <v>2523</v>
      </c>
      <c r="G18" s="2">
        <v>2734</v>
      </c>
      <c r="H18" s="2">
        <f>G18</f>
        <v>2734</v>
      </c>
      <c r="I18" s="2">
        <f t="shared" ref="I18:J18" si="29">H18</f>
        <v>2734</v>
      </c>
      <c r="J18" s="2">
        <f t="shared" si="29"/>
        <v>2734</v>
      </c>
      <c r="Q18" s="2">
        <f>SUM(G18:J18)</f>
        <v>10936</v>
      </c>
    </row>
    <row r="19" spans="1:120" x14ac:dyDescent="0.2">
      <c r="B19" s="2" t="s">
        <v>26</v>
      </c>
      <c r="C19" s="2">
        <v>1952</v>
      </c>
      <c r="G19" s="2">
        <v>2469</v>
      </c>
      <c r="H19" s="2">
        <f>G19</f>
        <v>2469</v>
      </c>
      <c r="I19" s="2">
        <f t="shared" ref="I19:J19" si="30">H19</f>
        <v>2469</v>
      </c>
      <c r="J19" s="2">
        <f t="shared" si="30"/>
        <v>2469</v>
      </c>
      <c r="Q19" s="2">
        <f>SUM(G19:J19)</f>
        <v>9876</v>
      </c>
      <c r="R19" s="2">
        <f>Q19*1.04</f>
        <v>10271.040000000001</v>
      </c>
      <c r="S19" s="2">
        <f t="shared" ref="S19:V19" si="31">R19*1.04</f>
        <v>10681.881600000001</v>
      </c>
      <c r="T19" s="2">
        <f t="shared" si="31"/>
        <v>11109.156864</v>
      </c>
      <c r="U19" s="2">
        <f t="shared" si="31"/>
        <v>11553.52313856</v>
      </c>
      <c r="V19" s="2">
        <f t="shared" si="31"/>
        <v>12015.664064102401</v>
      </c>
      <c r="W19" s="2">
        <f t="shared" ref="W19:AA19" si="32">V19*1.04</f>
        <v>12496.290626666498</v>
      </c>
      <c r="X19" s="2">
        <f t="shared" si="32"/>
        <v>12996.142251733158</v>
      </c>
      <c r="Y19" s="2">
        <f t="shared" si="32"/>
        <v>13515.987941802485</v>
      </c>
      <c r="Z19" s="2">
        <f t="shared" si="32"/>
        <v>14056.627459474585</v>
      </c>
      <c r="AA19" s="2">
        <f t="shared" si="32"/>
        <v>14618.892557853569</v>
      </c>
    </row>
    <row r="20" spans="1:120" x14ac:dyDescent="0.2">
      <c r="B20" s="2" t="s">
        <v>27</v>
      </c>
      <c r="C20" s="2">
        <f>SUM(C18:C19)</f>
        <v>4475</v>
      </c>
      <c r="D20" s="2">
        <f>SUM(D18:D19)</f>
        <v>0</v>
      </c>
      <c r="E20" s="2">
        <f>SUM(E18:E19)</f>
        <v>0</v>
      </c>
      <c r="F20" s="2">
        <f>SUM(F18:F19)</f>
        <v>0</v>
      </c>
      <c r="G20" s="2">
        <f>SUM(G18:G19)</f>
        <v>5203</v>
      </c>
      <c r="H20" s="2">
        <f>SUM(H18:H19)</f>
        <v>5203</v>
      </c>
      <c r="I20" s="2">
        <f t="shared" ref="I20:L20" si="33">SUM(I18:I19)</f>
        <v>5203</v>
      </c>
      <c r="J20" s="2">
        <f t="shared" si="33"/>
        <v>5203</v>
      </c>
      <c r="L20" s="2">
        <f t="shared" si="33"/>
        <v>0</v>
      </c>
      <c r="M20" s="2">
        <f t="shared" ref="M20" si="34">SUM(M18:M19)</f>
        <v>0</v>
      </c>
      <c r="N20" s="2">
        <f t="shared" ref="N20" si="35">SUM(N18:N19)</f>
        <v>0</v>
      </c>
      <c r="O20" s="2">
        <f t="shared" ref="O20" si="36">SUM(O18:O19)</f>
        <v>0</v>
      </c>
      <c r="P20" s="2">
        <f t="shared" ref="P20" si="37">SUM(P18:P19)</f>
        <v>0</v>
      </c>
      <c r="Q20" s="2">
        <f t="shared" ref="Q20" si="38">SUM(Q18:Q19)</f>
        <v>20812</v>
      </c>
      <c r="R20" s="2">
        <f t="shared" ref="R20" si="39">SUM(R18:R19)</f>
        <v>10271.040000000001</v>
      </c>
      <c r="S20" s="2">
        <f t="shared" ref="S20" si="40">SUM(S18:S19)</f>
        <v>10681.881600000001</v>
      </c>
      <c r="T20" s="2">
        <f t="shared" ref="T20" si="41">SUM(T18:T19)</f>
        <v>11109.156864</v>
      </c>
      <c r="U20" s="2">
        <f t="shared" ref="U20:V20" si="42">SUM(U18:U19)</f>
        <v>11553.52313856</v>
      </c>
      <c r="V20" s="2">
        <f t="shared" si="42"/>
        <v>12015.664064102401</v>
      </c>
      <c r="W20" s="2">
        <f t="shared" ref="W20" si="43">SUM(W18:W19)</f>
        <v>12496.290626666498</v>
      </c>
      <c r="X20" s="2">
        <f t="shared" ref="X20" si="44">SUM(X18:X19)</f>
        <v>12996.142251733158</v>
      </c>
      <c r="Y20" s="2">
        <f t="shared" ref="Y20" si="45">SUM(Y18:Y19)</f>
        <v>13515.987941802485</v>
      </c>
      <c r="Z20" s="2">
        <f t="shared" ref="Z20" si="46">SUM(Z18:Z19)</f>
        <v>14056.627459474585</v>
      </c>
      <c r="AA20" s="2">
        <f t="shared" ref="AA20" si="47">SUM(AA18:AA19)</f>
        <v>14618.892557853569</v>
      </c>
    </row>
    <row r="21" spans="1:120" x14ac:dyDescent="0.2">
      <c r="B21" s="2" t="s">
        <v>28</v>
      </c>
      <c r="C21" s="2">
        <f>C17-C20</f>
        <v>2619</v>
      </c>
      <c r="D21" s="2">
        <f>D17-D20</f>
        <v>0</v>
      </c>
      <c r="E21" s="2">
        <f>E17-E20</f>
        <v>0</v>
      </c>
      <c r="F21" s="2">
        <f>F17-F20</f>
        <v>0</v>
      </c>
      <c r="G21" s="2">
        <f>G17-G20</f>
        <v>5301</v>
      </c>
      <c r="H21" s="2">
        <f>H17-H20</f>
        <v>6417.6640000000007</v>
      </c>
      <c r="I21" s="2">
        <f t="shared" ref="I21:L21" si="48">I17-I20</f>
        <v>7579.7304000000022</v>
      </c>
      <c r="J21" s="2">
        <f t="shared" si="48"/>
        <v>8858.003440000004</v>
      </c>
      <c r="L21" s="2">
        <f t="shared" si="48"/>
        <v>0</v>
      </c>
      <c r="M21" s="2">
        <f t="shared" ref="M21" si="49">M17-M20</f>
        <v>0</v>
      </c>
      <c r="N21" s="2">
        <f t="shared" ref="N21" si="50">N17-N20</f>
        <v>0</v>
      </c>
      <c r="O21" s="2">
        <f t="shared" ref="O21" si="51">O17-O20</f>
        <v>0</v>
      </c>
      <c r="P21" s="2">
        <f t="shared" ref="P21" si="52">P17-P20</f>
        <v>0</v>
      </c>
      <c r="Q21" s="2">
        <f t="shared" ref="Q21" si="53">Q17-Q20</f>
        <v>28156.397840000012</v>
      </c>
      <c r="R21" s="2">
        <f t="shared" ref="R21" si="54">R17-R20</f>
        <v>43660.461624000018</v>
      </c>
      <c r="S21" s="2">
        <f t="shared" ref="S21" si="55">S17-S20</f>
        <v>48642.770186400019</v>
      </c>
      <c r="T21" s="2">
        <f t="shared" ref="T21" si="56">T17-T20</f>
        <v>54147.960101040022</v>
      </c>
      <c r="U21" s="2">
        <f t="shared" ref="U21:V21" si="57">U17-U20</f>
        <v>60229.305522984017</v>
      </c>
      <c r="V21" s="2">
        <f t="shared" si="57"/>
        <v>66945.447463596021</v>
      </c>
      <c r="W21" s="2">
        <f t="shared" ref="W21" si="58">W17-W20</f>
        <v>74360.932053801778</v>
      </c>
      <c r="X21" s="2">
        <f t="shared" ref="X21" si="59">X17-X20</f>
        <v>82546.802696781946</v>
      </c>
      <c r="Y21" s="2">
        <f t="shared" ref="Y21" si="60">Y17-Y20</f>
        <v>91581.25150156414</v>
      </c>
      <c r="Z21" s="2">
        <f t="shared" ref="Z21" si="61">Z17-Z20</f>
        <v>101550.33592822871</v>
      </c>
      <c r="AA21" s="2">
        <f t="shared" ref="AA21" si="62">AA17-AA20</f>
        <v>112548.76716862008</v>
      </c>
    </row>
    <row r="22" spans="1:120" x14ac:dyDescent="0.2">
      <c r="B22" s="2" t="s">
        <v>47</v>
      </c>
      <c r="C22" s="2">
        <v>27</v>
      </c>
      <c r="G22" s="2">
        <v>-239</v>
      </c>
      <c r="H22" s="2">
        <f>G33*$AD$27</f>
        <v>-69.320000000000007</v>
      </c>
      <c r="I22" s="2">
        <f>H33*$AD$27</f>
        <v>33.523172800000012</v>
      </c>
      <c r="J22" s="2">
        <f>I33*$AD$27</f>
        <v>156.85788067936005</v>
      </c>
      <c r="Q22" s="2">
        <f>SUM(G22:J22)</f>
        <v>-117.93894652063994</v>
      </c>
      <c r="R22" s="2">
        <f>Q33*$AD$27</f>
        <v>302.89863407436576</v>
      </c>
      <c r="S22" s="2">
        <f>R33*$AD$27</f>
        <v>1015.1050702551707</v>
      </c>
      <c r="T22" s="2">
        <f>S33*$AD$27</f>
        <v>1819.5626494129847</v>
      </c>
      <c r="U22" s="2">
        <f>T33*$AD$27</f>
        <v>2726.2365179703233</v>
      </c>
      <c r="V22" s="2">
        <f>U33*$AD$27</f>
        <v>3746.1162990337839</v>
      </c>
      <c r="W22" s="2">
        <f>V33*$AD$27</f>
        <v>4891.3196319883864</v>
      </c>
      <c r="X22" s="2">
        <f>W33*$AD$27</f>
        <v>6175.2061092981876</v>
      </c>
      <c r="Y22" s="2">
        <f>X33*$AD$27</f>
        <v>7612.5026519566854</v>
      </c>
      <c r="Z22" s="2">
        <f>Y33*$AD$27</f>
        <v>9219.441469243724</v>
      </c>
      <c r="AA22" s="2">
        <f>Z33*$AD$27</f>
        <v>11013.911863082778</v>
      </c>
    </row>
    <row r="23" spans="1:120" x14ac:dyDescent="0.2">
      <c r="B23" s="2" t="s">
        <v>48</v>
      </c>
      <c r="C23" s="2">
        <f>C21+C22</f>
        <v>2646</v>
      </c>
      <c r="D23" s="2">
        <f>D21+D22</f>
        <v>0</v>
      </c>
      <c r="E23" s="2">
        <f>E21+E22</f>
        <v>0</v>
      </c>
      <c r="F23" s="2">
        <f>F21+F22</f>
        <v>0</v>
      </c>
      <c r="G23" s="2">
        <f>G21+G22</f>
        <v>5062</v>
      </c>
      <c r="H23" s="2">
        <f>H21+H22</f>
        <v>6348.344000000001</v>
      </c>
      <c r="I23" s="2">
        <f t="shared" ref="I23:L23" si="63">I21+I22</f>
        <v>7613.2535728000021</v>
      </c>
      <c r="J23" s="2">
        <f t="shared" si="63"/>
        <v>9014.8613206793634</v>
      </c>
      <c r="L23" s="2">
        <f t="shared" si="63"/>
        <v>0</v>
      </c>
      <c r="M23" s="2">
        <f t="shared" ref="M23" si="64">M21+M22</f>
        <v>0</v>
      </c>
      <c r="N23" s="2">
        <f t="shared" ref="N23" si="65">N21+N22</f>
        <v>0</v>
      </c>
      <c r="O23" s="2">
        <f t="shared" ref="O23" si="66">O21+O22</f>
        <v>0</v>
      </c>
      <c r="P23" s="2">
        <f t="shared" ref="P23" si="67">P21+P22</f>
        <v>0</v>
      </c>
      <c r="Q23" s="2">
        <f t="shared" ref="Q23" si="68">Q21+Q22</f>
        <v>28038.458893479372</v>
      </c>
      <c r="R23" s="2">
        <f t="shared" ref="R23" si="69">R21+R22</f>
        <v>43963.360258074383</v>
      </c>
      <c r="S23" s="2">
        <f t="shared" ref="S23" si="70">S21+S22</f>
        <v>49657.875256655192</v>
      </c>
      <c r="T23" s="2">
        <f t="shared" ref="T23" si="71">T21+T22</f>
        <v>55967.522750453005</v>
      </c>
      <c r="U23" s="2">
        <f t="shared" ref="U23:V23" si="72">U21+U22</f>
        <v>62955.542040954344</v>
      </c>
      <c r="V23" s="2">
        <f t="shared" si="72"/>
        <v>70691.563762629812</v>
      </c>
      <c r="W23" s="2">
        <f t="shared" ref="W23" si="73">W21+W22</f>
        <v>79252.251685790165</v>
      </c>
      <c r="X23" s="2">
        <f t="shared" ref="X23" si="74">X21+X22</f>
        <v>88722.008806080135</v>
      </c>
      <c r="Y23" s="2">
        <f t="shared" ref="Y23" si="75">Y21+Y22</f>
        <v>99193.754153520829</v>
      </c>
      <c r="Z23" s="2">
        <f t="shared" ref="Z23" si="76">Z21+Z22</f>
        <v>110769.77739747244</v>
      </c>
      <c r="AA23" s="2">
        <f t="shared" ref="AA23" si="77">AA21+AA22</f>
        <v>123562.67903170285</v>
      </c>
    </row>
    <row r="24" spans="1:120" x14ac:dyDescent="0.2">
      <c r="B24" s="2" t="s">
        <v>49</v>
      </c>
      <c r="C24" s="2">
        <v>293</v>
      </c>
      <c r="G24" s="2">
        <v>697</v>
      </c>
      <c r="H24" s="2">
        <f>H23*0.19</f>
        <v>1206.1853600000002</v>
      </c>
      <c r="I24" s="2">
        <f t="shared" ref="I24:J24" si="78">I23*0.19</f>
        <v>1446.5181788320003</v>
      </c>
      <c r="J24" s="2">
        <f t="shared" si="78"/>
        <v>1712.8236509290791</v>
      </c>
      <c r="Q24" s="2">
        <f>SUM(G24:J24)</f>
        <v>5062.5271897610801</v>
      </c>
      <c r="R24" s="2">
        <f>R23*0.19</f>
        <v>8353.038449034133</v>
      </c>
      <c r="S24" s="2">
        <f t="shared" ref="S24:V24" si="79">S23*0.19</f>
        <v>9434.9962987644867</v>
      </c>
      <c r="T24" s="2">
        <f t="shared" si="79"/>
        <v>10633.829322586071</v>
      </c>
      <c r="U24" s="2">
        <f t="shared" si="79"/>
        <v>11961.552987781326</v>
      </c>
      <c r="V24" s="2">
        <f t="shared" si="79"/>
        <v>13431.397114899664</v>
      </c>
      <c r="W24" s="2">
        <f t="shared" ref="W24" si="80">W23*0.19</f>
        <v>15057.927820300132</v>
      </c>
      <c r="X24" s="2">
        <f t="shared" ref="X24" si="81">X23*0.19</f>
        <v>16857.181673155224</v>
      </c>
      <c r="Y24" s="2">
        <f t="shared" ref="Y24" si="82">Y23*0.19</f>
        <v>18846.813289168957</v>
      </c>
      <c r="Z24" s="2">
        <f t="shared" ref="Z24" si="83">Z23*0.19</f>
        <v>21046.257705519765</v>
      </c>
      <c r="AA24" s="2">
        <f t="shared" ref="AA24" si="84">AA23*0.19</f>
        <v>23476.909016023543</v>
      </c>
    </row>
    <row r="25" spans="1:120" x14ac:dyDescent="0.2">
      <c r="B25" s="2" t="s">
        <v>50</v>
      </c>
      <c r="C25" s="2">
        <f>C23-C24</f>
        <v>2353</v>
      </c>
      <c r="D25" s="2">
        <f>D23-D24</f>
        <v>0</v>
      </c>
      <c r="E25" s="2">
        <f>E23-E24</f>
        <v>0</v>
      </c>
      <c r="F25" s="2">
        <f>F23-F24</f>
        <v>0</v>
      </c>
      <c r="G25" s="2">
        <f>G23-G24</f>
        <v>4365</v>
      </c>
      <c r="H25" s="2">
        <f>H23-H24</f>
        <v>5142.1586400000006</v>
      </c>
      <c r="I25" s="2">
        <f t="shared" ref="I25:L25" si="85">I23-I24</f>
        <v>6166.7353939680015</v>
      </c>
      <c r="J25" s="2">
        <f t="shared" si="85"/>
        <v>7302.0376697502843</v>
      </c>
      <c r="L25" s="2">
        <f t="shared" si="85"/>
        <v>0</v>
      </c>
      <c r="M25" s="2">
        <f t="shared" ref="M25" si="86">M23-M24</f>
        <v>0</v>
      </c>
      <c r="N25" s="2">
        <f t="shared" ref="N25" si="87">N23-N24</f>
        <v>0</v>
      </c>
      <c r="O25" s="2">
        <f t="shared" ref="O25" si="88">O23-O24</f>
        <v>0</v>
      </c>
      <c r="P25" s="2">
        <f t="shared" ref="P25" si="89">P23-P24</f>
        <v>0</v>
      </c>
      <c r="Q25" s="2">
        <f t="shared" ref="Q25" si="90">Q23-Q24</f>
        <v>22975.931703718292</v>
      </c>
      <c r="R25" s="2">
        <f t="shared" ref="R25" si="91">R23-R24</f>
        <v>35610.321809040252</v>
      </c>
      <c r="S25" s="2">
        <f t="shared" ref="S25" si="92">S23-S24</f>
        <v>40222.878957890702</v>
      </c>
      <c r="T25" s="2">
        <f t="shared" ref="T25" si="93">T23-T24</f>
        <v>45333.693427866936</v>
      </c>
      <c r="U25" s="2">
        <f t="shared" ref="U25:V25" si="94">U23-U24</f>
        <v>50993.98905317302</v>
      </c>
      <c r="V25" s="2">
        <f t="shared" si="94"/>
        <v>57260.166647730148</v>
      </c>
      <c r="W25" s="2">
        <f t="shared" ref="W25" si="95">W23-W24</f>
        <v>64194.323865490034</v>
      </c>
      <c r="X25" s="2">
        <f t="shared" ref="X25" si="96">X23-X24</f>
        <v>71864.827132924911</v>
      </c>
      <c r="Y25" s="2">
        <f t="shared" ref="Y25" si="97">Y23-Y24</f>
        <v>80346.940864351869</v>
      </c>
      <c r="Z25" s="2">
        <f t="shared" ref="Z25" si="98">Z23-Z24</f>
        <v>89723.519691952679</v>
      </c>
      <c r="AA25" s="2">
        <f t="shared" ref="AA25" si="99">AA23-AA24</f>
        <v>100085.7700156793</v>
      </c>
      <c r="AB25" s="2">
        <f>AA25*(1+$AD$28)</f>
        <v>99084.91231552251</v>
      </c>
      <c r="AC25" s="2">
        <f>AB25*(1+$AD$28)</f>
        <v>98094.063192367277</v>
      </c>
      <c r="AD25" s="2">
        <f>AC25*(1+$AD$28)</f>
        <v>97113.122560443604</v>
      </c>
      <c r="AE25" s="2">
        <f>AD25*(1+$AD$28)</f>
        <v>96141.991334839171</v>
      </c>
      <c r="AF25" s="2">
        <f>AE25*(1+$AD$28)</f>
        <v>95180.571421490778</v>
      </c>
      <c r="AG25" s="2">
        <f>AF25*(1+$AD$28)</f>
        <v>94228.765707275874</v>
      </c>
      <c r="AH25" s="2">
        <f>AG25*(1+$AD$28)</f>
        <v>93286.478050203121</v>
      </c>
      <c r="AI25" s="2">
        <f>AH25*(1+$AD$28)</f>
        <v>92353.613269701091</v>
      </c>
      <c r="AJ25" s="2">
        <f>AI25*(1+$AD$28)</f>
        <v>91430.077137004075</v>
      </c>
      <c r="AK25" s="2">
        <f>AJ25*(1+$AD$28)</f>
        <v>90515.776365634039</v>
      </c>
      <c r="AL25" s="2">
        <f>AK25*(1+$AD$28)</f>
        <v>89610.618601977694</v>
      </c>
      <c r="AM25" s="2">
        <f>AL25*(1+$AD$28)</f>
        <v>88714.512415957914</v>
      </c>
      <c r="AN25" s="2">
        <f>AM25*(1+$AD$28)</f>
        <v>87827.367291798335</v>
      </c>
      <c r="AO25" s="2">
        <f>AN25*(1+$AD$28)</f>
        <v>86949.093618880346</v>
      </c>
      <c r="AP25" s="2">
        <f>AO25*(1+$AD$28)</f>
        <v>86079.602682691548</v>
      </c>
      <c r="AQ25" s="2">
        <f>AP25*(1+$AD$28)</f>
        <v>85218.806655864624</v>
      </c>
      <c r="AR25" s="2">
        <f>AQ25*(1+$AD$28)</f>
        <v>84366.618589305974</v>
      </c>
      <c r="AS25" s="2">
        <f>AR25*(1+$AD$28)</f>
        <v>83522.952403412914</v>
      </c>
      <c r="AT25" s="2">
        <f>AS25*(1+$AD$28)</f>
        <v>82687.72287937878</v>
      </c>
      <c r="AU25" s="2">
        <f>AT25*(1+$AD$28)</f>
        <v>81860.84565058499</v>
      </c>
      <c r="AV25" s="2">
        <f>AU25*(1+$AD$28)</f>
        <v>81042.237194079134</v>
      </c>
      <c r="AW25" s="2">
        <f>AV25*(1+$AD$28)</f>
        <v>80231.814822138345</v>
      </c>
      <c r="AX25" s="2">
        <f>AW25*(1+$AD$28)</f>
        <v>79429.496673916961</v>
      </c>
      <c r="AY25" s="2">
        <f>AX25*(1+$AD$28)</f>
        <v>78635.201707177795</v>
      </c>
      <c r="AZ25" s="2">
        <f>AY25*(1+$AD$28)</f>
        <v>77848.849690106013</v>
      </c>
      <c r="BA25" s="2">
        <f>AZ25*(1+$AD$28)</f>
        <v>77070.361193204953</v>
      </c>
      <c r="BB25" s="2">
        <f>BA25*(1+$AD$28)</f>
        <v>76299.657581272899</v>
      </c>
      <c r="BC25" s="2">
        <f>BB25*(1+$AD$28)</f>
        <v>75536.661005460162</v>
      </c>
      <c r="BD25" s="2">
        <f>BC25*(1+$AD$28)</f>
        <v>74781.294395405566</v>
      </c>
      <c r="BE25" s="2">
        <f>BD25*(1+$AD$28)</f>
        <v>74033.481451451516</v>
      </c>
      <c r="BF25" s="2">
        <f>BE25*(1+$AD$28)</f>
        <v>73293.146636937003</v>
      </c>
      <c r="BG25" s="2">
        <f>BF25*(1+$AD$28)</f>
        <v>72560.215170567637</v>
      </c>
      <c r="BH25" s="2">
        <f>BG25*(1+$AD$28)</f>
        <v>71834.613018861957</v>
      </c>
      <c r="BI25" s="2">
        <f>BH25*(1+$AD$28)</f>
        <v>71116.26688867333</v>
      </c>
      <c r="BJ25" s="2">
        <f>BI25*(1+$AD$28)</f>
        <v>70405.10421978659</v>
      </c>
      <c r="BK25" s="2">
        <f>BJ25*(1+$AD$28)</f>
        <v>69701.053177588721</v>
      </c>
      <c r="BL25" s="2">
        <f>BK25*(1+$AD$28)</f>
        <v>69004.042645812835</v>
      </c>
      <c r="BM25" s="2">
        <f>BL25*(1+$AD$28)</f>
        <v>68314.002219354705</v>
      </c>
      <c r="BN25" s="2">
        <f>BM25*(1+$AD$28)</f>
        <v>67630.862197161157</v>
      </c>
      <c r="BO25" s="2">
        <f>BN25*(1+$AD$28)</f>
        <v>66954.553575189551</v>
      </c>
      <c r="BP25" s="2">
        <f>BO25*(1+$AD$28)</f>
        <v>66285.008039437656</v>
      </c>
      <c r="BQ25" s="2">
        <f>BP25*(1+$AD$28)</f>
        <v>65622.157959043281</v>
      </c>
      <c r="BR25" s="2">
        <f>BQ25*(1+$AD$28)</f>
        <v>64965.936379452847</v>
      </c>
      <c r="BS25" s="2">
        <f>BR25*(1+$AD$28)</f>
        <v>64316.277015658321</v>
      </c>
      <c r="BT25" s="2">
        <f>BS25*(1+$AD$28)</f>
        <v>63673.11424550174</v>
      </c>
      <c r="BU25" s="2">
        <f>BT25*(1+$AD$28)</f>
        <v>63036.383103046719</v>
      </c>
      <c r="BV25" s="2">
        <f>BU25*(1+$AD$28)</f>
        <v>62406.019272016252</v>
      </c>
      <c r="BW25" s="2">
        <f>BV25*(1+$AD$28)</f>
        <v>61781.959079296088</v>
      </c>
      <c r="BX25" s="2">
        <f>BW25*(1+$AD$28)</f>
        <v>61164.139488503126</v>
      </c>
      <c r="BY25" s="2">
        <f>BX25*(1+$AD$28)</f>
        <v>60552.498093618095</v>
      </c>
      <c r="BZ25" s="2">
        <f>BY25*(1+$AD$28)</f>
        <v>59946.97311268191</v>
      </c>
      <c r="CA25" s="2">
        <f>BZ25*(1+$AD$28)</f>
        <v>59347.503381555092</v>
      </c>
      <c r="CB25" s="2">
        <f>CA25*(1+$AD$28)</f>
        <v>58754.028347739542</v>
      </c>
      <c r="CC25" s="2">
        <f>CB25*(1+$AD$28)</f>
        <v>58166.488064262143</v>
      </c>
      <c r="CD25" s="2">
        <f>CC25*(1+$AD$28)</f>
        <v>57584.823183619519</v>
      </c>
      <c r="CE25" s="2">
        <f>CD25*(1+$AD$28)</f>
        <v>57008.974951783326</v>
      </c>
      <c r="CF25" s="2">
        <f>CE25*(1+$AD$28)</f>
        <v>56438.88520226549</v>
      </c>
      <c r="CG25" s="2">
        <f>CF25*(1+$AD$28)</f>
        <v>55874.496350242836</v>
      </c>
      <c r="CH25" s="2">
        <f>CG25*(1+$AD$28)</f>
        <v>55315.751386740405</v>
      </c>
      <c r="CI25" s="2">
        <f>CH25*(1+$AD$28)</f>
        <v>54762.593872873003</v>
      </c>
      <c r="CJ25" s="2">
        <f>CI25*(1+$AD$28)</f>
        <v>54214.967934144275</v>
      </c>
      <c r="CK25" s="2">
        <f>CJ25*(1+$AD$28)</f>
        <v>53672.818254802834</v>
      </c>
      <c r="CL25" s="2">
        <f>CK25*(1+$AD$28)</f>
        <v>53136.090072254803</v>
      </c>
      <c r="CM25" s="2">
        <f>CL25*(1+$AD$28)</f>
        <v>52604.729171532257</v>
      </c>
      <c r="CN25" s="2">
        <f>CM25*(1+$AD$28)</f>
        <v>52078.681879816933</v>
      </c>
      <c r="CO25" s="2">
        <f>CN25*(1+$AD$28)</f>
        <v>51557.89506101876</v>
      </c>
      <c r="CP25" s="2">
        <f>CO25*(1+$AD$28)</f>
        <v>51042.316110408574</v>
      </c>
      <c r="CQ25" s="2">
        <f>CP25*(1+$AD$28)</f>
        <v>50531.892949304485</v>
      </c>
      <c r="CR25" s="2">
        <f>CQ25*(1+$AD$28)</f>
        <v>50026.574019811436</v>
      </c>
      <c r="CS25" s="2">
        <f>CR25*(1+$AD$28)</f>
        <v>49526.308279613324</v>
      </c>
      <c r="CT25" s="2">
        <f>CS25*(1+$AD$28)</f>
        <v>49031.045196817191</v>
      </c>
      <c r="CU25" s="2">
        <f>CT25*(1+$AD$28)</f>
        <v>48540.734744849018</v>
      </c>
      <c r="CV25" s="2">
        <f>CU25*(1+$AD$28)</f>
        <v>48055.327397400528</v>
      </c>
      <c r="CW25" s="2">
        <f>CV25*(1+$AD$28)</f>
        <v>47574.77412342652</v>
      </c>
      <c r="CX25" s="2">
        <f>CW25*(1+$AD$28)</f>
        <v>47099.026382192256</v>
      </c>
      <c r="CY25" s="2">
        <f>CX25*(1+$AD$28)</f>
        <v>46628.036118370335</v>
      </c>
      <c r="CZ25" s="2">
        <f>CY25*(1+$AD$28)</f>
        <v>46161.755757186635</v>
      </c>
      <c r="DA25" s="2">
        <f>CZ25*(1+$AD$28)</f>
        <v>45700.138199614768</v>
      </c>
      <c r="DB25" s="2">
        <f>DA25*(1+$AD$28)</f>
        <v>45243.136817618622</v>
      </c>
      <c r="DC25" s="2">
        <f>DB25*(1+$AD$28)</f>
        <v>44790.705449442437</v>
      </c>
      <c r="DD25" s="2">
        <f>DC25*(1+$AD$28)</f>
        <v>44342.798394948011</v>
      </c>
      <c r="DE25" s="2">
        <f>DD25*(1+$AD$28)</f>
        <v>43899.370410998534</v>
      </c>
      <c r="DF25" s="2">
        <f>DE25*(1+$AD$28)</f>
        <v>43460.37670688855</v>
      </c>
      <c r="DG25" s="2">
        <f>DF25*(1+$AD$28)</f>
        <v>43025.772939819661</v>
      </c>
      <c r="DH25" s="2">
        <f>DG25*(1+$AD$28)</f>
        <v>42595.515210421465</v>
      </c>
      <c r="DI25" s="2">
        <f>DH25*(1+$AD$28)</f>
        <v>42169.560058317249</v>
      </c>
      <c r="DJ25" s="2">
        <f>DI25*(1+$AD$28)</f>
        <v>41747.864457734075</v>
      </c>
      <c r="DK25" s="2">
        <f>DJ25*(1+$AD$28)</f>
        <v>41330.385813156732</v>
      </c>
      <c r="DL25" s="2">
        <f>DK25*(1+$AD$28)</f>
        <v>40917.081955025162</v>
      </c>
      <c r="DM25" s="2">
        <f>DL25*(1+$AD$28)</f>
        <v>40507.911135474911</v>
      </c>
      <c r="DN25" s="2">
        <f>DM25*(1+$AD$28)</f>
        <v>40102.832024120158</v>
      </c>
      <c r="DO25" s="2">
        <f>DN25*(1+$AD$28)</f>
        <v>39701.803703878955</v>
      </c>
      <c r="DP25" s="2">
        <f>DO25*(1+$AD$28)</f>
        <v>39304.785666840166</v>
      </c>
    </row>
    <row r="26" spans="1:120" x14ac:dyDescent="0.2">
      <c r="B26" s="2" t="s">
        <v>1</v>
      </c>
      <c r="C26" s="2">
        <v>901</v>
      </c>
      <c r="G26" s="2">
        <v>899</v>
      </c>
      <c r="H26" s="2">
        <f>G26</f>
        <v>899</v>
      </c>
      <c r="I26" s="2">
        <f t="shared" ref="I26:J26" si="100">H26</f>
        <v>899</v>
      </c>
      <c r="J26" s="2">
        <f t="shared" si="100"/>
        <v>899</v>
      </c>
      <c r="Q26" s="2">
        <f>J26</f>
        <v>899</v>
      </c>
      <c r="R26" s="2">
        <f>Q26</f>
        <v>899</v>
      </c>
      <c r="S26" s="2">
        <f t="shared" ref="S26:V26" si="101">R26</f>
        <v>899</v>
      </c>
      <c r="T26" s="2">
        <f t="shared" si="101"/>
        <v>899</v>
      </c>
      <c r="U26" s="2">
        <f t="shared" si="101"/>
        <v>899</v>
      </c>
      <c r="V26" s="2">
        <f t="shared" si="101"/>
        <v>899</v>
      </c>
      <c r="W26" s="2">
        <f t="shared" ref="W26:AA26" si="102">V26</f>
        <v>899</v>
      </c>
      <c r="X26" s="2">
        <f t="shared" si="102"/>
        <v>899</v>
      </c>
      <c r="Y26" s="2">
        <f t="shared" si="102"/>
        <v>899</v>
      </c>
      <c r="Z26" s="2">
        <f t="shared" si="102"/>
        <v>899</v>
      </c>
      <c r="AA26" s="2">
        <f t="shared" si="102"/>
        <v>899</v>
      </c>
    </row>
    <row r="27" spans="1:120" x14ac:dyDescent="0.2">
      <c r="B27" s="2" t="s">
        <v>51</v>
      </c>
      <c r="C27" s="1">
        <f>C25/C26</f>
        <v>2.611542730299667</v>
      </c>
      <c r="D27" s="1" t="e">
        <f>D25/D26</f>
        <v>#DIV/0!</v>
      </c>
      <c r="E27" s="1" t="e">
        <f>E25/E26</f>
        <v>#DIV/0!</v>
      </c>
      <c r="F27" s="1" t="e">
        <f>F25/F26</f>
        <v>#DIV/0!</v>
      </c>
      <c r="G27" s="1">
        <f>G25/G26</f>
        <v>4.8553948832035596</v>
      </c>
      <c r="H27" s="1">
        <f>H25/H26</f>
        <v>5.7198650055617355</v>
      </c>
      <c r="I27" s="1">
        <f t="shared" ref="I27:L27" si="103">I25/I26</f>
        <v>6.8595499376729716</v>
      </c>
      <c r="J27" s="1">
        <f t="shared" si="103"/>
        <v>8.1224000775865228</v>
      </c>
      <c r="L27" s="1" t="e">
        <f t="shared" si="103"/>
        <v>#DIV/0!</v>
      </c>
      <c r="M27" s="1" t="e">
        <f t="shared" ref="M27" si="104">M25/M26</f>
        <v>#DIV/0!</v>
      </c>
      <c r="N27" s="1" t="e">
        <f t="shared" ref="N27" si="105">N25/N26</f>
        <v>#DIV/0!</v>
      </c>
      <c r="O27" s="1" t="e">
        <f t="shared" ref="O27" si="106">O25/O26</f>
        <v>#DIV/0!</v>
      </c>
      <c r="P27" s="1" t="e">
        <f t="shared" ref="P27" si="107">P25/P26</f>
        <v>#DIV/0!</v>
      </c>
      <c r="Q27" s="1">
        <f t="shared" ref="Q27" si="108">Q25/Q26</f>
        <v>25.557209904024795</v>
      </c>
      <c r="R27" s="1">
        <f t="shared" ref="R27" si="109">R25/R26</f>
        <v>39.611036495039215</v>
      </c>
      <c r="S27" s="1">
        <f t="shared" ref="S27" si="110">S25/S26</f>
        <v>44.741800843037488</v>
      </c>
      <c r="T27" s="1">
        <f t="shared" ref="T27" si="111">T25/T26</f>
        <v>50.426800253467114</v>
      </c>
      <c r="U27" s="1">
        <f t="shared" ref="U27:V27" si="112">U25/U26</f>
        <v>56.723013407311477</v>
      </c>
      <c r="V27" s="1">
        <f t="shared" si="112"/>
        <v>63.693177583682036</v>
      </c>
      <c r="W27" s="1">
        <f t="shared" ref="W27" si="113">W25/W26</f>
        <v>71.406366924905484</v>
      </c>
      <c r="X27" s="1">
        <f t="shared" ref="X27" si="114">X25/X26</f>
        <v>79.938628623943174</v>
      </c>
      <c r="Y27" s="1">
        <f t="shared" ref="Y27" si="115">Y25/Y26</f>
        <v>89.373682830202299</v>
      </c>
      <c r="Z27" s="1">
        <f t="shared" ref="Z27" si="116">Z25/Z26</f>
        <v>99.803692649558045</v>
      </c>
      <c r="AA27" s="1">
        <f t="shared" ref="AA27" si="117">AA25/AA26</f>
        <v>111.33011125214605</v>
      </c>
      <c r="AC27" s="2" t="s">
        <v>119</v>
      </c>
      <c r="AD27" s="10">
        <v>0.02</v>
      </c>
    </row>
    <row r="28" spans="1:120" x14ac:dyDescent="0.2">
      <c r="AC28" s="11" t="s">
        <v>120</v>
      </c>
      <c r="AD28" s="12">
        <v>-0.01</v>
      </c>
    </row>
    <row r="29" spans="1:120" s="7" customFormat="1" x14ac:dyDescent="0.2">
      <c r="A29" s="2"/>
      <c r="B29" s="7" t="s">
        <v>52</v>
      </c>
      <c r="G29" s="9">
        <f>G15/C15-1</f>
        <v>0.45164233576642343</v>
      </c>
      <c r="H29" s="9" t="e">
        <f t="shared" ref="H29:J29" si="118">H15/D15-1</f>
        <v>#DIV/0!</v>
      </c>
      <c r="I29" s="9" t="e">
        <f t="shared" si="118"/>
        <v>#DIV/0!</v>
      </c>
      <c r="J29" s="9" t="e">
        <f t="shared" si="118"/>
        <v>#DIV/0!</v>
      </c>
      <c r="M29" s="9" t="e">
        <f t="shared" ref="M29:V29" si="119">M15/L15-1</f>
        <v>#DIV/0!</v>
      </c>
      <c r="N29" s="9" t="e">
        <f t="shared" si="119"/>
        <v>#DIV/0!</v>
      </c>
      <c r="O29" s="9" t="e">
        <f t="shared" si="119"/>
        <v>#DIV/0!</v>
      </c>
      <c r="P29" s="9" t="e">
        <f t="shared" si="119"/>
        <v>#DIV/0!</v>
      </c>
      <c r="Q29" s="9" t="e">
        <f t="shared" si="119"/>
        <v>#DIV/0!</v>
      </c>
      <c r="R29" s="9">
        <f t="shared" si="119"/>
        <v>0.10000000000000009</v>
      </c>
      <c r="S29" s="9">
        <f t="shared" si="119"/>
        <v>9.9999999999999867E-2</v>
      </c>
      <c r="T29" s="9">
        <f t="shared" si="119"/>
        <v>0.10000000000000009</v>
      </c>
      <c r="U29" s="9">
        <f t="shared" si="119"/>
        <v>0.10000000000000009</v>
      </c>
      <c r="V29" s="9">
        <f t="shared" si="119"/>
        <v>0.10000000000000009</v>
      </c>
      <c r="W29" s="9">
        <f t="shared" ref="W29:AA29" si="120">W15/V15-1</f>
        <v>0.10000000000000009</v>
      </c>
      <c r="X29" s="9">
        <f t="shared" si="120"/>
        <v>0.10000000000000009</v>
      </c>
      <c r="Y29" s="9">
        <f t="shared" si="120"/>
        <v>0.10000000000000009</v>
      </c>
      <c r="Z29" s="9">
        <f t="shared" si="120"/>
        <v>0.10000000000000009</v>
      </c>
      <c r="AA29" s="9">
        <f t="shared" si="120"/>
        <v>0.10000000000000009</v>
      </c>
      <c r="AC29" s="2" t="s">
        <v>121</v>
      </c>
      <c r="AD29" s="10">
        <v>7.0000000000000007E-2</v>
      </c>
    </row>
    <row r="30" spans="1:120" x14ac:dyDescent="0.2">
      <c r="B30" s="2" t="s">
        <v>53</v>
      </c>
      <c r="C30" s="10">
        <f>C17/C15</f>
        <v>0.80907846715328469</v>
      </c>
      <c r="D30" s="10" t="e">
        <f t="shared" ref="D30:J30" si="121">D17/D15</f>
        <v>#DIV/0!</v>
      </c>
      <c r="E30" s="10" t="e">
        <f t="shared" si="121"/>
        <v>#DIV/0!</v>
      </c>
      <c r="F30" s="10" t="e">
        <f t="shared" si="121"/>
        <v>#DIV/0!</v>
      </c>
      <c r="G30" s="10">
        <f t="shared" si="121"/>
        <v>0.82526712759270904</v>
      </c>
      <c r="H30" s="10">
        <f t="shared" si="121"/>
        <v>0.83</v>
      </c>
      <c r="I30" s="10">
        <f t="shared" si="121"/>
        <v>0.83</v>
      </c>
      <c r="J30" s="10">
        <f t="shared" si="121"/>
        <v>0.83000000000000007</v>
      </c>
      <c r="L30" s="10" t="e">
        <f>L17/L15</f>
        <v>#DIV/0!</v>
      </c>
      <c r="M30" s="10" t="e">
        <f>M17/M15</f>
        <v>#DIV/0!</v>
      </c>
      <c r="N30" s="10" t="e">
        <f>N17/N15</f>
        <v>#DIV/0!</v>
      </c>
      <c r="O30" s="10" t="e">
        <f>O17/O15</f>
        <v>#DIV/0!</v>
      </c>
      <c r="P30" s="10" t="e">
        <f>P17/P15</f>
        <v>#DIV/0!</v>
      </c>
      <c r="Q30" s="10">
        <f>Q17/Q15</f>
        <v>0.82898020417856255</v>
      </c>
      <c r="R30" s="10">
        <f t="shared" ref="R30:V30" si="122">R17/R15</f>
        <v>0.83</v>
      </c>
      <c r="S30" s="10">
        <f t="shared" si="122"/>
        <v>0.83</v>
      </c>
      <c r="T30" s="10">
        <f t="shared" si="122"/>
        <v>0.83</v>
      </c>
      <c r="U30" s="10">
        <f t="shared" si="122"/>
        <v>0.82999999999999985</v>
      </c>
      <c r="V30" s="10">
        <f t="shared" si="122"/>
        <v>0.83</v>
      </c>
      <c r="W30" s="10">
        <f t="shared" ref="W30:AA30" si="123">W17/W15</f>
        <v>0.83</v>
      </c>
      <c r="X30" s="10">
        <f t="shared" si="123"/>
        <v>0.83</v>
      </c>
      <c r="Y30" s="10">
        <f t="shared" si="123"/>
        <v>0.83</v>
      </c>
      <c r="Z30" s="10">
        <f t="shared" si="123"/>
        <v>0.83000000000000007</v>
      </c>
      <c r="AA30" s="10">
        <f t="shared" si="123"/>
        <v>0.83</v>
      </c>
      <c r="AC30" s="2" t="s">
        <v>122</v>
      </c>
      <c r="AD30" s="2">
        <f>NPV(AD29,Q25:XFD25)</f>
        <v>1001179.1242146287</v>
      </c>
    </row>
    <row r="31" spans="1:120" x14ac:dyDescent="0.2">
      <c r="B31" s="2" t="s">
        <v>118</v>
      </c>
      <c r="C31" s="10"/>
      <c r="G31" s="10">
        <f>G19/C19-1</f>
        <v>0.26485655737704916</v>
      </c>
      <c r="H31" s="10" t="e">
        <f t="shared" ref="H31:J31" si="124">H19/D19-1</f>
        <v>#DIV/0!</v>
      </c>
      <c r="I31" s="10" t="e">
        <f t="shared" si="124"/>
        <v>#DIV/0!</v>
      </c>
      <c r="J31" s="10" t="e">
        <f t="shared" si="124"/>
        <v>#DIV/0!</v>
      </c>
      <c r="M31" s="10"/>
      <c r="N31" s="10"/>
      <c r="O31" s="10"/>
      <c r="P31" s="10"/>
      <c r="Q31" s="10"/>
      <c r="R31" s="10">
        <f>R19/Q19-1</f>
        <v>4.0000000000000036E-2</v>
      </c>
      <c r="S31" s="10">
        <f t="shared" ref="S31:V31" si="125">S19/R19-1</f>
        <v>4.0000000000000036E-2</v>
      </c>
      <c r="T31" s="10">
        <f t="shared" si="125"/>
        <v>4.0000000000000036E-2</v>
      </c>
      <c r="U31" s="10">
        <f t="shared" si="125"/>
        <v>4.0000000000000036E-2</v>
      </c>
      <c r="V31" s="10">
        <f t="shared" si="125"/>
        <v>4.0000000000000036E-2</v>
      </c>
      <c r="W31" s="10">
        <f t="shared" ref="W31:AA31" si="126">W19/V19-1</f>
        <v>4.0000000000000036E-2</v>
      </c>
      <c r="X31" s="10">
        <f t="shared" si="126"/>
        <v>4.0000000000000036E-2</v>
      </c>
      <c r="Y31" s="10">
        <f t="shared" si="126"/>
        <v>4.0000000000000036E-2</v>
      </c>
      <c r="Z31" s="10">
        <f t="shared" si="126"/>
        <v>4.0000000000000036E-2</v>
      </c>
      <c r="AA31" s="10">
        <f t="shared" si="126"/>
        <v>4.0000000000000036E-2</v>
      </c>
      <c r="AC31" s="2" t="s">
        <v>123</v>
      </c>
      <c r="AD31" s="1">
        <f>AD30/Main!K4</f>
        <v>1056.3914218791419</v>
      </c>
    </row>
    <row r="32" spans="1:120" x14ac:dyDescent="0.2">
      <c r="AD32" s="10">
        <f>AD31/Main!K3-1</f>
        <v>0.30257881859327007</v>
      </c>
    </row>
    <row r="33" spans="2:28" x14ac:dyDescent="0.2">
      <c r="B33" s="2" t="s">
        <v>54</v>
      </c>
      <c r="C33" s="2">
        <f>C34-SUM(C55:C57)</f>
        <v>0</v>
      </c>
      <c r="D33" s="2">
        <f>D34-SUM(D55:D57)</f>
        <v>0</v>
      </c>
      <c r="E33" s="2">
        <f>E34-SUM(E55:E57)</f>
        <v>0</v>
      </c>
      <c r="F33" s="2">
        <f>F34-SUM(F55:F57)</f>
        <v>0</v>
      </c>
      <c r="G33" s="2">
        <f>G34-SUM(G55:G56)</f>
        <v>-3466</v>
      </c>
      <c r="H33" s="2">
        <f>G33+H25</f>
        <v>1676.1586400000006</v>
      </c>
      <c r="I33" s="2">
        <f t="shared" ref="I33:J33" si="127">H33+I25</f>
        <v>7842.8940339680021</v>
      </c>
      <c r="J33" s="2">
        <f t="shared" si="127"/>
        <v>15144.931703718286</v>
      </c>
      <c r="L33" s="2">
        <f>L34-SUM(L55:L57)</f>
        <v>0</v>
      </c>
      <c r="M33" s="2">
        <f>M34-SUM(M55:M57)</f>
        <v>0</v>
      </c>
      <c r="N33" s="2">
        <f>N34-SUM(N55:N57)</f>
        <v>0</v>
      </c>
      <c r="O33" s="2">
        <f>O34-SUM(O55:O57)</f>
        <v>0</v>
      </c>
      <c r="P33" s="2">
        <f>P34-SUM(P55:P57)</f>
        <v>0</v>
      </c>
      <c r="Q33" s="2">
        <f>J33</f>
        <v>15144.931703718286</v>
      </c>
      <c r="R33" s="2">
        <f>Q33+R25</f>
        <v>50755.253512758536</v>
      </c>
      <c r="S33" s="2">
        <f t="shared" ref="S33:V33" si="128">R33+S25</f>
        <v>90978.132470649231</v>
      </c>
      <c r="T33" s="2">
        <f t="shared" si="128"/>
        <v>136311.82589851617</v>
      </c>
      <c r="U33" s="2">
        <f t="shared" si="128"/>
        <v>187305.81495168919</v>
      </c>
      <c r="V33" s="2">
        <f t="shared" si="128"/>
        <v>244565.98159941932</v>
      </c>
      <c r="W33" s="2">
        <f t="shared" ref="W33:AA33" si="129">V33+W25</f>
        <v>308760.30546490935</v>
      </c>
      <c r="X33" s="2">
        <f t="shared" si="129"/>
        <v>380625.13259783428</v>
      </c>
      <c r="Y33" s="2">
        <f t="shared" si="129"/>
        <v>460972.07346218615</v>
      </c>
      <c r="Z33" s="2">
        <f t="shared" si="129"/>
        <v>550695.59315413889</v>
      </c>
      <c r="AA33" s="2">
        <f t="shared" si="129"/>
        <v>650781.36316981819</v>
      </c>
    </row>
    <row r="34" spans="2:28" x14ac:dyDescent="0.2">
      <c r="B34" s="2" t="s">
        <v>3</v>
      </c>
      <c r="G34" s="2">
        <f>3093+128</f>
        <v>3221</v>
      </c>
    </row>
    <row r="35" spans="2:28" x14ac:dyDescent="0.2">
      <c r="B35" s="2" t="s">
        <v>55</v>
      </c>
      <c r="G35" s="2">
        <v>12037</v>
      </c>
      <c r="X35" s="10"/>
    </row>
    <row r="36" spans="2:28" x14ac:dyDescent="0.2">
      <c r="B36" s="2" t="s">
        <v>61</v>
      </c>
      <c r="G36" s="2">
        <v>1966.6</v>
      </c>
      <c r="AB36" s="36">
        <v>4.3999999999999997E-2</v>
      </c>
    </row>
    <row r="37" spans="2:28" x14ac:dyDescent="0.2">
      <c r="B37" s="2" t="s">
        <v>56</v>
      </c>
      <c r="G37" s="2">
        <v>9311</v>
      </c>
      <c r="AB37" s="36">
        <f>AB38-AB36</f>
        <v>2.6000000000000009E-2</v>
      </c>
    </row>
    <row r="38" spans="2:28" x14ac:dyDescent="0.2">
      <c r="B38" s="2" t="s">
        <v>57</v>
      </c>
      <c r="G38" s="2">
        <v>14654</v>
      </c>
      <c r="AA38" s="2" t="s">
        <v>348</v>
      </c>
      <c r="AB38" s="10">
        <v>7.0000000000000007E-2</v>
      </c>
    </row>
    <row r="39" spans="2:28" x14ac:dyDescent="0.2">
      <c r="B39" s="2" t="s">
        <v>58</v>
      </c>
      <c r="G39" s="2">
        <v>72</v>
      </c>
    </row>
    <row r="40" spans="2:28" x14ac:dyDescent="0.2">
      <c r="B40" s="2" t="s">
        <v>59</v>
      </c>
      <c r="G40" s="2">
        <v>3223</v>
      </c>
    </row>
    <row r="41" spans="2:28" x14ac:dyDescent="0.2">
      <c r="B41" s="2" t="s">
        <v>60</v>
      </c>
      <c r="G41" s="2">
        <v>5771</v>
      </c>
    </row>
    <row r="42" spans="2:28" x14ac:dyDescent="0.2">
      <c r="B42" s="2" t="s">
        <v>62</v>
      </c>
      <c r="G42" s="2">
        <v>6012</v>
      </c>
    </row>
    <row r="43" spans="2:28" x14ac:dyDescent="0.2">
      <c r="B43" s="2" t="s">
        <v>77</v>
      </c>
      <c r="G43" s="2">
        <v>8573</v>
      </c>
    </row>
    <row r="44" spans="2:28" x14ac:dyDescent="0.2">
      <c r="B44" s="2" t="s">
        <v>63</v>
      </c>
      <c r="G44" s="2">
        <v>18474</v>
      </c>
    </row>
    <row r="45" spans="2:28" x14ac:dyDescent="0.2">
      <c r="B45" s="2" t="s">
        <v>64</v>
      </c>
      <c r="G45" s="2">
        <v>6075</v>
      </c>
    </row>
    <row r="46" spans="2:28" x14ac:dyDescent="0.2">
      <c r="B46" s="2" t="s">
        <v>65</v>
      </c>
      <c r="G46" s="2">
        <f>SUM(G34:G45)</f>
        <v>89389.6</v>
      </c>
    </row>
    <row r="48" spans="2:28" x14ac:dyDescent="0.2">
      <c r="B48" s="2" t="s">
        <v>4</v>
      </c>
      <c r="G48" s="2">
        <f>4016+34449</f>
        <v>38465</v>
      </c>
    </row>
    <row r="49" spans="2:7" x14ac:dyDescent="0.2">
      <c r="B49" s="2" t="s">
        <v>66</v>
      </c>
      <c r="G49" s="2">
        <v>3442</v>
      </c>
    </row>
    <row r="50" spans="2:7" x14ac:dyDescent="0.2">
      <c r="B50" s="2" t="s">
        <v>67</v>
      </c>
      <c r="G50" s="2">
        <v>1114</v>
      </c>
    </row>
    <row r="51" spans="2:7" x14ac:dyDescent="0.2">
      <c r="B51" s="2" t="s">
        <v>79</v>
      </c>
      <c r="G51" s="2">
        <v>11550</v>
      </c>
    </row>
    <row r="52" spans="2:7" x14ac:dyDescent="0.2">
      <c r="B52" s="2" t="s">
        <v>80</v>
      </c>
      <c r="G52" s="2">
        <v>0</v>
      </c>
    </row>
    <row r="53" spans="2:7" x14ac:dyDescent="0.2">
      <c r="B53" s="2" t="s">
        <v>77</v>
      </c>
      <c r="G53" s="2">
        <v>6176</v>
      </c>
    </row>
    <row r="54" spans="2:7" x14ac:dyDescent="0.2">
      <c r="B54" s="2" t="s">
        <v>68</v>
      </c>
      <c r="G54" s="2">
        <v>3770</v>
      </c>
    </row>
    <row r="55" spans="2:7" x14ac:dyDescent="0.2">
      <c r="B55" s="2" t="s">
        <v>78</v>
      </c>
      <c r="G55" s="2">
        <v>1316</v>
      </c>
    </row>
    <row r="56" spans="2:7" x14ac:dyDescent="0.2">
      <c r="B56" s="2" t="s">
        <v>77</v>
      </c>
      <c r="G56" s="2">
        <v>5371</v>
      </c>
    </row>
    <row r="57" spans="2:7" x14ac:dyDescent="0.2">
      <c r="B57" s="2" t="s">
        <v>69</v>
      </c>
      <c r="G57" s="2">
        <v>2288</v>
      </c>
    </row>
    <row r="58" spans="2:7" x14ac:dyDescent="0.2">
      <c r="B58" s="2" t="s">
        <v>70</v>
      </c>
      <c r="G58" s="2">
        <f>SUM(G48:G57)</f>
        <v>73492</v>
      </c>
    </row>
    <row r="59" spans="2:7" x14ac:dyDescent="0.2">
      <c r="B59" s="2" t="s">
        <v>72</v>
      </c>
      <c r="G59" s="2">
        <f>G46-G58</f>
        <v>15897.600000000006</v>
      </c>
    </row>
    <row r="60" spans="2:7" x14ac:dyDescent="0.2">
      <c r="B60" s="2" t="s">
        <v>71</v>
      </c>
      <c r="G60" s="2">
        <f>G59+G58</f>
        <v>89389.6</v>
      </c>
    </row>
    <row r="62" spans="2:7" x14ac:dyDescent="0.2">
      <c r="B62" s="2" t="s">
        <v>73</v>
      </c>
      <c r="C62" s="2">
        <f>C25</f>
        <v>2353</v>
      </c>
      <c r="D62" s="2">
        <f>D25</f>
        <v>0</v>
      </c>
      <c r="E62" s="2">
        <f>E25</f>
        <v>0</v>
      </c>
      <c r="F62" s="2">
        <f>F25</f>
        <v>0</v>
      </c>
      <c r="G62" s="2">
        <f>G25</f>
        <v>4365</v>
      </c>
    </row>
    <row r="63" spans="2:7" x14ac:dyDescent="0.2">
      <c r="B63" s="2" t="s">
        <v>74</v>
      </c>
      <c r="C63" s="2">
        <v>2243</v>
      </c>
      <c r="G63" s="2">
        <v>2759</v>
      </c>
    </row>
    <row r="64" spans="2:7" x14ac:dyDescent="0.2">
      <c r="B64" s="2" t="s">
        <v>75</v>
      </c>
      <c r="G64" s="2">
        <v>463</v>
      </c>
    </row>
    <row r="65" spans="2:7" x14ac:dyDescent="0.2">
      <c r="B65" s="2" t="s">
        <v>76</v>
      </c>
      <c r="G65" s="2">
        <v>-392</v>
      </c>
    </row>
    <row r="66" spans="2:7" x14ac:dyDescent="0.2">
      <c r="B66" s="2" t="s">
        <v>81</v>
      </c>
      <c r="G66" s="2">
        <v>154</v>
      </c>
    </row>
    <row r="67" spans="2:7" x14ac:dyDescent="0.2">
      <c r="B67" s="2" t="s">
        <v>59</v>
      </c>
      <c r="G67" s="2">
        <v>149</v>
      </c>
    </row>
    <row r="68" spans="2:7" x14ac:dyDescent="0.2">
      <c r="B68" s="2" t="s">
        <v>82</v>
      </c>
      <c r="G68" s="2">
        <v>1572</v>
      </c>
    </row>
    <row r="69" spans="2:7" x14ac:dyDescent="0.2">
      <c r="B69" s="2" t="s">
        <v>83</v>
      </c>
      <c r="G69" s="2">
        <f>-3364+325</f>
        <v>-3039</v>
      </c>
    </row>
    <row r="70" spans="2:7" x14ac:dyDescent="0.2">
      <c r="B70" s="2" t="s">
        <v>84</v>
      </c>
      <c r="G70" s="2">
        <f>SUM(G34:G39)-SUM(G40:G45)</f>
        <v>-6866.4000000000015</v>
      </c>
    </row>
    <row r="71" spans="2:7" x14ac:dyDescent="0.2">
      <c r="B71" s="2" t="s">
        <v>85</v>
      </c>
      <c r="G71" s="2">
        <f>SUM(G63:G69)</f>
        <v>1666</v>
      </c>
    </row>
    <row r="73" spans="2:7" x14ac:dyDescent="0.2">
      <c r="B73" s="2" t="s">
        <v>86</v>
      </c>
      <c r="G73" s="2">
        <v>-1510</v>
      </c>
    </row>
    <row r="74" spans="2:7" x14ac:dyDescent="0.2">
      <c r="B74" s="2" t="s">
        <v>59</v>
      </c>
      <c r="G74" s="2">
        <f>72-197</f>
        <v>-125</v>
      </c>
    </row>
    <row r="75" spans="2:7" x14ac:dyDescent="0.2">
      <c r="B75" s="2" t="s">
        <v>87</v>
      </c>
      <c r="G75" s="2">
        <v>-1757</v>
      </c>
    </row>
    <row r="76" spans="2:7" x14ac:dyDescent="0.2">
      <c r="B76" s="2" t="s">
        <v>83</v>
      </c>
      <c r="G76" s="2">
        <v>39</v>
      </c>
    </row>
    <row r="77" spans="2:7" x14ac:dyDescent="0.2">
      <c r="B77" s="2" t="s">
        <v>88</v>
      </c>
      <c r="G77" s="2">
        <f>SUM(G73:G76)</f>
        <v>-3353</v>
      </c>
    </row>
    <row r="79" spans="2:7" x14ac:dyDescent="0.2">
      <c r="B79" s="2" t="s">
        <v>80</v>
      </c>
      <c r="G79" s="2">
        <v>-1346</v>
      </c>
    </row>
    <row r="80" spans="2:7" x14ac:dyDescent="0.2">
      <c r="B80" s="2" t="s">
        <v>89</v>
      </c>
      <c r="G80" s="2">
        <f>-1849+6461</f>
        <v>4612</v>
      </c>
    </row>
    <row r="81" spans="2:8" x14ac:dyDescent="0.2">
      <c r="B81" s="2" t="s">
        <v>90</v>
      </c>
      <c r="G81" s="2">
        <v>-1200</v>
      </c>
    </row>
    <row r="82" spans="2:8" x14ac:dyDescent="0.2">
      <c r="B82" s="2" t="s">
        <v>83</v>
      </c>
      <c r="G82" s="2">
        <v>-686</v>
      </c>
    </row>
    <row r="83" spans="2:8" x14ac:dyDescent="0.2">
      <c r="B83" s="2" t="s">
        <v>91</v>
      </c>
      <c r="G83" s="2">
        <f>SUM(G79:G82)</f>
        <v>1380</v>
      </c>
    </row>
    <row r="84" spans="2:8" x14ac:dyDescent="0.2">
      <c r="B84" s="2" t="s">
        <v>92</v>
      </c>
      <c r="C84" s="2">
        <v>-36</v>
      </c>
      <c r="G84" s="2">
        <v>132</v>
      </c>
    </row>
    <row r="85" spans="2:8" x14ac:dyDescent="0.2">
      <c r="B85" s="2" t="s">
        <v>93</v>
      </c>
      <c r="G85" s="2">
        <f>G71+G77+G83+G84</f>
        <v>-175</v>
      </c>
    </row>
    <row r="87" spans="2:8" x14ac:dyDescent="0.2">
      <c r="B87" s="2" t="s">
        <v>99</v>
      </c>
      <c r="G87" s="2">
        <v>8489</v>
      </c>
      <c r="H87" s="10">
        <f>G87/$G$92</f>
        <v>0.6669547454431175</v>
      </c>
    </row>
    <row r="88" spans="2:8" x14ac:dyDescent="0.2">
      <c r="B88" s="2" t="s">
        <v>100</v>
      </c>
      <c r="F88" s="11"/>
      <c r="G88" s="11">
        <v>2389</v>
      </c>
      <c r="H88" s="12">
        <f t="shared" ref="H88:H91" si="130">G88/$G$92</f>
        <v>0.18769641734758014</v>
      </c>
    </row>
    <row r="89" spans="2:8" x14ac:dyDescent="0.2">
      <c r="B89" s="2" t="s">
        <v>101</v>
      </c>
      <c r="G89" s="2">
        <v>451</v>
      </c>
      <c r="H89" s="10">
        <f t="shared" si="130"/>
        <v>3.5433689503456947E-2</v>
      </c>
    </row>
    <row r="90" spans="2:8" x14ac:dyDescent="0.2">
      <c r="B90" s="2" t="s">
        <v>102</v>
      </c>
      <c r="G90" s="2">
        <v>402</v>
      </c>
      <c r="H90" s="10">
        <f t="shared" si="130"/>
        <v>3.1583909490886235E-2</v>
      </c>
    </row>
    <row r="91" spans="2:8" x14ac:dyDescent="0.2">
      <c r="B91" s="2" t="s">
        <v>103</v>
      </c>
      <c r="G91" s="2">
        <v>997</v>
      </c>
      <c r="H91" s="10">
        <f t="shared" si="130"/>
        <v>7.8331238214959145E-2</v>
      </c>
    </row>
    <row r="92" spans="2:8" x14ac:dyDescent="0.2">
      <c r="G92" s="2">
        <f>SUM(G87:G91)</f>
        <v>12728</v>
      </c>
    </row>
  </sheetData>
  <hyperlinks>
    <hyperlink ref="A1" location="Main!A1" display="Main" xr:uid="{87DF8049-26DF-4905-BACD-85C49EBD7562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8813-3D1E-4A9E-A516-334ACAC114C1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" bestFit="1" customWidth="1"/>
  </cols>
  <sheetData>
    <row r="1" spans="1:5" x14ac:dyDescent="0.2">
      <c r="A1" s="4" t="s">
        <v>14</v>
      </c>
    </row>
    <row r="2" spans="1:5" x14ac:dyDescent="0.2">
      <c r="B2" t="s">
        <v>33</v>
      </c>
      <c r="C2" t="s">
        <v>34</v>
      </c>
      <c r="D2" t="s">
        <v>10</v>
      </c>
      <c r="E2" t="s">
        <v>32</v>
      </c>
    </row>
  </sheetData>
  <hyperlinks>
    <hyperlink ref="A1" location="Main!A1" display="Main" xr:uid="{68702C78-0E79-41C3-8141-0ECEA5C5323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051B-1DA4-4878-A4F2-4493F7143AF8}">
  <dimension ref="A1:H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</cols>
  <sheetData>
    <row r="1" spans="1:8" x14ac:dyDescent="0.2">
      <c r="A1" s="4" t="s">
        <v>14</v>
      </c>
    </row>
    <row r="2" spans="1:8" x14ac:dyDescent="0.2">
      <c r="B2" t="s">
        <v>29</v>
      </c>
      <c r="C2" t="s">
        <v>6</v>
      </c>
      <c r="D2" t="s">
        <v>7</v>
      </c>
      <c r="E2" t="s">
        <v>30</v>
      </c>
      <c r="F2" t="s">
        <v>8</v>
      </c>
      <c r="G2" t="s">
        <v>31</v>
      </c>
      <c r="H2" t="s">
        <v>32</v>
      </c>
    </row>
  </sheetData>
  <hyperlinks>
    <hyperlink ref="A1" location="Main!A1" display="Main" xr:uid="{9C0804F9-70CE-4485-9C8A-22A1D2ECD7A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FCAD-61D7-4A2F-914E-2906B0E5F55A}">
  <dimension ref="A1:N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2.75" x14ac:dyDescent="0.2"/>
  <cols>
    <col min="1" max="1" width="5" bestFit="1" customWidth="1"/>
    <col min="3" max="3" width="11" bestFit="1" customWidth="1"/>
  </cols>
  <sheetData>
    <row r="1" spans="1:14" x14ac:dyDescent="0.2">
      <c r="A1" s="4" t="s">
        <v>14</v>
      </c>
    </row>
    <row r="2" spans="1:14" x14ac:dyDescent="0.2">
      <c r="B2" t="s">
        <v>35</v>
      </c>
      <c r="C2" t="s">
        <v>36</v>
      </c>
      <c r="D2" t="s">
        <v>37</v>
      </c>
      <c r="E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M2" t="s">
        <v>44</v>
      </c>
      <c r="N2" t="s">
        <v>45</v>
      </c>
    </row>
    <row r="3" spans="1:14" s="5" customFormat="1" x14ac:dyDescent="0.2">
      <c r="A3"/>
      <c r="B3" s="5" t="s">
        <v>46</v>
      </c>
    </row>
    <row r="5" spans="1:14" x14ac:dyDescent="0.2">
      <c r="B5" t="s">
        <v>95</v>
      </c>
      <c r="C5" t="s">
        <v>337</v>
      </c>
      <c r="E5" t="s">
        <v>330</v>
      </c>
    </row>
    <row r="6" spans="1:14" x14ac:dyDescent="0.2">
      <c r="B6" t="s">
        <v>96</v>
      </c>
      <c r="C6" t="s">
        <v>337</v>
      </c>
      <c r="E6" t="s">
        <v>330</v>
      </c>
    </row>
    <row r="7" spans="1:14" x14ac:dyDescent="0.2">
      <c r="B7" t="s">
        <v>97</v>
      </c>
      <c r="C7" t="s">
        <v>337</v>
      </c>
      <c r="E7" t="s">
        <v>330</v>
      </c>
    </row>
    <row r="8" spans="1:14" x14ac:dyDescent="0.2">
      <c r="B8" t="s">
        <v>328</v>
      </c>
      <c r="C8" t="s">
        <v>336</v>
      </c>
      <c r="E8" t="s">
        <v>329</v>
      </c>
    </row>
    <row r="9" spans="1:14" x14ac:dyDescent="0.2">
      <c r="B9" t="s">
        <v>331</v>
      </c>
      <c r="C9" t="s">
        <v>336</v>
      </c>
      <c r="E9" t="s">
        <v>329</v>
      </c>
    </row>
    <row r="10" spans="1:14" x14ac:dyDescent="0.2">
      <c r="B10" t="s">
        <v>332</v>
      </c>
      <c r="C10" t="s">
        <v>336</v>
      </c>
      <c r="E10" t="s">
        <v>329</v>
      </c>
    </row>
    <row r="11" spans="1:14" x14ac:dyDescent="0.2">
      <c r="B11" t="s">
        <v>333</v>
      </c>
      <c r="C11" t="s">
        <v>336</v>
      </c>
      <c r="E11" t="s">
        <v>329</v>
      </c>
    </row>
    <row r="12" spans="1:14" x14ac:dyDescent="0.2">
      <c r="B12" t="s">
        <v>334</v>
      </c>
      <c r="C12" t="s">
        <v>335</v>
      </c>
      <c r="E12" t="s">
        <v>329</v>
      </c>
    </row>
  </sheetData>
  <hyperlinks>
    <hyperlink ref="A1" location="Main!A1" display="Main" xr:uid="{A47F4495-C645-46E6-AB03-224D143A5DE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FC46-79AB-4D31-998B-F6F3117F2304}">
  <dimension ref="A1:B10"/>
  <sheetViews>
    <sheetView zoomScale="130" zoomScaleNormal="130" workbookViewId="0">
      <selection activeCell="B24" sqref="B24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2" x14ac:dyDescent="0.2">
      <c r="A1" s="4" t="s">
        <v>14</v>
      </c>
    </row>
    <row r="2" spans="1:2" x14ac:dyDescent="0.2">
      <c r="B2" t="s">
        <v>35</v>
      </c>
    </row>
    <row r="3" spans="1:2" x14ac:dyDescent="0.2">
      <c r="B3" t="s">
        <v>36</v>
      </c>
    </row>
    <row r="4" spans="1:2" x14ac:dyDescent="0.2">
      <c r="B4" t="s">
        <v>7</v>
      </c>
    </row>
    <row r="5" spans="1:2" x14ac:dyDescent="0.2">
      <c r="B5" t="s">
        <v>10</v>
      </c>
    </row>
    <row r="6" spans="1:2" x14ac:dyDescent="0.2">
      <c r="B6" t="s">
        <v>211</v>
      </c>
    </row>
    <row r="7" spans="1:2" x14ac:dyDescent="0.2">
      <c r="B7" t="s">
        <v>210</v>
      </c>
    </row>
    <row r="8" spans="1:2" x14ac:dyDescent="0.2">
      <c r="B8" t="s">
        <v>212</v>
      </c>
    </row>
    <row r="9" spans="1:2" x14ac:dyDescent="0.2">
      <c r="B9" t="s">
        <v>11</v>
      </c>
    </row>
    <row r="10" spans="1:2" x14ac:dyDescent="0.2">
      <c r="B10" t="s">
        <v>209</v>
      </c>
    </row>
  </sheetData>
  <hyperlinks>
    <hyperlink ref="A1" location="Main!A1" display="Main" xr:uid="{136DCBE8-B5AB-47A8-8D7F-FB329166321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7376-F086-44CA-9B21-31B260C7B0CC}">
  <dimension ref="A1:C13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97</v>
      </c>
    </row>
    <row r="3" spans="1:3" x14ac:dyDescent="0.2">
      <c r="B3" t="s">
        <v>36</v>
      </c>
      <c r="C3" t="s">
        <v>233</v>
      </c>
    </row>
    <row r="4" spans="1:3" x14ac:dyDescent="0.2">
      <c r="B4" t="s">
        <v>7</v>
      </c>
      <c r="C4" t="s">
        <v>224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9" t="s">
        <v>232</v>
      </c>
    </row>
    <row r="12" spans="1:3" x14ac:dyDescent="0.2">
      <c r="C12" t="s">
        <v>231</v>
      </c>
    </row>
    <row r="13" spans="1:3" x14ac:dyDescent="0.2">
      <c r="C13" t="s">
        <v>234</v>
      </c>
    </row>
  </sheetData>
  <hyperlinks>
    <hyperlink ref="A1" location="Main!A1" display="Main" xr:uid="{8E2C417C-8312-4EDA-894E-5C8387569F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9CA0-1E65-4F76-BF8E-7B463599745A}">
  <dimension ref="A1:S38"/>
  <sheetViews>
    <sheetView zoomScale="130" zoomScaleNormal="130" workbookViewId="0">
      <selection activeCell="C25" sqref="C25"/>
    </sheetView>
  </sheetViews>
  <sheetFormatPr defaultRowHeight="12.75" x14ac:dyDescent="0.2"/>
  <cols>
    <col min="1" max="1" width="5" bestFit="1" customWidth="1"/>
    <col min="2" max="2" width="15" bestFit="1" customWidth="1"/>
    <col min="3" max="3" width="13.85546875" bestFit="1" customWidth="1"/>
    <col min="4" max="4" width="11.710937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216</v>
      </c>
    </row>
    <row r="3" spans="1:3" x14ac:dyDescent="0.2">
      <c r="B3" t="s">
        <v>36</v>
      </c>
      <c r="C3" t="s">
        <v>217</v>
      </c>
    </row>
    <row r="4" spans="1:3" x14ac:dyDescent="0.2">
      <c r="B4" t="s">
        <v>7</v>
      </c>
      <c r="C4" t="s">
        <v>218</v>
      </c>
    </row>
    <row r="5" spans="1:3" x14ac:dyDescent="0.2">
      <c r="B5" t="s">
        <v>10</v>
      </c>
      <c r="C5" t="s">
        <v>219</v>
      </c>
    </row>
    <row r="6" spans="1:3" x14ac:dyDescent="0.2">
      <c r="B6" t="s">
        <v>211</v>
      </c>
      <c r="C6" t="s">
        <v>220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9" t="s">
        <v>250</v>
      </c>
    </row>
    <row r="12" spans="1:3" x14ac:dyDescent="0.2">
      <c r="C12" t="s">
        <v>251</v>
      </c>
    </row>
    <row r="13" spans="1:3" x14ac:dyDescent="0.2">
      <c r="C13" t="s">
        <v>347</v>
      </c>
    </row>
    <row r="14" spans="1:3" x14ac:dyDescent="0.2">
      <c r="C14" s="29" t="s">
        <v>249</v>
      </c>
    </row>
    <row r="15" spans="1:3" x14ac:dyDescent="0.2">
      <c r="C15" t="s">
        <v>252</v>
      </c>
    </row>
    <row r="16" spans="1:3" x14ac:dyDescent="0.2">
      <c r="C16" s="34">
        <v>45870</v>
      </c>
    </row>
    <row r="17" spans="2:19" x14ac:dyDescent="0.2">
      <c r="C17" s="34"/>
    </row>
    <row r="18" spans="2:19" x14ac:dyDescent="0.2">
      <c r="C18" s="29" t="s">
        <v>248</v>
      </c>
    </row>
    <row r="19" spans="2:19" x14ac:dyDescent="0.2">
      <c r="C19" t="s">
        <v>251</v>
      </c>
    </row>
    <row r="20" spans="2:19" x14ac:dyDescent="0.2">
      <c r="C20" s="34">
        <v>46478</v>
      </c>
    </row>
    <row r="21" spans="2:19" x14ac:dyDescent="0.2">
      <c r="C21" s="34"/>
    </row>
    <row r="22" spans="2:19" x14ac:dyDescent="0.2">
      <c r="C22" s="29" t="s">
        <v>247</v>
      </c>
    </row>
    <row r="23" spans="2:19" x14ac:dyDescent="0.2">
      <c r="C23" t="s">
        <v>253</v>
      </c>
    </row>
    <row r="24" spans="2:19" x14ac:dyDescent="0.2">
      <c r="C24" s="34">
        <v>46692</v>
      </c>
    </row>
    <row r="31" spans="2:19" x14ac:dyDescent="0.2">
      <c r="C31">
        <v>2025</v>
      </c>
      <c r="D31">
        <f>C31+1</f>
        <v>2026</v>
      </c>
      <c r="E31">
        <f t="shared" ref="E31:T31" si="0">D31+1</f>
        <v>2027</v>
      </c>
      <c r="F31">
        <f t="shared" si="0"/>
        <v>2028</v>
      </c>
      <c r="G31">
        <f t="shared" si="0"/>
        <v>2029</v>
      </c>
      <c r="H31">
        <f t="shared" si="0"/>
        <v>2030</v>
      </c>
      <c r="I31">
        <f t="shared" si="0"/>
        <v>2031</v>
      </c>
      <c r="J31">
        <f t="shared" si="0"/>
        <v>2032</v>
      </c>
      <c r="K31">
        <f t="shared" si="0"/>
        <v>2033</v>
      </c>
      <c r="L31">
        <f t="shared" si="0"/>
        <v>2034</v>
      </c>
      <c r="M31">
        <f t="shared" si="0"/>
        <v>2035</v>
      </c>
      <c r="N31">
        <f t="shared" si="0"/>
        <v>2036</v>
      </c>
      <c r="O31">
        <f t="shared" si="0"/>
        <v>2037</v>
      </c>
      <c r="P31">
        <f t="shared" si="0"/>
        <v>2038</v>
      </c>
      <c r="Q31">
        <f t="shared" si="0"/>
        <v>2039</v>
      </c>
      <c r="R31">
        <f t="shared" si="0"/>
        <v>2040</v>
      </c>
      <c r="S31">
        <f t="shared" si="0"/>
        <v>2041</v>
      </c>
    </row>
    <row r="32" spans="2:19" x14ac:dyDescent="0.2">
      <c r="B32" t="s">
        <v>213</v>
      </c>
      <c r="C32" s="2">
        <v>4150000</v>
      </c>
      <c r="D32" s="2">
        <f>C32*1.03</f>
        <v>4274500</v>
      </c>
      <c r="E32" s="2">
        <f t="shared" ref="E32:S32" si="1">D32*1.03</f>
        <v>4402735</v>
      </c>
      <c r="F32" s="2">
        <f t="shared" si="1"/>
        <v>4534817.05</v>
      </c>
      <c r="G32" s="2">
        <f t="shared" si="1"/>
        <v>4670861.5614999998</v>
      </c>
      <c r="H32" s="2">
        <f t="shared" si="1"/>
        <v>4810987.4083449999</v>
      </c>
      <c r="I32" s="2">
        <f t="shared" si="1"/>
        <v>4955317.0305953501</v>
      </c>
      <c r="J32" s="2">
        <f t="shared" si="1"/>
        <v>5103976.5415132111</v>
      </c>
      <c r="K32" s="2">
        <f t="shared" si="1"/>
        <v>5257095.8377586072</v>
      </c>
      <c r="L32" s="2">
        <f t="shared" si="1"/>
        <v>5414808.7128913654</v>
      </c>
      <c r="M32" s="2">
        <f t="shared" si="1"/>
        <v>5577252.9742781064</v>
      </c>
      <c r="N32" s="2">
        <f t="shared" si="1"/>
        <v>5744570.5635064496</v>
      </c>
      <c r="O32" s="2">
        <f t="shared" si="1"/>
        <v>5916907.6804116433</v>
      </c>
      <c r="P32" s="2">
        <f t="shared" si="1"/>
        <v>6094414.9108239925</v>
      </c>
      <c r="Q32" s="2">
        <f t="shared" si="1"/>
        <v>6277247.3581487127</v>
      </c>
      <c r="R32" s="2">
        <f t="shared" si="1"/>
        <v>6465564.7788931746</v>
      </c>
      <c r="S32" s="2">
        <f t="shared" si="1"/>
        <v>6659531.7222599704</v>
      </c>
    </row>
    <row r="33" spans="2:19" x14ac:dyDescent="0.2">
      <c r="B33" t="s">
        <v>214</v>
      </c>
      <c r="C33" s="2">
        <f>C32*0.2</f>
        <v>830000</v>
      </c>
      <c r="D33" s="2">
        <f t="shared" ref="D33:S33" si="2">D32*0.2</f>
        <v>854900</v>
      </c>
      <c r="E33" s="2">
        <f t="shared" si="2"/>
        <v>880547</v>
      </c>
      <c r="F33" s="2">
        <f t="shared" si="2"/>
        <v>906963.41</v>
      </c>
      <c r="G33" s="2">
        <f t="shared" si="2"/>
        <v>934172.31229999999</v>
      </c>
      <c r="H33" s="2">
        <f t="shared" si="2"/>
        <v>962197.481669</v>
      </c>
      <c r="I33" s="2">
        <f t="shared" si="2"/>
        <v>991063.40611907002</v>
      </c>
      <c r="J33" s="2">
        <f t="shared" si="2"/>
        <v>1020795.3083026423</v>
      </c>
      <c r="K33" s="2">
        <f t="shared" si="2"/>
        <v>1051419.1675517214</v>
      </c>
      <c r="L33" s="2">
        <f t="shared" si="2"/>
        <v>1082961.7425782732</v>
      </c>
      <c r="M33" s="2">
        <f t="shared" si="2"/>
        <v>1115450.5948556212</v>
      </c>
      <c r="N33" s="2">
        <f t="shared" si="2"/>
        <v>1148914.1127012901</v>
      </c>
      <c r="O33" s="2">
        <f t="shared" si="2"/>
        <v>1183381.5360823288</v>
      </c>
      <c r="P33" s="2">
        <f t="shared" si="2"/>
        <v>1218882.9821647985</v>
      </c>
      <c r="Q33" s="2">
        <f t="shared" si="2"/>
        <v>1255449.4716297425</v>
      </c>
      <c r="R33" s="2">
        <f t="shared" si="2"/>
        <v>1293112.9557786351</v>
      </c>
      <c r="S33" s="2">
        <f t="shared" si="2"/>
        <v>1331906.3444519942</v>
      </c>
    </row>
    <row r="34" spans="2:19" x14ac:dyDescent="0.2">
      <c r="B34" t="s">
        <v>0</v>
      </c>
      <c r="C34" s="2">
        <v>15000</v>
      </c>
      <c r="D34" s="2">
        <v>15000</v>
      </c>
      <c r="E34" s="2">
        <v>15000</v>
      </c>
      <c r="F34" s="2">
        <v>15000</v>
      </c>
      <c r="G34" s="2">
        <v>15000</v>
      </c>
      <c r="H34" s="2">
        <v>15000</v>
      </c>
      <c r="I34" s="2">
        <v>15000</v>
      </c>
      <c r="J34" s="2">
        <v>15000</v>
      </c>
      <c r="K34" s="2">
        <v>15000</v>
      </c>
      <c r="L34" s="2">
        <v>15000</v>
      </c>
      <c r="M34" s="2">
        <v>15000</v>
      </c>
      <c r="N34" s="2">
        <v>15000</v>
      </c>
      <c r="O34" s="2">
        <v>15000</v>
      </c>
      <c r="P34" s="2">
        <v>15000</v>
      </c>
      <c r="Q34" s="2">
        <v>15000</v>
      </c>
      <c r="R34" s="2">
        <v>15000</v>
      </c>
      <c r="S34" s="2">
        <v>15000</v>
      </c>
    </row>
    <row r="35" spans="2:19" x14ac:dyDescent="0.2">
      <c r="B35" t="s">
        <v>15</v>
      </c>
      <c r="C35" s="2">
        <f>C34*C33/1000000*0.8</f>
        <v>9960</v>
      </c>
      <c r="D35" s="2">
        <f t="shared" ref="D35:S35" si="3">D34*D33/1000000*0.8</f>
        <v>10258.800000000001</v>
      </c>
      <c r="E35" s="2">
        <f t="shared" si="3"/>
        <v>10566.564</v>
      </c>
      <c r="F35" s="2">
        <f t="shared" si="3"/>
        <v>10883.560920000002</v>
      </c>
      <c r="G35" s="2">
        <f t="shared" si="3"/>
        <v>11210.0677476</v>
      </c>
      <c r="H35" s="2">
        <f t="shared" si="3"/>
        <v>11546.369780028001</v>
      </c>
      <c r="I35" s="2">
        <f t="shared" si="3"/>
        <v>11892.760873428842</v>
      </c>
      <c r="J35" s="2">
        <f t="shared" si="3"/>
        <v>12249.543699631708</v>
      </c>
      <c r="K35" s="2">
        <f t="shared" si="3"/>
        <v>12617.030010620658</v>
      </c>
      <c r="L35" s="2">
        <f t="shared" si="3"/>
        <v>12995.540910939279</v>
      </c>
      <c r="M35" s="2">
        <f t="shared" si="3"/>
        <v>13385.407138267454</v>
      </c>
      <c r="N35" s="2">
        <f t="shared" si="3"/>
        <v>13786.969352415481</v>
      </c>
      <c r="O35" s="2">
        <f t="shared" si="3"/>
        <v>14200.578432987946</v>
      </c>
      <c r="P35" s="2">
        <f t="shared" si="3"/>
        <v>14626.595785977581</v>
      </c>
      <c r="Q35" s="2">
        <f t="shared" si="3"/>
        <v>15065.39365955691</v>
      </c>
      <c r="R35" s="2">
        <f t="shared" si="3"/>
        <v>15517.355469343624</v>
      </c>
      <c r="S35" s="2">
        <f t="shared" si="3"/>
        <v>15982.876133423932</v>
      </c>
    </row>
    <row r="37" spans="2:19" x14ac:dyDescent="0.2">
      <c r="C37" t="s">
        <v>121</v>
      </c>
      <c r="D37" s="10">
        <v>0.08</v>
      </c>
    </row>
    <row r="38" spans="2:19" x14ac:dyDescent="0.2">
      <c r="C38" t="s">
        <v>122</v>
      </c>
      <c r="D38" s="30">
        <f>NPV(D37,C35:S35)</f>
        <v>110214.69142256565</v>
      </c>
    </row>
  </sheetData>
  <hyperlinks>
    <hyperlink ref="A1" location="Main!A1" display="Main" xr:uid="{1A1CC4C2-166E-44CB-AADB-0BF1F520636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A6F6-DBF9-4590-B13F-B22EDCA5BB90}">
  <dimension ref="A1:C16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223</v>
      </c>
    </row>
    <row r="4" spans="1:3" x14ac:dyDescent="0.2">
      <c r="B4" t="s">
        <v>7</v>
      </c>
      <c r="C4" t="s">
        <v>299</v>
      </c>
    </row>
    <row r="5" spans="1:3" x14ac:dyDescent="0.2">
      <c r="B5" t="s">
        <v>10</v>
      </c>
      <c r="C5" t="s">
        <v>236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  <c r="C8" t="s">
        <v>237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9" t="s">
        <v>222</v>
      </c>
    </row>
    <row r="12" spans="1:3" x14ac:dyDescent="0.2">
      <c r="C12" t="s">
        <v>238</v>
      </c>
    </row>
    <row r="15" spans="1:3" x14ac:dyDescent="0.2">
      <c r="C15" s="29" t="s">
        <v>225</v>
      </c>
    </row>
    <row r="16" spans="1:3" x14ac:dyDescent="0.2">
      <c r="C16" t="s">
        <v>226</v>
      </c>
    </row>
  </sheetData>
  <hyperlinks>
    <hyperlink ref="A1" location="Main!A1" display="Main" xr:uid="{CE51DBE6-8B44-4E87-A0EB-867BDF7E290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Model</vt:lpstr>
      <vt:lpstr>IP</vt:lpstr>
      <vt:lpstr>Trials</vt:lpstr>
      <vt:lpstr>GLP-1s</vt:lpstr>
      <vt:lpstr>Mounjaro-Zepbound</vt:lpstr>
      <vt:lpstr>Trulicity</vt:lpstr>
      <vt:lpstr>Kisunla</vt:lpstr>
      <vt:lpstr>orforglipron</vt:lpstr>
      <vt:lpstr>retratrutide</vt:lpstr>
      <vt:lpstr>imlunestrant</vt:lpstr>
      <vt:lpstr>lebrikizumab</vt:lpstr>
      <vt:lpstr>lepodisiran</vt:lpstr>
      <vt:lpstr>mirikizumab</vt:lpstr>
      <vt:lpstr>olomorasib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2025-07-27T01:25:25Z</dcterms:created>
  <dcterms:modified xsi:type="dcterms:W3CDTF">2025-07-27T07:49:38Z</dcterms:modified>
</cp:coreProperties>
</file>