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BEA0C93-6C65-4040-ABA6-C0241CB81692}" xr6:coauthVersionLast="47" xr6:coauthVersionMax="47" xr10:uidLastSave="{00000000-0000-0000-0000-000000000000}"/>
  <bookViews>
    <workbookView xWindow="-105" yWindow="0" windowWidth="14610" windowHeight="15585" activeTab="1" xr2:uid="{A01DB42C-5223-4941-B241-BC5C0C7D8EF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S57" i="2"/>
  <c r="T57" i="2" s="1"/>
  <c r="U57" i="2" s="1"/>
  <c r="V57" i="2" s="1"/>
  <c r="R57" i="2"/>
  <c r="S56" i="2"/>
  <c r="T56" i="2"/>
  <c r="U56" i="2" s="1"/>
  <c r="V56" i="2" s="1"/>
  <c r="R56" i="2"/>
  <c r="S48" i="2"/>
  <c r="T48" i="2" s="1"/>
  <c r="U48" i="2" s="1"/>
  <c r="V48" i="2" s="1"/>
  <c r="R48" i="2"/>
  <c r="S47" i="2"/>
  <c r="T47" i="2" s="1"/>
  <c r="R47" i="2"/>
  <c r="S61" i="2"/>
  <c r="T61" i="2"/>
  <c r="U61" i="2"/>
  <c r="V61" i="2" s="1"/>
  <c r="R61" i="2"/>
  <c r="Q58" i="2"/>
  <c r="P58" i="2"/>
  <c r="Q61" i="2"/>
  <c r="Q63" i="2" s="1"/>
  <c r="P61" i="2"/>
  <c r="P63" i="2" s="1"/>
  <c r="G5" i="2"/>
  <c r="G6" i="2" s="1"/>
  <c r="H22" i="2" s="1"/>
  <c r="I25" i="2"/>
  <c r="J25" i="2" s="1"/>
  <c r="I6" i="2"/>
  <c r="J6" i="2" s="1"/>
  <c r="H7" i="2"/>
  <c r="H21" i="2"/>
  <c r="R14" i="2"/>
  <c r="T14" i="2" s="1"/>
  <c r="U14" i="2" s="1"/>
  <c r="V14" i="2" s="1"/>
  <c r="C30" i="2"/>
  <c r="H13" i="2"/>
  <c r="H18" i="2"/>
  <c r="I18" i="2" s="1"/>
  <c r="J18" i="2" s="1"/>
  <c r="R18" i="2" s="1"/>
  <c r="S18" i="2" s="1"/>
  <c r="T18" i="2" s="1"/>
  <c r="U18" i="2" s="1"/>
  <c r="V18" i="2" s="1"/>
  <c r="H11" i="2"/>
  <c r="G13" i="2"/>
  <c r="C13" i="2"/>
  <c r="D8" i="2"/>
  <c r="D25" i="2" s="1"/>
  <c r="E8" i="2"/>
  <c r="E25" i="2" s="1"/>
  <c r="F8" i="2"/>
  <c r="F25" i="2" s="1"/>
  <c r="D11" i="2"/>
  <c r="D27" i="2" s="1"/>
  <c r="E11" i="2"/>
  <c r="E27" i="2" s="1"/>
  <c r="F11" i="2"/>
  <c r="F27" i="2" s="1"/>
  <c r="G11" i="2"/>
  <c r="C11" i="2"/>
  <c r="C27" i="2" s="1"/>
  <c r="C8" i="2"/>
  <c r="L13" i="2"/>
  <c r="L11" i="2"/>
  <c r="L8" i="2"/>
  <c r="P13" i="2"/>
  <c r="O13" i="2"/>
  <c r="Q13" i="2"/>
  <c r="N21" i="2"/>
  <c r="M21" i="2"/>
  <c r="O21" i="2"/>
  <c r="Q21" i="2"/>
  <c r="P21" i="2"/>
  <c r="N8" i="2"/>
  <c r="O8" i="2"/>
  <c r="O25" i="2" s="1"/>
  <c r="P8" i="2"/>
  <c r="Q8" i="2"/>
  <c r="Q25" i="2" s="1"/>
  <c r="N11" i="2"/>
  <c r="O11" i="2"/>
  <c r="O27" i="2" s="1"/>
  <c r="P11" i="2"/>
  <c r="P27" i="2" s="1"/>
  <c r="Q11" i="2"/>
  <c r="Q27" i="2" s="1"/>
  <c r="N13" i="2"/>
  <c r="M13" i="2"/>
  <c r="M11" i="2"/>
  <c r="M8" i="2"/>
  <c r="M25" i="2" s="1"/>
  <c r="Q38" i="2"/>
  <c r="Q32" i="2"/>
  <c r="N1" i="2"/>
  <c r="O1" i="2" s="1"/>
  <c r="P1" i="2" s="1"/>
  <c r="Q1" i="2" s="1"/>
  <c r="R1" i="2" s="1"/>
  <c r="S1" i="2" s="1"/>
  <c r="T1" i="2" s="1"/>
  <c r="U1" i="2" s="1"/>
  <c r="V1" i="2" s="1"/>
  <c r="D4" i="1"/>
  <c r="U47" i="2" l="1"/>
  <c r="G8" i="2"/>
  <c r="G12" i="2" s="1"/>
  <c r="G26" i="2" s="1"/>
  <c r="J21" i="2"/>
  <c r="R6" i="2"/>
  <c r="H8" i="2"/>
  <c r="H12" i="2" s="1"/>
  <c r="H15" i="2" s="1"/>
  <c r="I21" i="2"/>
  <c r="G21" i="2"/>
  <c r="G22" i="2"/>
  <c r="J22" i="2"/>
  <c r="J11" i="2"/>
  <c r="I22" i="2"/>
  <c r="J7" i="2"/>
  <c r="J8" i="2" s="1"/>
  <c r="I11" i="2"/>
  <c r="G27" i="2"/>
  <c r="I7" i="2"/>
  <c r="R7" i="2" s="1"/>
  <c r="R8" i="2" s="1"/>
  <c r="R25" i="2" s="1"/>
  <c r="C12" i="2"/>
  <c r="C15" i="2" s="1"/>
  <c r="D12" i="2"/>
  <c r="D26" i="2" s="1"/>
  <c r="E12" i="2"/>
  <c r="E26" i="2" s="1"/>
  <c r="F12" i="2"/>
  <c r="F26" i="2" s="1"/>
  <c r="L12" i="2"/>
  <c r="L15" i="2" s="1"/>
  <c r="L17" i="2" s="1"/>
  <c r="C25" i="2"/>
  <c r="P12" i="2"/>
  <c r="N12" i="2"/>
  <c r="N15" i="2" s="1"/>
  <c r="P25" i="2"/>
  <c r="N25" i="2"/>
  <c r="M12" i="2"/>
  <c r="M15" i="2" s="1"/>
  <c r="Q12" i="2"/>
  <c r="O12" i="2"/>
  <c r="Q30" i="2"/>
  <c r="D7" i="1"/>
  <c r="V47" i="2" l="1"/>
  <c r="G25" i="2"/>
  <c r="R11" i="2"/>
  <c r="R27" i="2" s="1"/>
  <c r="I8" i="2"/>
  <c r="J12" i="2"/>
  <c r="I12" i="2"/>
  <c r="I26" i="2" s="1"/>
  <c r="J26" i="2"/>
  <c r="C17" i="2"/>
  <c r="C19" i="2" s="1"/>
  <c r="C23" i="2"/>
  <c r="D15" i="2"/>
  <c r="H16" i="2"/>
  <c r="C26" i="2"/>
  <c r="F15" i="2"/>
  <c r="E15" i="2"/>
  <c r="H26" i="2"/>
  <c r="G15" i="2"/>
  <c r="R21" i="2"/>
  <c r="S6" i="2"/>
  <c r="Q15" i="2"/>
  <c r="Q17" i="2" s="1"/>
  <c r="Q45" i="2" s="1"/>
  <c r="Q26" i="2"/>
  <c r="O15" i="2"/>
  <c r="O17" i="2" s="1"/>
  <c r="O26" i="2"/>
  <c r="P15" i="2"/>
  <c r="P23" i="2" s="1"/>
  <c r="P26" i="2"/>
  <c r="O23" i="2"/>
  <c r="N17" i="2"/>
  <c r="N45" i="2" s="1"/>
  <c r="N23" i="2"/>
  <c r="H17" i="2" l="1"/>
  <c r="H19" i="2" s="1"/>
  <c r="G17" i="2"/>
  <c r="G19" i="2" s="1"/>
  <c r="G23" i="2"/>
  <c r="F17" i="2"/>
  <c r="F19" i="2" s="1"/>
  <c r="F23" i="2"/>
  <c r="E17" i="2"/>
  <c r="E19" i="2" s="1"/>
  <c r="E23" i="2"/>
  <c r="D17" i="2"/>
  <c r="D19" i="2" s="1"/>
  <c r="D23" i="2"/>
  <c r="P17" i="2"/>
  <c r="P45" i="2" s="1"/>
  <c r="Q23" i="2"/>
  <c r="T6" i="2"/>
  <c r="S21" i="2"/>
  <c r="S7" i="2"/>
  <c r="S8" i="2" s="1"/>
  <c r="Q19" i="2"/>
  <c r="O45" i="2"/>
  <c r="O19" i="2"/>
  <c r="P19" i="2" l="1"/>
  <c r="I13" i="2"/>
  <c r="U6" i="2"/>
  <c r="T7" i="2"/>
  <c r="T8" i="2" s="1"/>
  <c r="T21" i="2"/>
  <c r="R12" i="2"/>
  <c r="R26" i="2" s="1"/>
  <c r="M23" i="2"/>
  <c r="M17" i="2"/>
  <c r="M45" i="2" s="1"/>
  <c r="I15" i="2" l="1"/>
  <c r="I16" i="2" s="1"/>
  <c r="V6" i="2"/>
  <c r="U7" i="2"/>
  <c r="U8" i="2" s="1"/>
  <c r="U21" i="2"/>
  <c r="I17" i="2" l="1"/>
  <c r="I30" i="2" s="1"/>
  <c r="V21" i="2"/>
  <c r="V7" i="2"/>
  <c r="V8" i="2" s="1"/>
  <c r="V11" i="2"/>
  <c r="U11" i="2"/>
  <c r="U12" i="2" s="1"/>
  <c r="T11" i="2"/>
  <c r="T12" i="2" s="1"/>
  <c r="T26" i="2" s="1"/>
  <c r="S11" i="2"/>
  <c r="S12" i="2" s="1"/>
  <c r="S26" i="2" s="1"/>
  <c r="V12" i="2" l="1"/>
  <c r="I19" i="2"/>
  <c r="U26" i="2"/>
  <c r="V26" i="2"/>
  <c r="J13" i="2" l="1"/>
  <c r="J15" i="2" l="1"/>
  <c r="J16" i="2" s="1"/>
  <c r="R13" i="2"/>
  <c r="R30" i="2" l="1"/>
  <c r="R15" i="2"/>
  <c r="J17" i="2"/>
  <c r="J30" i="2" s="1"/>
  <c r="R16" i="2"/>
  <c r="R23" i="2" l="1"/>
  <c r="J19" i="2"/>
  <c r="R17" i="2"/>
  <c r="S13" i="2"/>
  <c r="S15" i="2" s="1"/>
  <c r="S30" i="2" l="1"/>
  <c r="T13" i="2"/>
  <c r="T15" i="2" s="1"/>
  <c r="T30" i="2"/>
  <c r="S16" i="2"/>
  <c r="S17" i="2" s="1"/>
  <c r="R19" i="2"/>
  <c r="R45" i="2"/>
  <c r="R58" i="2" s="1"/>
  <c r="R63" i="2" s="1"/>
  <c r="S45" i="2" l="1"/>
  <c r="S58" i="2" s="1"/>
  <c r="S63" i="2" s="1"/>
  <c r="S19" i="2"/>
  <c r="U13" i="2"/>
  <c r="U15" i="2" s="1"/>
  <c r="T16" i="2"/>
  <c r="T17" i="2" s="1"/>
  <c r="U30" i="2" l="1"/>
  <c r="T19" i="2"/>
  <c r="T45" i="2"/>
  <c r="T58" i="2" s="1"/>
  <c r="T63" i="2" s="1"/>
  <c r="V13" i="2"/>
  <c r="V15" i="2" s="1"/>
  <c r="V16" i="2" s="1"/>
  <c r="V17" i="2" s="1"/>
  <c r="V30" i="2"/>
  <c r="U16" i="2"/>
  <c r="U17" i="2" s="1"/>
  <c r="U45" i="2" l="1"/>
  <c r="U58" i="2" s="1"/>
  <c r="U63" i="2" s="1"/>
  <c r="U19" i="2"/>
  <c r="V45" i="2"/>
  <c r="V58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CI63" i="2" s="1"/>
  <c r="CJ63" i="2" s="1"/>
  <c r="CK63" i="2" s="1"/>
  <c r="CL63" i="2" s="1"/>
  <c r="CM63" i="2" s="1"/>
  <c r="CN63" i="2" s="1"/>
  <c r="CO63" i="2" s="1"/>
  <c r="CP63" i="2" s="1"/>
  <c r="CQ63" i="2" s="1"/>
  <c r="CR63" i="2" s="1"/>
  <c r="CS63" i="2" s="1"/>
  <c r="CT63" i="2" s="1"/>
  <c r="CU63" i="2" s="1"/>
  <c r="CV63" i="2" s="1"/>
  <c r="CW63" i="2" s="1"/>
  <c r="CX63" i="2" s="1"/>
  <c r="CY63" i="2" s="1"/>
  <c r="CZ63" i="2" s="1"/>
  <c r="DA63" i="2" s="1"/>
  <c r="DB63" i="2" s="1"/>
  <c r="DC63" i="2" s="1"/>
  <c r="DD63" i="2" s="1"/>
  <c r="DE63" i="2" s="1"/>
  <c r="DF63" i="2" s="1"/>
  <c r="DG63" i="2" s="1"/>
  <c r="DH63" i="2" s="1"/>
  <c r="DI63" i="2" s="1"/>
  <c r="DJ63" i="2" s="1"/>
  <c r="DK63" i="2" s="1"/>
  <c r="DL63" i="2" s="1"/>
  <c r="DM63" i="2" s="1"/>
  <c r="DN63" i="2" s="1"/>
  <c r="DO63" i="2" s="1"/>
  <c r="DP63" i="2" s="1"/>
  <c r="DQ63" i="2" s="1"/>
  <c r="DR63" i="2" s="1"/>
  <c r="DS63" i="2" s="1"/>
  <c r="DT63" i="2" s="1"/>
  <c r="DU63" i="2" s="1"/>
  <c r="W17" i="2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V19" i="2"/>
  <c r="Y58" i="2" l="1"/>
  <c r="Y59" i="2" s="1"/>
  <c r="Y6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tc={7E11744B-D5AB-4208-9165-DA43F82432E9}</author>
  </authors>
  <commentList>
    <comment ref="G5" authorId="0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</commentList>
</comments>
</file>

<file path=xl/sharedStrings.xml><?xml version="1.0" encoding="utf-8"?>
<sst xmlns="http://schemas.openxmlformats.org/spreadsheetml/2006/main" count="97" uniqueCount="85">
  <si>
    <t>NVDA</t>
  </si>
  <si>
    <t>Price</t>
  </si>
  <si>
    <t>Shares</t>
  </si>
  <si>
    <t>MC</t>
  </si>
  <si>
    <t>Cash</t>
  </si>
  <si>
    <t>Debt</t>
  </si>
  <si>
    <t>EV</t>
  </si>
  <si>
    <t>Q424</t>
  </si>
  <si>
    <t>Revenue</t>
  </si>
  <si>
    <t>COGS</t>
  </si>
  <si>
    <t>Gross Profit</t>
  </si>
  <si>
    <t>R&amp;D</t>
  </si>
  <si>
    <t>SG&amp;A</t>
  </si>
  <si>
    <t>OPEX</t>
  </si>
  <si>
    <t>Operating Income</t>
  </si>
  <si>
    <t>Interest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</si>
  <si>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</si>
  <si>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</si>
  <si>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</si>
  <si>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</si>
  <si>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</si>
  <si>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</si>
  <si>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</si>
  <si>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</si>
  <si>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Q124</t>
  </si>
  <si>
    <t>Q224</t>
  </si>
  <si>
    <t>Q324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</si>
  <si>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</si>
  <si>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</si>
  <si>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</si>
  <si>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</si>
  <si>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</si>
  <si>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</si>
  <si>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</si>
  <si>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</si>
  <si>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Diff</t>
  </si>
  <si>
    <t>Tax Rate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</si>
  <si>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</si>
  <si>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</si>
  <si>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</si>
  <si>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</si>
  <si>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</si>
  <si>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</si>
  <si>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</si>
  <si>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</si>
  <si>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</si>
  <si>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</si>
  <si>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</si>
  <si>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</si>
  <si>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OPEX Margin</t>
  </si>
  <si>
    <t>FCF Margin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</si>
  <si>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</si>
  <si>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</si>
  <si>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</si>
  <si>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</si>
  <si>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</si>
  <si>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</si>
  <si>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</si>
  <si>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</si>
  <si>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</si>
  <si>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</si>
  <si>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</si>
  <si>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</si>
  <si>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</si>
  <si>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</si>
  <si>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</si>
  <si>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</si>
  <si>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</si>
  <si>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</si>
  <si>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</si>
  <si>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</si>
  <si>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</si>
  <si>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</si>
  <si>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</si>
  <si>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Liabiltiies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</si>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</sst>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9" fontId="3" fillId="0" borderId="0" xfId="0" applyNumberFormat="1" applyFont="1"/>
    <xf numFmtId="0" fontId="3" fillId="0" borderId="0" xfId="0" applyFont="1"/>
    <xf numFmtId="0" fontId="2" fillId="0" borderId="0" xfId="0" applyFont="1"/>
    <xf numFmtId="3" fontId="4" fillId="0" borderId="0" xfId="1" applyNumberFormat="1"/>
    <xf numFmtId="3" fontId="1" fillId="0" borderId="0" xfId="0" applyNumberFormat="1" applyFont="1"/>
    <xf numFmtId="0" fontId="1" fillId="0" borderId="0" xfId="0" applyFon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9525</xdr:rowOff>
    </xdr:from>
    <xdr:to>
      <xdr:col>7</xdr:col>
      <xdr:colOff>28575</xdr:colOff>
      <xdr:row>74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4819650" y="9525"/>
          <a:ext cx="38100" cy="12087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38100</xdr:colOff>
      <xdr:row>74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1010900" y="0"/>
          <a:ext cx="38100" cy="1182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5-05-29T00:24:41.76" personId="{7BA57726-1A28-4F09-A828-A7B9F4B7C04C}" id="{7E11744B-D5AB-4208-9165-DA43F82432E9}">
    <text>Blackwell 70% of rev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E24"/>
  <sheetViews>
    <sheetView zoomScale="175" zoomScaleNormal="175" workbookViewId="0">
      <selection activeCell="E12" sqref="E12"/>
    </sheetView>
  </sheetViews>
  <sheetFormatPr defaultRowHeight="14.25" x14ac:dyDescent="0.2"/>
  <cols>
    <col min="1" max="3" width="9.140625" style="9"/>
    <col min="4" max="4" width="10.42578125" style="9" customWidth="1"/>
    <col min="5" max="5" width="9.85546875" style="9" customWidth="1"/>
    <col min="6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1">
        <v>142</v>
      </c>
    </row>
    <row r="3" spans="1:5" x14ac:dyDescent="0.2">
      <c r="C3" s="9" t="s">
        <v>2</v>
      </c>
      <c r="D3" s="1">
        <v>24400</v>
      </c>
      <c r="E3" s="12" t="s">
        <v>27</v>
      </c>
    </row>
    <row r="4" spans="1:5" x14ac:dyDescent="0.2">
      <c r="C4" s="9" t="s">
        <v>3</v>
      </c>
      <c r="D4" s="1">
        <f>D3*D2</f>
        <v>3464800</v>
      </c>
    </row>
    <row r="5" spans="1:5" x14ac:dyDescent="0.2">
      <c r="C5" s="9" t="s">
        <v>4</v>
      </c>
      <c r="D5" s="1">
        <v>53691</v>
      </c>
      <c r="E5" s="12" t="s">
        <v>27</v>
      </c>
    </row>
    <row r="6" spans="1:5" x14ac:dyDescent="0.2">
      <c r="C6" s="9" t="s">
        <v>5</v>
      </c>
      <c r="D6" s="1">
        <v>14869</v>
      </c>
      <c r="E6" s="12" t="s">
        <v>27</v>
      </c>
    </row>
    <row r="7" spans="1:5" x14ac:dyDescent="0.2">
      <c r="C7" s="9" t="s">
        <v>6</v>
      </c>
      <c r="D7" s="1">
        <f>D4+D6-D5</f>
        <v>3425978</v>
      </c>
    </row>
    <row r="9" spans="1:5" x14ac:dyDescent="0.2">
      <c r="A9" s="9" t="s">
        <v>44</v>
      </c>
      <c r="B9" s="9">
        <v>2022</v>
      </c>
    </row>
    <row r="10" spans="1:5" x14ac:dyDescent="0.2">
      <c r="A10" s="9" t="s">
        <v>45</v>
      </c>
      <c r="C10" s="9" t="s">
        <v>48</v>
      </c>
    </row>
    <row r="11" spans="1:5" x14ac:dyDescent="0.2">
      <c r="A11" s="12" t="s">
        <v>54</v>
      </c>
    </row>
    <row r="12" spans="1:5" x14ac:dyDescent="0.2">
      <c r="A12" s="9" t="s">
        <v>46</v>
      </c>
    </row>
    <row r="13" spans="1:5" x14ac:dyDescent="0.2">
      <c r="A13" s="9" t="s">
        <v>47</v>
      </c>
      <c r="D13" s="12" t="s">
        <v>76</v>
      </c>
    </row>
    <row r="14" spans="1:5" x14ac:dyDescent="0.2">
      <c r="D14" s="12" t="s">
        <v>55</v>
      </c>
    </row>
    <row r="15" spans="1:5" x14ac:dyDescent="0.2">
      <c r="D15" s="12" t="s">
        <v>56</v>
      </c>
    </row>
    <row r="16" spans="1:5" x14ac:dyDescent="0.2">
      <c r="D16" s="12" t="s">
        <v>57</v>
      </c>
    </row>
    <row r="17" spans="4:4" x14ac:dyDescent="0.2">
      <c r="D17" s="12" t="s">
        <v>58</v>
      </c>
    </row>
    <row r="18" spans="4:4" x14ac:dyDescent="0.2">
      <c r="D18" s="12" t="s">
        <v>59</v>
      </c>
    </row>
    <row r="19" spans="4:4" x14ac:dyDescent="0.2">
      <c r="D19" s="12" t="s">
        <v>60</v>
      </c>
    </row>
    <row r="20" spans="4:4" x14ac:dyDescent="0.2">
      <c r="D20" s="12" t="s">
        <v>61</v>
      </c>
    </row>
    <row r="21" spans="4:4" x14ac:dyDescent="0.2">
      <c r="D21" s="12" t="s">
        <v>62</v>
      </c>
    </row>
    <row r="22" spans="4:4" x14ac:dyDescent="0.2">
      <c r="D22" s="12" t="s">
        <v>63</v>
      </c>
    </row>
    <row r="23" spans="4:4" x14ac:dyDescent="0.2">
      <c r="D23" s="12" t="s">
        <v>64</v>
      </c>
    </row>
    <row r="24" spans="4:4" x14ac:dyDescent="0.2">
      <c r="D24" s="1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M63"/>
  <sheetViews>
    <sheetView tabSelected="1" workbookViewId="0">
      <pane xSplit="2" ySplit="1" topLeftCell="Q27" activePane="bottomRight" state="frozen"/>
      <selection pane="topRight" activeCell="B1" sqref="B1"/>
      <selection pane="bottomLeft" activeCell="A2" sqref="A2"/>
      <selection pane="bottomRight" activeCell="Z63" sqref="Z63"/>
    </sheetView>
  </sheetViews>
  <sheetFormatPr defaultRowHeight="14.25" x14ac:dyDescent="0.2"/>
  <cols>
    <col min="1" max="1" width="5" style="1" customWidth="1"/>
    <col min="2" max="2" width="21.42578125" style="1" customWidth="1"/>
    <col min="3" max="5" width="9.140625" style="1"/>
    <col min="6" max="10" width="9.28515625" style="1" bestFit="1" customWidth="1"/>
    <col min="11" max="11" width="9.140625" style="1"/>
    <col min="12" max="24" width="9.28515625" style="1" bestFit="1" customWidth="1"/>
    <col min="25" max="25" width="10.140625" style="1" bestFit="1" customWidth="1"/>
    <col min="26" max="119" width="9.28515625" style="1" bestFit="1" customWidth="1"/>
    <col min="120" max="143" width="10.140625" style="1" bestFit="1" customWidth="1"/>
    <col min="144" max="16384" width="9.140625" style="1"/>
  </cols>
  <sheetData>
    <row r="1" spans="1:26" ht="15" x14ac:dyDescent="0.25">
      <c r="A1" s="10" t="s">
        <v>43</v>
      </c>
      <c r="C1" s="1" t="s">
        <v>24</v>
      </c>
      <c r="D1" s="1" t="s">
        <v>25</v>
      </c>
      <c r="E1" s="1" t="s">
        <v>26</v>
      </c>
      <c r="F1" s="1" t="s">
        <v>7</v>
      </c>
      <c r="G1" s="1" t="s">
        <v>27</v>
      </c>
      <c r="H1" s="1" t="s">
        <v>40</v>
      </c>
      <c r="I1" s="1" t="s">
        <v>41</v>
      </c>
      <c r="J1" s="1" t="s">
        <v>39</v>
      </c>
      <c r="L1" s="2">
        <v>2020</v>
      </c>
      <c r="M1" s="2">
        <v>2021</v>
      </c>
      <c r="N1" s="2">
        <f>M1+1</f>
        <v>2022</v>
      </c>
      <c r="O1" s="2">
        <f t="shared" ref="O1:V1" si="0">N1+1</f>
        <v>2023</v>
      </c>
      <c r="P1" s="2">
        <f t="shared" si="0"/>
        <v>2024</v>
      </c>
      <c r="Q1" s="2">
        <f t="shared" si="0"/>
        <v>2025</v>
      </c>
      <c r="R1" s="2">
        <f t="shared" si="0"/>
        <v>2026</v>
      </c>
      <c r="S1" s="2">
        <f t="shared" si="0"/>
        <v>2027</v>
      </c>
      <c r="T1" s="2">
        <f t="shared" si="0"/>
        <v>2028</v>
      </c>
      <c r="U1" s="2">
        <f t="shared" si="0"/>
        <v>2029</v>
      </c>
      <c r="V1" s="2">
        <f t="shared" si="0"/>
        <v>2030</v>
      </c>
    </row>
    <row r="2" spans="1:26" ht="15" x14ac:dyDescent="0.25">
      <c r="A2" s="10"/>
      <c r="B2" s="11" t="s">
        <v>68</v>
      </c>
      <c r="G2" s="1">
        <v>567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6" ht="15" x14ac:dyDescent="0.25">
      <c r="A3" s="10"/>
      <c r="B3" s="11" t="s">
        <v>67</v>
      </c>
      <c r="G3" s="1">
        <v>509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5" x14ac:dyDescent="0.25">
      <c r="A4" s="10"/>
      <c r="B4" s="11" t="s">
        <v>66</v>
      </c>
      <c r="G4" s="1">
        <v>3800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6" ht="15" x14ac:dyDescent="0.25">
      <c r="A5" s="10"/>
      <c r="B5" s="11" t="s">
        <v>51</v>
      </c>
      <c r="G5" s="1">
        <f>39100</f>
        <v>39100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s="3" customFormat="1" ht="15" x14ac:dyDescent="0.25">
      <c r="B6" s="3" t="s">
        <v>8</v>
      </c>
      <c r="C6" s="3">
        <v>26044</v>
      </c>
      <c r="F6" s="3">
        <v>39300</v>
      </c>
      <c r="G6" s="3">
        <f>SUM(G2:G5)</f>
        <v>43976</v>
      </c>
      <c r="H6" s="3">
        <v>46000</v>
      </c>
      <c r="I6" s="3">
        <f t="shared" ref="I6:J6" si="1">H6*1.08</f>
        <v>49680</v>
      </c>
      <c r="J6" s="3">
        <f t="shared" si="1"/>
        <v>53654.400000000001</v>
      </c>
      <c r="O6" s="3">
        <v>26974</v>
      </c>
      <c r="P6" s="3">
        <v>60922</v>
      </c>
      <c r="Q6" s="3">
        <v>130497</v>
      </c>
      <c r="R6" s="3">
        <f>SUM(G6:J6)</f>
        <v>193310.4</v>
      </c>
      <c r="S6" s="3">
        <f>R6*1.34</f>
        <v>259035.93600000002</v>
      </c>
      <c r="T6" s="3">
        <f t="shared" ref="T6:V6" si="2">S6*1.34</f>
        <v>347108.15424000006</v>
      </c>
      <c r="U6" s="3">
        <f t="shared" si="2"/>
        <v>465124.9266816001</v>
      </c>
      <c r="V6" s="3">
        <f t="shared" si="2"/>
        <v>623267.40175334422</v>
      </c>
    </row>
    <row r="7" spans="1:26" ht="15" x14ac:dyDescent="0.25">
      <c r="B7" s="1" t="s">
        <v>9</v>
      </c>
      <c r="C7" s="1">
        <v>5638</v>
      </c>
      <c r="G7" s="1">
        <v>17394</v>
      </c>
      <c r="H7" s="1">
        <f>H6*(1-H25)</f>
        <v>12880.000000000002</v>
      </c>
      <c r="I7" s="1">
        <f t="shared" ref="I7:J7" si="3">I6*(1-I25)</f>
        <v>13195.008000000003</v>
      </c>
      <c r="J7" s="1">
        <f t="shared" si="3"/>
        <v>13462.532812800002</v>
      </c>
      <c r="O7" s="1">
        <v>11618</v>
      </c>
      <c r="P7" s="1">
        <v>16621</v>
      </c>
      <c r="Q7" s="1">
        <v>32639</v>
      </c>
      <c r="R7" s="11">
        <f>SUM(G7:J7)</f>
        <v>56931.540812800005</v>
      </c>
      <c r="S7" s="1">
        <f>S6*(1-S25)</f>
        <v>67349.343360000013</v>
      </c>
      <c r="T7" s="1">
        <f>T6*(1-T25)</f>
        <v>90248.120102400018</v>
      </c>
      <c r="U7" s="1">
        <f>U6*(1-U25)</f>
        <v>120932.48093721604</v>
      </c>
      <c r="V7" s="1">
        <f>V6*(1-V25)</f>
        <v>162049.52445586951</v>
      </c>
      <c r="Z7" s="3"/>
    </row>
    <row r="8" spans="1:26" ht="15" x14ac:dyDescent="0.25">
      <c r="B8" s="1" t="s">
        <v>10</v>
      </c>
      <c r="C8" s="1">
        <f>C6-C7</f>
        <v>20406</v>
      </c>
      <c r="D8" s="1">
        <f t="shared" ref="D8:J8" si="4">D6-D7</f>
        <v>0</v>
      </c>
      <c r="E8" s="1">
        <f t="shared" si="4"/>
        <v>0</v>
      </c>
      <c r="F8" s="1">
        <f t="shared" si="4"/>
        <v>39300</v>
      </c>
      <c r="G8" s="1">
        <f t="shared" si="4"/>
        <v>26582</v>
      </c>
      <c r="H8" s="1">
        <f t="shared" si="4"/>
        <v>33120</v>
      </c>
      <c r="I8" s="1">
        <f t="shared" si="4"/>
        <v>36484.991999999998</v>
      </c>
      <c r="J8" s="1">
        <f t="shared" si="4"/>
        <v>40191.867187199998</v>
      </c>
      <c r="L8" s="1">
        <f>L6-L7</f>
        <v>0</v>
      </c>
      <c r="M8" s="1">
        <f>M6-M7</f>
        <v>0</v>
      </c>
      <c r="N8" s="1">
        <f>N6-N7</f>
        <v>0</v>
      </c>
      <c r="O8" s="1">
        <f>O6-O7</f>
        <v>15356</v>
      </c>
      <c r="P8" s="1">
        <f>P6-P7</f>
        <v>44301</v>
      </c>
      <c r="Q8" s="1">
        <f>Q6-Q7</f>
        <v>97858</v>
      </c>
      <c r="R8" s="1">
        <f>R6-R7</f>
        <v>136378.8591872</v>
      </c>
      <c r="S8" s="1">
        <f>S6-S7</f>
        <v>191686.59263999999</v>
      </c>
      <c r="T8" s="1">
        <f>T6-T7</f>
        <v>256860.03413760004</v>
      </c>
      <c r="U8" s="1">
        <f>U6-U7</f>
        <v>344192.44574438408</v>
      </c>
      <c r="V8" s="1">
        <f>V6-V7</f>
        <v>461217.87729747471</v>
      </c>
      <c r="Z8" s="3"/>
    </row>
    <row r="9" spans="1:26" ht="15" x14ac:dyDescent="0.25">
      <c r="B9" s="1" t="s">
        <v>11</v>
      </c>
      <c r="C9" s="1">
        <v>2720</v>
      </c>
      <c r="G9" s="1">
        <v>3989</v>
      </c>
      <c r="O9" s="1">
        <v>7339</v>
      </c>
      <c r="P9" s="1">
        <v>8675</v>
      </c>
      <c r="Q9" s="1">
        <v>12914</v>
      </c>
      <c r="Z9" s="3"/>
    </row>
    <row r="10" spans="1:26" ht="15" x14ac:dyDescent="0.25">
      <c r="B10" s="1" t="s">
        <v>12</v>
      </c>
      <c r="C10" s="1">
        <v>777</v>
      </c>
      <c r="G10" s="1">
        <v>1041</v>
      </c>
      <c r="O10" s="1">
        <v>2440</v>
      </c>
      <c r="P10" s="1">
        <v>2654</v>
      </c>
      <c r="Q10" s="1">
        <v>3491</v>
      </c>
      <c r="Z10" s="3"/>
    </row>
    <row r="11" spans="1:26" ht="15" x14ac:dyDescent="0.25">
      <c r="B11" s="1" t="s">
        <v>13</v>
      </c>
      <c r="C11" s="1">
        <f>SUM(C9:C10)</f>
        <v>3497</v>
      </c>
      <c r="D11" s="1">
        <f t="shared" ref="D11:G11" si="5">SUM(D9:D10)</f>
        <v>0</v>
      </c>
      <c r="E11" s="1">
        <f t="shared" si="5"/>
        <v>0</v>
      </c>
      <c r="F11" s="1">
        <f t="shared" si="5"/>
        <v>0</v>
      </c>
      <c r="G11" s="1">
        <f t="shared" si="5"/>
        <v>5030</v>
      </c>
      <c r="H11" s="1">
        <f>H6*H27</f>
        <v>7820.0000000000009</v>
      </c>
      <c r="I11" s="1">
        <f t="shared" ref="I11:J11" si="6">I6*I27</f>
        <v>8445.6</v>
      </c>
      <c r="J11" s="1">
        <f t="shared" si="6"/>
        <v>9121.2480000000014</v>
      </c>
      <c r="L11" s="1">
        <f>SUM(L9:L10)</f>
        <v>0</v>
      </c>
      <c r="M11" s="1">
        <f>SUM(M9:M10)</f>
        <v>0</v>
      </c>
      <c r="N11" s="1">
        <f t="shared" ref="N11:Q11" si="7">SUM(N9:N10)</f>
        <v>0</v>
      </c>
      <c r="O11" s="1">
        <f t="shared" si="7"/>
        <v>9779</v>
      </c>
      <c r="P11" s="1">
        <f t="shared" si="7"/>
        <v>11329</v>
      </c>
      <c r="Q11" s="1">
        <f t="shared" si="7"/>
        <v>16405</v>
      </c>
      <c r="R11" s="11">
        <f>SUM(G11:J11)</f>
        <v>30416.847999999998</v>
      </c>
      <c r="S11" s="1">
        <f t="shared" ref="S11:V11" si="8">S6*S27</f>
        <v>41445.749760000006</v>
      </c>
      <c r="T11" s="1">
        <f t="shared" si="8"/>
        <v>55537.304678400011</v>
      </c>
      <c r="U11" s="1">
        <f t="shared" si="8"/>
        <v>74419.988269056019</v>
      </c>
      <c r="V11" s="1">
        <f t="shared" si="8"/>
        <v>99722.784280535081</v>
      </c>
      <c r="Z11" s="3"/>
    </row>
    <row r="12" spans="1:26" ht="15" x14ac:dyDescent="0.25">
      <c r="B12" s="1" t="s">
        <v>14</v>
      </c>
      <c r="C12" s="1">
        <f>C8-C11</f>
        <v>16909</v>
      </c>
      <c r="D12" s="1">
        <f t="shared" ref="D12:J12" si="9">D8-D11</f>
        <v>0</v>
      </c>
      <c r="E12" s="1">
        <f t="shared" si="9"/>
        <v>0</v>
      </c>
      <c r="F12" s="1">
        <f t="shared" si="9"/>
        <v>39300</v>
      </c>
      <c r="G12" s="1">
        <f t="shared" si="9"/>
        <v>21552</v>
      </c>
      <c r="H12" s="1">
        <f t="shared" si="9"/>
        <v>25300</v>
      </c>
      <c r="I12" s="1">
        <f t="shared" si="9"/>
        <v>28039.392</v>
      </c>
      <c r="J12" s="1">
        <f t="shared" si="9"/>
        <v>31070.619187199998</v>
      </c>
      <c r="L12" s="1">
        <f>L8-L11</f>
        <v>0</v>
      </c>
      <c r="M12" s="1">
        <f>M8-M11</f>
        <v>0</v>
      </c>
      <c r="N12" s="1">
        <f t="shared" ref="N12:Q12" si="10">N8-N11</f>
        <v>0</v>
      </c>
      <c r="O12" s="1">
        <f t="shared" si="10"/>
        <v>5577</v>
      </c>
      <c r="P12" s="1">
        <f t="shared" si="10"/>
        <v>32972</v>
      </c>
      <c r="Q12" s="1">
        <f t="shared" si="10"/>
        <v>81453</v>
      </c>
      <c r="R12" s="1">
        <f>R8-R11</f>
        <v>105962.0111872</v>
      </c>
      <c r="S12" s="1">
        <f t="shared" ref="S12:V12" si="11">S8-S11</f>
        <v>150240.84287999998</v>
      </c>
      <c r="T12" s="1">
        <f t="shared" si="11"/>
        <v>201322.72945920003</v>
      </c>
      <c r="U12" s="1">
        <f t="shared" si="11"/>
        <v>269772.45747532806</v>
      </c>
      <c r="V12" s="1">
        <f t="shared" si="11"/>
        <v>361495.09301693965</v>
      </c>
      <c r="Z12" s="3"/>
    </row>
    <row r="13" spans="1:26" ht="15" x14ac:dyDescent="0.25">
      <c r="B13" s="1" t="s">
        <v>15</v>
      </c>
      <c r="C13" s="1">
        <f>359-64</f>
        <v>295</v>
      </c>
      <c r="G13" s="1">
        <f>515-63</f>
        <v>452</v>
      </c>
      <c r="H13" s="1">
        <f>G30*$Y$55/4</f>
        <v>582.32999999999993</v>
      </c>
      <c r="I13" s="1">
        <f>H30*$Y$55/4</f>
        <v>906.50618324999994</v>
      </c>
      <c r="J13" s="1">
        <f>I30*$Y$55/4</f>
        <v>1269.0535579952063</v>
      </c>
      <c r="L13" s="1">
        <f>K30*$Y$55</f>
        <v>0</v>
      </c>
      <c r="M13" s="1">
        <f>L30*$Y$55</f>
        <v>0</v>
      </c>
      <c r="N13" s="1">
        <f>M30*$Y$55</f>
        <v>0</v>
      </c>
      <c r="O13" s="1">
        <f>267-262</f>
        <v>5</v>
      </c>
      <c r="P13" s="1">
        <f>866-257</f>
        <v>609</v>
      </c>
      <c r="Q13" s="1">
        <f>1786-247</f>
        <v>1539</v>
      </c>
      <c r="R13" s="11">
        <f>SUM(G13:J13)</f>
        <v>3209.8897412452061</v>
      </c>
      <c r="S13" s="1">
        <f>R30*$Y$55</f>
        <v>2022.7133844747123</v>
      </c>
      <c r="T13" s="1">
        <f>S30*$Y$55</f>
        <v>2144.0761875431954</v>
      </c>
      <c r="U13" s="1">
        <f>T30*$Y$55</f>
        <v>2272.7207587957869</v>
      </c>
      <c r="V13" s="1">
        <f>U30*$Y$55</f>
        <v>2409.0840043235339</v>
      </c>
      <c r="Z13" s="3"/>
    </row>
    <row r="14" spans="1:26" ht="15" x14ac:dyDescent="0.25">
      <c r="B14" s="1" t="s">
        <v>16</v>
      </c>
      <c r="C14" s="1">
        <v>75</v>
      </c>
      <c r="G14" s="1">
        <v>-180</v>
      </c>
      <c r="O14" s="1">
        <v>-48</v>
      </c>
      <c r="P14" s="1">
        <v>237</v>
      </c>
      <c r="Q14" s="1">
        <v>1034</v>
      </c>
      <c r="R14" s="11">
        <f>SUM(G14:J14)</f>
        <v>-180</v>
      </c>
      <c r="S14" s="1">
        <v>0</v>
      </c>
      <c r="T14" s="1">
        <f t="shared" ref="S14:V14" si="12">S14*1.02</f>
        <v>0</v>
      </c>
      <c r="U14" s="1">
        <f t="shared" si="12"/>
        <v>0</v>
      </c>
      <c r="V14" s="1">
        <f t="shared" si="12"/>
        <v>0</v>
      </c>
      <c r="Z14" s="3"/>
    </row>
    <row r="15" spans="1:26" x14ac:dyDescent="0.2">
      <c r="B15" s="1" t="s">
        <v>17</v>
      </c>
      <c r="C15" s="1">
        <f>C12+SUM(C13:C14)</f>
        <v>17279</v>
      </c>
      <c r="D15" s="1">
        <f t="shared" ref="D15:J15" si="13">D12+SUM(D13:D14)</f>
        <v>0</v>
      </c>
      <c r="E15" s="1">
        <f t="shared" si="13"/>
        <v>0</v>
      </c>
      <c r="F15" s="1">
        <f t="shared" si="13"/>
        <v>39300</v>
      </c>
      <c r="G15" s="1">
        <f t="shared" si="13"/>
        <v>21824</v>
      </c>
      <c r="H15" s="1">
        <f t="shared" si="13"/>
        <v>25882.33</v>
      </c>
      <c r="I15" s="1">
        <f t="shared" si="13"/>
        <v>28945.898183249999</v>
      </c>
      <c r="J15" s="1">
        <f t="shared" si="13"/>
        <v>32339.672745195203</v>
      </c>
      <c r="L15" s="1">
        <f>L12+SUM(L13:L14)</f>
        <v>0</v>
      </c>
      <c r="M15" s="1">
        <f>M12+SUM(M13:M14)</f>
        <v>0</v>
      </c>
      <c r="N15" s="1">
        <f t="shared" ref="N15:Q15" si="14">N12+SUM(N13:N14)</f>
        <v>0</v>
      </c>
      <c r="O15" s="1">
        <f t="shared" si="14"/>
        <v>5534</v>
      </c>
      <c r="P15" s="1">
        <f t="shared" si="14"/>
        <v>33818</v>
      </c>
      <c r="Q15" s="1">
        <f t="shared" si="14"/>
        <v>84026</v>
      </c>
      <c r="R15" s="1">
        <f>R12+SUM(R13:R14)</f>
        <v>108991.9009284452</v>
      </c>
      <c r="S15" s="1">
        <f t="shared" ref="S15:V15" si="15">S12+SUM(S13:S14)</f>
        <v>152263.5562644747</v>
      </c>
      <c r="T15" s="1">
        <f t="shared" si="15"/>
        <v>203466.80564674322</v>
      </c>
      <c r="U15" s="1">
        <f t="shared" si="15"/>
        <v>272045.17823412386</v>
      </c>
      <c r="V15" s="1">
        <f t="shared" si="15"/>
        <v>363904.17702126317</v>
      </c>
    </row>
    <row r="16" spans="1:26" x14ac:dyDescent="0.2">
      <c r="B16" s="1" t="s">
        <v>18</v>
      </c>
      <c r="C16" s="1">
        <v>2398</v>
      </c>
      <c r="G16" s="1">
        <v>3135</v>
      </c>
      <c r="H16" s="1">
        <f>H15*H23</f>
        <v>4270.5844500000003</v>
      </c>
      <c r="I16" s="1">
        <f t="shared" ref="I16:J16" si="16">I15*I23</f>
        <v>4776.0732002362502</v>
      </c>
      <c r="J16" s="1">
        <f t="shared" si="16"/>
        <v>5336.0460029572087</v>
      </c>
      <c r="O16" s="1">
        <v>-187</v>
      </c>
      <c r="P16" s="1">
        <v>4058</v>
      </c>
      <c r="Q16" s="1">
        <v>11146</v>
      </c>
      <c r="R16" s="11">
        <f>SUM(G16:J16)</f>
        <v>17517.703653193461</v>
      </c>
      <c r="S16" s="1">
        <f t="shared" ref="S16:V16" si="17">S15*S23</f>
        <v>25884.804564960701</v>
      </c>
      <c r="T16" s="1">
        <f t="shared" si="17"/>
        <v>34589.356959946352</v>
      </c>
      <c r="U16" s="1">
        <f t="shared" si="17"/>
        <v>46247.680299801061</v>
      </c>
      <c r="V16" s="1">
        <f t="shared" si="17"/>
        <v>61863.71009361474</v>
      </c>
    </row>
    <row r="17" spans="1:143" s="3" customFormat="1" ht="15" x14ac:dyDescent="0.25">
      <c r="B17" s="3" t="s">
        <v>19</v>
      </c>
      <c r="C17" s="3">
        <f>C15-C16</f>
        <v>14881</v>
      </c>
      <c r="D17" s="3">
        <f t="shared" ref="D17:J17" si="18">D15-D16</f>
        <v>0</v>
      </c>
      <c r="E17" s="3">
        <f t="shared" si="18"/>
        <v>0</v>
      </c>
      <c r="F17" s="3">
        <f t="shared" si="18"/>
        <v>39300</v>
      </c>
      <c r="G17" s="3">
        <f t="shared" si="18"/>
        <v>18689</v>
      </c>
      <c r="H17" s="3">
        <f t="shared" si="18"/>
        <v>21611.74555</v>
      </c>
      <c r="I17" s="3">
        <f t="shared" si="18"/>
        <v>24169.82498301375</v>
      </c>
      <c r="J17" s="3">
        <f t="shared" si="18"/>
        <v>27003.626742237993</v>
      </c>
      <c r="L17" s="3">
        <f>L15-L16</f>
        <v>0</v>
      </c>
      <c r="M17" s="3">
        <f>M15-M16</f>
        <v>0</v>
      </c>
      <c r="N17" s="3">
        <f t="shared" ref="N17:Q17" si="19">N15-N16</f>
        <v>0</v>
      </c>
      <c r="O17" s="3">
        <f t="shared" si="19"/>
        <v>5721</v>
      </c>
      <c r="P17" s="3">
        <f t="shared" si="19"/>
        <v>29760</v>
      </c>
      <c r="Q17" s="3">
        <f t="shared" si="19"/>
        <v>72880</v>
      </c>
      <c r="R17" s="3">
        <f>R15-R16</f>
        <v>91474.197275251747</v>
      </c>
      <c r="S17" s="3">
        <f t="shared" ref="S17:V17" si="20">S15-S16</f>
        <v>126378.75169951399</v>
      </c>
      <c r="T17" s="3">
        <f t="shared" si="20"/>
        <v>168877.44868679688</v>
      </c>
      <c r="U17" s="3">
        <f t="shared" si="20"/>
        <v>225797.4979343228</v>
      </c>
      <c r="V17" s="3">
        <f t="shared" si="20"/>
        <v>302040.46692764841</v>
      </c>
      <c r="W17" s="3">
        <f>V17*(1+$Y$56)</f>
        <v>311101.68093547784</v>
      </c>
      <c r="X17" s="3">
        <f>W17*(1+$Y$56)</f>
        <v>320434.7313635422</v>
      </c>
      <c r="Y17" s="3">
        <f>X17*(1+$Y$56)</f>
        <v>330047.77330444846</v>
      </c>
      <c r="Z17" s="3">
        <f>Y17*(1+$Y$56)</f>
        <v>339949.20650358195</v>
      </c>
      <c r="AA17" s="3">
        <f>Z17*(1+$Y$56)</f>
        <v>350147.6826986894</v>
      </c>
      <c r="AB17" s="3">
        <f>AA17*(1+$Y$56)</f>
        <v>360652.1131796501</v>
      </c>
      <c r="AC17" s="3">
        <f>AB17*(1+$Y$56)</f>
        <v>371471.67657503963</v>
      </c>
      <c r="AD17" s="3">
        <f>AC17*(1+$Y$56)</f>
        <v>382615.82687229081</v>
      </c>
      <c r="AE17" s="3">
        <f>AD17*(1+$Y$56)</f>
        <v>394094.30167845957</v>
      </c>
      <c r="AF17" s="3">
        <f>AE17*(1+$Y$56)</f>
        <v>405917.13072881335</v>
      </c>
      <c r="AG17" s="3">
        <f>AF17*(1+$Y$56)</f>
        <v>418094.64465067774</v>
      </c>
      <c r="AH17" s="3">
        <f>AG17*(1+$Y$56)</f>
        <v>430637.48399019806</v>
      </c>
      <c r="AI17" s="3">
        <f>AH17*(1+$Y$56)</f>
        <v>443556.60850990401</v>
      </c>
      <c r="AJ17" s="3">
        <f>AI17*(1+$Y$56)</f>
        <v>456863.30676520115</v>
      </c>
      <c r="AK17" s="3">
        <f>AJ17*(1+$Y$56)</f>
        <v>470569.20596815721</v>
      </c>
      <c r="AL17" s="3">
        <f>AK17*(1+$Y$56)</f>
        <v>484686.28214720194</v>
      </c>
      <c r="AM17" s="3">
        <f>AL17*(1+$Y$56)</f>
        <v>499226.87061161804</v>
      </c>
      <c r="AN17" s="3">
        <f>AM17*(1+$Y$56)</f>
        <v>514203.6767299666</v>
      </c>
      <c r="AO17" s="3">
        <f>AN17*(1+$Y$56)</f>
        <v>529629.78703186556</v>
      </c>
      <c r="AP17" s="3">
        <f>AO17*(1+$Y$56)</f>
        <v>545518.68064282159</v>
      </c>
      <c r="AQ17" s="3">
        <f>AP17*(1+$Y$56)</f>
        <v>561884.24106210622</v>
      </c>
      <c r="AR17" s="3">
        <f>AQ17*(1+$Y$56)</f>
        <v>578740.76829396945</v>
      </c>
      <c r="AS17" s="3">
        <f>AR17*(1+$Y$56)</f>
        <v>596102.99134278856</v>
      </c>
      <c r="AT17" s="3">
        <f>AS17*(1+$Y$56)</f>
        <v>613986.08108307223</v>
      </c>
      <c r="AU17" s="3">
        <f>AT17*(1+$Y$56)</f>
        <v>632405.6635155644</v>
      </c>
      <c r="AV17" s="3">
        <f>AU17*(1+$Y$56)</f>
        <v>651377.83342103136</v>
      </c>
      <c r="AW17" s="3">
        <f>AV17*(1+$Y$56)</f>
        <v>670919.16842366231</v>
      </c>
      <c r="AX17" s="3">
        <f>AW17*(1+$Y$56)</f>
        <v>691046.74347637221</v>
      </c>
      <c r="AY17" s="3">
        <f>AX17*(1+$Y$56)</f>
        <v>711778.14578066336</v>
      </c>
      <c r="AZ17" s="3">
        <f>AY17*(1+$Y$56)</f>
        <v>733131.49015408324</v>
      </c>
      <c r="BA17" s="3">
        <f>AZ17*(1+$Y$56)</f>
        <v>755125.43485870573</v>
      </c>
      <c r="BB17" s="3">
        <f>BA17*(1+$Y$56)</f>
        <v>777779.19790446688</v>
      </c>
      <c r="BC17" s="3">
        <f>BB17*(1+$Y$56)</f>
        <v>801112.57384160091</v>
      </c>
      <c r="BD17" s="3">
        <f>BC17*(1+$Y$56)</f>
        <v>825145.95105684898</v>
      </c>
      <c r="BE17" s="3">
        <f>BD17*(1+$Y$56)</f>
        <v>849900.32958855445</v>
      </c>
      <c r="BF17" s="3">
        <f>BE17*(1+$Y$56)</f>
        <v>875397.33947621111</v>
      </c>
      <c r="BG17" s="3">
        <f>BF17*(1+$Y$56)</f>
        <v>901659.25966049742</v>
      </c>
      <c r="BH17" s="3">
        <f>BG17*(1+$Y$56)</f>
        <v>928709.0374503124</v>
      </c>
      <c r="BI17" s="3">
        <f>BH17*(1+$Y$56)</f>
        <v>956570.30857382179</v>
      </c>
      <c r="BJ17" s="3">
        <f>BI17*(1+$Y$56)</f>
        <v>985267.4178310365</v>
      </c>
      <c r="BK17" s="3">
        <f>BJ17*(1+$Y$56)</f>
        <v>1014825.4403659676</v>
      </c>
      <c r="BL17" s="3">
        <f>BK17*(1+$Y$56)</f>
        <v>1045270.2035769466</v>
      </c>
      <c r="BM17" s="3">
        <f>BL17*(1+$Y$56)</f>
        <v>1076628.3096842552</v>
      </c>
      <c r="BN17" s="3">
        <f>BM17*(1+$Y$56)</f>
        <v>1108927.1589747828</v>
      </c>
      <c r="BO17" s="3">
        <f>BN17*(1+$Y$56)</f>
        <v>1142194.9737440264</v>
      </c>
      <c r="BP17" s="3">
        <f>BO17*(1+$Y$56)</f>
        <v>1176460.8229563471</v>
      </c>
      <c r="BQ17" s="3">
        <f>BP17*(1+$Y$56)</f>
        <v>1211754.6476450376</v>
      </c>
      <c r="BR17" s="3">
        <f>BQ17*(1+$Y$56)</f>
        <v>1248107.2870743887</v>
      </c>
      <c r="BS17" s="3">
        <f>BR17*(1+$Y$56)</f>
        <v>1285550.5056866205</v>
      </c>
      <c r="BT17" s="3">
        <f>BS17*(1+$Y$56)</f>
        <v>1324117.0208572191</v>
      </c>
      <c r="BU17" s="3">
        <f>BT17*(1+$Y$56)</f>
        <v>1363840.5314829357</v>
      </c>
      <c r="BV17" s="3">
        <f>BU17*(1+$Y$56)</f>
        <v>1404755.7474274237</v>
      </c>
      <c r="BW17" s="3">
        <f>BV17*(1+$Y$56)</f>
        <v>1446898.4198502465</v>
      </c>
      <c r="BX17" s="3">
        <f>BW17*(1+$Y$56)</f>
        <v>1490305.372445754</v>
      </c>
      <c r="BY17" s="3">
        <f>BX17*(1+$Y$56)</f>
        <v>1535014.5336191268</v>
      </c>
      <c r="BZ17" s="3">
        <f>BY17*(1+$Y$56)</f>
        <v>1581064.9696277005</v>
      </c>
      <c r="CA17" s="3">
        <f>BZ17*(1+$Y$56)</f>
        <v>1628496.9187165315</v>
      </c>
      <c r="CB17" s="3">
        <f>CA17*(1+$Y$56)</f>
        <v>1677351.8262780274</v>
      </c>
      <c r="CC17" s="3">
        <f>CB17*(1+$Y$56)</f>
        <v>1727672.3810663682</v>
      </c>
      <c r="CD17" s="3">
        <f>CC17*(1+$Y$56)</f>
        <v>1779502.5524983592</v>
      </c>
      <c r="CE17" s="3">
        <f>CD17*(1+$Y$56)</f>
        <v>1832887.6290733099</v>
      </c>
      <c r="CF17" s="3">
        <f>CE17*(1+$Y$56)</f>
        <v>1887874.2579455094</v>
      </c>
      <c r="CG17" s="3">
        <f>CF17*(1+$Y$56)</f>
        <v>1944510.4856838747</v>
      </c>
      <c r="CH17" s="3">
        <f>CG17*(1+$Y$56)</f>
        <v>2002845.800254391</v>
      </c>
      <c r="CI17" s="3">
        <f>CH17*(1+$Y$56)</f>
        <v>2062931.1742620228</v>
      </c>
      <c r="CJ17" s="3">
        <f>CI17*(1+$Y$56)</f>
        <v>2124819.1094898838</v>
      </c>
      <c r="CK17" s="3">
        <f>CJ17*(1+$Y$56)</f>
        <v>2188563.6827745805</v>
      </c>
      <c r="CL17" s="3">
        <f>CK17*(1+$Y$56)</f>
        <v>2254220.5932578179</v>
      </c>
      <c r="CM17" s="3">
        <f>CL17*(1+$Y$56)</f>
        <v>2321847.2110555526</v>
      </c>
      <c r="CN17" s="3">
        <f>CM17*(1+$Y$56)</f>
        <v>2391502.6273872191</v>
      </c>
      <c r="CO17" s="3">
        <f>CN17*(1+$Y$56)</f>
        <v>2463247.7062088358</v>
      </c>
      <c r="CP17" s="3">
        <f>CO17*(1+$Y$56)</f>
        <v>2537145.1373951011</v>
      </c>
      <c r="CQ17" s="3">
        <f>CP17*(1+$Y$56)</f>
        <v>2613259.4915169543</v>
      </c>
      <c r="CR17" s="3">
        <f>CQ17*(1+$Y$56)</f>
        <v>2691657.2762624631</v>
      </c>
      <c r="CS17" s="3">
        <f>CR17*(1+$Y$56)</f>
        <v>2772406.9945503371</v>
      </c>
      <c r="CT17" s="3">
        <f>CS17*(1+$Y$56)</f>
        <v>2855579.2043868471</v>
      </c>
      <c r="CU17" s="3">
        <f>CT17*(1+$Y$56)</f>
        <v>2941246.5805184525</v>
      </c>
      <c r="CV17" s="3">
        <f>CU17*(1+$Y$56)</f>
        <v>3029483.9779340061</v>
      </c>
      <c r="CW17" s="3">
        <f>CV17*(1+$Y$56)</f>
        <v>3120368.4972720263</v>
      </c>
      <c r="CX17" s="3">
        <f>CW17*(1+$Y$56)</f>
        <v>3213979.5521901869</v>
      </c>
      <c r="CY17" s="3">
        <f>CX17*(1+$Y$56)</f>
        <v>3310398.9387558927</v>
      </c>
      <c r="CZ17" s="3">
        <f>CY17*(1+$Y$56)</f>
        <v>3409710.9069185695</v>
      </c>
      <c r="DA17" s="3">
        <f>CZ17*(1+$Y$56)</f>
        <v>3512002.2341261269</v>
      </c>
      <c r="DB17" s="3">
        <f>DA17*(1+$Y$56)</f>
        <v>3617362.3011499108</v>
      </c>
      <c r="DC17" s="3">
        <f>DB17*(1+$Y$56)</f>
        <v>3725883.1701844083</v>
      </c>
      <c r="DD17" s="3">
        <f>DC17*(1+$Y$56)</f>
        <v>3837659.6652899408</v>
      </c>
      <c r="DE17" s="3">
        <f>DD17*(1+$Y$56)</f>
        <v>3952789.455248639</v>
      </c>
      <c r="DF17" s="3">
        <f>DE17*(1+$Y$56)</f>
        <v>4071373.1389060984</v>
      </c>
      <c r="DG17" s="3">
        <f>DF17*(1+$Y$56)</f>
        <v>4193514.3330732817</v>
      </c>
      <c r="DH17" s="3">
        <f>DG17*(1+$Y$56)</f>
        <v>4319319.7630654806</v>
      </c>
      <c r="DI17" s="3">
        <f>DH17*(1+$Y$56)</f>
        <v>4448899.3559574448</v>
      </c>
      <c r="DJ17" s="3">
        <f>DI17*(1+$Y$56)</f>
        <v>4582366.336636168</v>
      </c>
      <c r="DK17" s="3">
        <f>DJ17*(1+$Y$56)</f>
        <v>4719837.3267352534</v>
      </c>
      <c r="DL17" s="3">
        <f>DK17*(1+$Y$56)</f>
        <v>4861432.4465373112</v>
      </c>
      <c r="DM17" s="3">
        <f>DL17*(1+$Y$56)</f>
        <v>5007275.4199334309</v>
      </c>
      <c r="DN17" s="3">
        <f>DM17*(1+$Y$56)</f>
        <v>5157493.6825314341</v>
      </c>
      <c r="DO17" s="3">
        <f>DN17*(1+$Y$56)</f>
        <v>5312218.4930073777</v>
      </c>
      <c r="DP17" s="3">
        <f>DO17*(1+$Y$56)</f>
        <v>5471585.0477975989</v>
      </c>
      <c r="DQ17" s="3">
        <f>DP17*(1+$Y$56)</f>
        <v>5635732.5992315272</v>
      </c>
      <c r="DR17" s="3">
        <f>DQ17*(1+$Y$56)</f>
        <v>5804804.5772084733</v>
      </c>
      <c r="DS17" s="3">
        <f>DR17*(1+$Y$56)</f>
        <v>5978948.7145247273</v>
      </c>
      <c r="DT17" s="3">
        <f>DS17*(1+$Y$56)</f>
        <v>6158317.1759604691</v>
      </c>
      <c r="DU17" s="3">
        <f>DT17*(1+$Y$56)</f>
        <v>6343066.6912392834</v>
      </c>
      <c r="DV17" s="3">
        <f>DU17*(1+$Y$56)</f>
        <v>6533358.6919764625</v>
      </c>
      <c r="DW17" s="3">
        <f>DV17*(1+$Y$56)</f>
        <v>6729359.4527357565</v>
      </c>
      <c r="DX17" s="3">
        <f>DW17*(1+$Y$56)</f>
        <v>6931240.2363178292</v>
      </c>
      <c r="DY17" s="3">
        <f>DX17*(1+$Y$56)</f>
        <v>7139177.4434073642</v>
      </c>
      <c r="DZ17" s="3">
        <f>DY17*(1+$Y$56)</f>
        <v>7353352.7667095857</v>
      </c>
      <c r="EA17" s="3">
        <f>DZ17*(1+$Y$56)</f>
        <v>7573953.3497108733</v>
      </c>
      <c r="EB17" s="3">
        <f>EA17*(1+$Y$56)</f>
        <v>7801171.9502021996</v>
      </c>
      <c r="EC17" s="3">
        <f>EB17*(1+$Y$56)</f>
        <v>8035207.1087082662</v>
      </c>
      <c r="ED17" s="3">
        <f>EC17*(1+$Y$56)</f>
        <v>8276263.3219695147</v>
      </c>
      <c r="EE17" s="3">
        <f>ED17*(1+$Y$56)</f>
        <v>8524551.2216286007</v>
      </c>
      <c r="EF17" s="3">
        <f>EE17*(1+$Y$56)</f>
        <v>8780287.7582774591</v>
      </c>
      <c r="EG17" s="3">
        <f>EF17*(1+$Y$56)</f>
        <v>9043696.3910257835</v>
      </c>
      <c r="EH17" s="3">
        <f>EG17*(1+$Y$56)</f>
        <v>9315007.2827565577</v>
      </c>
      <c r="EI17" s="3">
        <f>EH17*(1+$Y$56)</f>
        <v>9594457.5012392551</v>
      </c>
      <c r="EJ17" s="3">
        <f>EI17*(1+$Y$56)</f>
        <v>9882291.2262764331</v>
      </c>
      <c r="EK17" s="3">
        <f>EJ17*(1+$Y$56)</f>
        <v>10178759.963064726</v>
      </c>
      <c r="EL17" s="3">
        <f>EK17*(1+$Y$56)</f>
        <v>10484122.761956669</v>
      </c>
      <c r="EM17" s="3">
        <f>EL17*(1+$Y$56)</f>
        <v>10798646.444815369</v>
      </c>
    </row>
    <row r="18" spans="1:143" x14ac:dyDescent="0.2">
      <c r="B18" s="1" t="s">
        <v>2</v>
      </c>
      <c r="C18" s="1">
        <v>24890</v>
      </c>
      <c r="G18" s="1">
        <v>24611</v>
      </c>
      <c r="H18" s="1">
        <f>G18*0.995</f>
        <v>24487.945</v>
      </c>
      <c r="I18" s="1">
        <f t="shared" ref="I18:J18" si="21">H18*0.995</f>
        <v>24365.505275</v>
      </c>
      <c r="J18" s="1">
        <f t="shared" si="21"/>
        <v>24243.677748624999</v>
      </c>
      <c r="O18" s="1">
        <v>25070</v>
      </c>
      <c r="P18" s="1">
        <v>24940</v>
      </c>
      <c r="Q18" s="1">
        <v>24400</v>
      </c>
      <c r="R18" s="1">
        <f>J18</f>
        <v>24243.677748624999</v>
      </c>
      <c r="S18" s="1">
        <f t="shared" ref="S18:V18" si="22">R18*0.99</f>
        <v>24001.240971138748</v>
      </c>
      <c r="T18" s="1">
        <f t="shared" si="22"/>
        <v>23761.228561427361</v>
      </c>
      <c r="U18" s="1">
        <f t="shared" si="22"/>
        <v>23523.616275813085</v>
      </c>
      <c r="V18" s="1">
        <f t="shared" si="22"/>
        <v>23288.380113054955</v>
      </c>
    </row>
    <row r="19" spans="1:143" x14ac:dyDescent="0.2">
      <c r="B19" s="1" t="s">
        <v>20</v>
      </c>
      <c r="C19" s="4">
        <f>C17/C18</f>
        <v>0.5978706307754118</v>
      </c>
      <c r="D19" s="4" t="e">
        <f t="shared" ref="D19:J19" si="23">D17/D18</f>
        <v>#DIV/0!</v>
      </c>
      <c r="E19" s="4" t="e">
        <f t="shared" si="23"/>
        <v>#DIV/0!</v>
      </c>
      <c r="F19" s="4" t="e">
        <f t="shared" si="23"/>
        <v>#DIV/0!</v>
      </c>
      <c r="G19" s="4">
        <f t="shared" si="23"/>
        <v>0.75937588883019791</v>
      </c>
      <c r="H19" s="4">
        <f t="shared" si="23"/>
        <v>0.8825463120731446</v>
      </c>
      <c r="I19" s="4">
        <f t="shared" si="23"/>
        <v>0.99196896227770714</v>
      </c>
      <c r="J19" s="4">
        <f t="shared" si="23"/>
        <v>1.1138420095428603</v>
      </c>
      <c r="O19" s="4">
        <f>O17/O18</f>
        <v>0.22820103709613082</v>
      </c>
      <c r="P19" s="4">
        <f>P17/P18</f>
        <v>1.1932638331996792</v>
      </c>
      <c r="Q19" s="4">
        <f>Q17/Q18</f>
        <v>2.9868852459016395</v>
      </c>
      <c r="R19" s="4">
        <f t="shared" ref="R19:V19" si="24">R17/R18</f>
        <v>3.7731155406254229</v>
      </c>
      <c r="S19" s="4">
        <f t="shared" si="24"/>
        <v>5.2655090564476721</v>
      </c>
      <c r="T19" s="4">
        <f t="shared" si="24"/>
        <v>7.1072692327425786</v>
      </c>
      <c r="U19" s="4">
        <f t="shared" si="24"/>
        <v>9.598757915741345</v>
      </c>
      <c r="V19" s="4">
        <f t="shared" si="24"/>
        <v>12.969578195708475</v>
      </c>
    </row>
    <row r="20" spans="1:143" x14ac:dyDescent="0.2">
      <c r="K20" s="4"/>
      <c r="O20" s="5"/>
      <c r="P20" s="5"/>
      <c r="Q20" s="5"/>
      <c r="R20" s="5"/>
      <c r="S20" s="5"/>
      <c r="T20" s="5"/>
      <c r="U20" s="5"/>
      <c r="V20" s="5"/>
    </row>
    <row r="21" spans="1:143" s="3" customFormat="1" ht="15" x14ac:dyDescent="0.25">
      <c r="B21" s="3" t="s">
        <v>21</v>
      </c>
      <c r="G21" s="7">
        <f>G6/C6-1</f>
        <v>0.68852710797112571</v>
      </c>
      <c r="H21" s="7" t="e">
        <f t="shared" ref="H21:J21" si="25">H6/D6-1</f>
        <v>#DIV/0!</v>
      </c>
      <c r="I21" s="7" t="e">
        <f t="shared" si="25"/>
        <v>#DIV/0!</v>
      </c>
      <c r="J21" s="7">
        <f t="shared" si="25"/>
        <v>0.36525190839694655</v>
      </c>
      <c r="M21" s="7" t="e">
        <f>M6/L6-1</f>
        <v>#DIV/0!</v>
      </c>
      <c r="N21" s="7" t="e">
        <f>N6/M6-1</f>
        <v>#DIV/0!</v>
      </c>
      <c r="O21" s="7" t="e">
        <f>O6/N6-1</f>
        <v>#DIV/0!</v>
      </c>
      <c r="P21" s="7">
        <f>P6/O6-1</f>
        <v>1.2585452658115224</v>
      </c>
      <c r="Q21" s="7">
        <f>Q6/P6-1</f>
        <v>1.1420340763599355</v>
      </c>
      <c r="R21" s="7">
        <f>R6/Q6-1</f>
        <v>0.48133980091496342</v>
      </c>
      <c r="S21" s="7">
        <f>S6/R6-1</f>
        <v>0.34000000000000008</v>
      </c>
      <c r="T21" s="7">
        <f>T6/S6-1</f>
        <v>0.34000000000000008</v>
      </c>
      <c r="U21" s="7">
        <f>U6/T6-1</f>
        <v>0.34000000000000008</v>
      </c>
      <c r="V21" s="7">
        <f>V6/U6-1</f>
        <v>0.34000000000000008</v>
      </c>
    </row>
    <row r="22" spans="1:143" x14ac:dyDescent="0.2">
      <c r="B22" s="1" t="s">
        <v>22</v>
      </c>
      <c r="G22" s="5">
        <f>G6/F6-1</f>
        <v>0.11898218829516538</v>
      </c>
      <c r="H22" s="5">
        <f t="shared" ref="H22:J22" si="26">H6/G6-1</f>
        <v>4.6025104602510414E-2</v>
      </c>
      <c r="I22" s="5">
        <f t="shared" si="26"/>
        <v>8.0000000000000071E-2</v>
      </c>
      <c r="J22" s="5">
        <f t="shared" si="26"/>
        <v>8.0000000000000071E-2</v>
      </c>
    </row>
    <row r="23" spans="1:143" x14ac:dyDescent="0.2">
      <c r="B23" s="1" t="s">
        <v>36</v>
      </c>
      <c r="C23" s="5">
        <f>C16/C15</f>
        <v>0.13878117946640431</v>
      </c>
      <c r="D23" s="5" t="e">
        <f t="shared" ref="D23:G23" si="27">D16/D15</f>
        <v>#DIV/0!</v>
      </c>
      <c r="E23" s="5" t="e">
        <f t="shared" si="27"/>
        <v>#DIV/0!</v>
      </c>
      <c r="F23" s="5">
        <f t="shared" si="27"/>
        <v>0</v>
      </c>
      <c r="G23" s="5">
        <f t="shared" si="27"/>
        <v>0.14364919354838709</v>
      </c>
      <c r="H23" s="13">
        <v>0.16500000000000001</v>
      </c>
      <c r="I23" s="13">
        <v>0.16500000000000001</v>
      </c>
      <c r="J23" s="13">
        <v>0.16500000000000001</v>
      </c>
      <c r="M23" s="5" t="e">
        <f>M16/M15</f>
        <v>#DIV/0!</v>
      </c>
      <c r="N23" s="5" t="e">
        <f t="shared" ref="N23:R23" si="28">N16/N15</f>
        <v>#DIV/0!</v>
      </c>
      <c r="O23" s="5">
        <f t="shared" si="28"/>
        <v>-3.379110950487893E-2</v>
      </c>
      <c r="P23" s="5">
        <f t="shared" si="28"/>
        <v>0.1199952687917677</v>
      </c>
      <c r="Q23" s="5">
        <f t="shared" si="28"/>
        <v>0.13264941803727417</v>
      </c>
      <c r="R23" s="5">
        <f t="shared" si="28"/>
        <v>0.16072481995422847</v>
      </c>
      <c r="S23" s="5">
        <v>0.17</v>
      </c>
      <c r="T23" s="5">
        <v>0.17</v>
      </c>
      <c r="U23" s="5">
        <v>0.17</v>
      </c>
      <c r="V23" s="5">
        <v>0.17</v>
      </c>
    </row>
    <row r="25" spans="1:143" s="3" customFormat="1" ht="15" x14ac:dyDescent="0.25">
      <c r="B25" s="3" t="s">
        <v>23</v>
      </c>
      <c r="C25" s="7">
        <f>C8/C6</f>
        <v>0.78352019659038552</v>
      </c>
      <c r="D25" s="7" t="e">
        <f t="shared" ref="D25:G25" si="29">D8/D6</f>
        <v>#DIV/0!</v>
      </c>
      <c r="E25" s="7" t="e">
        <f t="shared" si="29"/>
        <v>#DIV/0!</v>
      </c>
      <c r="F25" s="7">
        <f t="shared" si="29"/>
        <v>1</v>
      </c>
      <c r="G25" s="7">
        <f t="shared" si="29"/>
        <v>0.604466072403129</v>
      </c>
      <c r="H25" s="7">
        <v>0.72</v>
      </c>
      <c r="I25" s="7">
        <f>H25*1.02</f>
        <v>0.73439999999999994</v>
      </c>
      <c r="J25" s="7">
        <f>I25*1.02</f>
        <v>0.74908799999999998</v>
      </c>
      <c r="M25" s="7" t="e">
        <f>M8/M6</f>
        <v>#DIV/0!</v>
      </c>
      <c r="N25" s="7" t="e">
        <f>N8/N6</f>
        <v>#DIV/0!</v>
      </c>
      <c r="O25" s="7">
        <f>O8/O6</f>
        <v>0.56928894490991322</v>
      </c>
      <c r="P25" s="7">
        <f>P8/P6</f>
        <v>0.72717573290436954</v>
      </c>
      <c r="Q25" s="7">
        <f>Q8/Q6</f>
        <v>0.74988697058169917</v>
      </c>
      <c r="R25" s="7">
        <f>R8/R6</f>
        <v>0.70549157824514352</v>
      </c>
      <c r="S25" s="7">
        <v>0.74</v>
      </c>
      <c r="T25" s="7">
        <v>0.74</v>
      </c>
      <c r="U25" s="7">
        <v>0.74</v>
      </c>
      <c r="V25" s="7">
        <v>0.74</v>
      </c>
    </row>
    <row r="26" spans="1:143" ht="15" x14ac:dyDescent="0.25">
      <c r="A26" s="3"/>
      <c r="B26" s="1" t="s">
        <v>42</v>
      </c>
      <c r="C26" s="5">
        <f>C12/C6</f>
        <v>0.64924742743050223</v>
      </c>
      <c r="D26" s="5" t="e">
        <f t="shared" ref="D26:J26" si="30">D12/D6</f>
        <v>#DIV/0!</v>
      </c>
      <c r="E26" s="5" t="e">
        <f t="shared" si="30"/>
        <v>#DIV/0!</v>
      </c>
      <c r="F26" s="5">
        <f t="shared" si="30"/>
        <v>1</v>
      </c>
      <c r="G26" s="5">
        <f t="shared" si="30"/>
        <v>0.49008550118246313</v>
      </c>
      <c r="H26" s="5">
        <f t="shared" si="30"/>
        <v>0.55000000000000004</v>
      </c>
      <c r="I26" s="5">
        <f t="shared" si="30"/>
        <v>0.56440000000000001</v>
      </c>
      <c r="J26" s="5">
        <f t="shared" si="30"/>
        <v>0.57908799999999994</v>
      </c>
      <c r="M26" s="5"/>
      <c r="N26" s="5"/>
      <c r="O26" s="5">
        <f>O12/O6</f>
        <v>0.20675465262845702</v>
      </c>
      <c r="P26" s="5">
        <f>P12/P6</f>
        <v>0.54121663766783756</v>
      </c>
      <c r="Q26" s="5">
        <f>Q12/Q6</f>
        <v>0.62417526839697468</v>
      </c>
      <c r="R26" s="5">
        <f>R12/R6</f>
        <v>0.54814438947516531</v>
      </c>
      <c r="S26" s="5">
        <f>S12/S6</f>
        <v>0.57999999999999985</v>
      </c>
      <c r="T26" s="5">
        <f>T12/T6</f>
        <v>0.57999999999999996</v>
      </c>
      <c r="U26" s="5">
        <f>U12/U6</f>
        <v>0.57999999999999996</v>
      </c>
      <c r="V26" s="5">
        <f>V12/V6</f>
        <v>0.57999999999999996</v>
      </c>
    </row>
    <row r="27" spans="1:143" s="3" customFormat="1" ht="15" x14ac:dyDescent="0.25">
      <c r="B27" s="1" t="s">
        <v>49</v>
      </c>
      <c r="C27" s="5">
        <f>C11/C6</f>
        <v>0.13427276915988329</v>
      </c>
      <c r="D27" s="5" t="e">
        <f t="shared" ref="D27:G27" si="31">D11/D6</f>
        <v>#DIV/0!</v>
      </c>
      <c r="E27" s="5" t="e">
        <f t="shared" si="31"/>
        <v>#DIV/0!</v>
      </c>
      <c r="F27" s="5">
        <f t="shared" si="31"/>
        <v>0</v>
      </c>
      <c r="G27" s="5">
        <f t="shared" si="31"/>
        <v>0.11438057122066582</v>
      </c>
      <c r="H27" s="5">
        <v>0.17</v>
      </c>
      <c r="I27" s="5">
        <v>0.17</v>
      </c>
      <c r="J27" s="5">
        <v>0.17</v>
      </c>
      <c r="M27" s="7"/>
      <c r="N27" s="7"/>
      <c r="O27" s="5">
        <f>O11/O6</f>
        <v>0.36253429228145623</v>
      </c>
      <c r="P27" s="5">
        <f>P11/P6</f>
        <v>0.18595909523653195</v>
      </c>
      <c r="Q27" s="5">
        <f>Q11/Q6</f>
        <v>0.12571170218472455</v>
      </c>
      <c r="R27" s="5">
        <f>R11/R6</f>
        <v>0.15734718876997822</v>
      </c>
      <c r="S27" s="5">
        <v>0.16</v>
      </c>
      <c r="T27" s="5">
        <v>0.16</v>
      </c>
      <c r="U27" s="5">
        <v>0.16</v>
      </c>
      <c r="V27" s="5">
        <v>0.16</v>
      </c>
    </row>
    <row r="28" spans="1:143" s="3" customFormat="1" ht="15" x14ac:dyDescent="0.25">
      <c r="B28" s="1" t="s">
        <v>50</v>
      </c>
      <c r="H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30" spans="1:143" x14ac:dyDescent="0.2">
      <c r="B30" s="1" t="s">
        <v>28</v>
      </c>
      <c r="C30" s="1">
        <f>C32-C38</f>
        <v>44747</v>
      </c>
      <c r="G30" s="1">
        <f>G32-SUM(G38:G40)</f>
        <v>38822</v>
      </c>
      <c r="H30" s="1">
        <f>G30+H17</f>
        <v>60433.74555</v>
      </c>
      <c r="I30" s="1">
        <f t="shared" ref="I30:J30" si="32">H30+I17</f>
        <v>84603.570533013757</v>
      </c>
      <c r="J30" s="1">
        <f t="shared" si="32"/>
        <v>111607.19727525175</v>
      </c>
      <c r="Q30" s="1">
        <f>Q32-Q38</f>
        <v>30502</v>
      </c>
      <c r="R30" s="1">
        <f>Q30+R13</f>
        <v>33711.889741245206</v>
      </c>
      <c r="S30" s="1">
        <f>R30+S13</f>
        <v>35734.603125719921</v>
      </c>
      <c r="T30" s="1">
        <f>S30+T13</f>
        <v>37878.679313263114</v>
      </c>
      <c r="U30" s="1">
        <f>T30+U13</f>
        <v>40151.400072058903</v>
      </c>
      <c r="V30" s="1">
        <f>U30+V13</f>
        <v>42560.48407638244</v>
      </c>
    </row>
    <row r="31" spans="1:143" x14ac:dyDescent="0.2">
      <c r="R31" s="5"/>
      <c r="S31" s="5"/>
      <c r="T31" s="5"/>
      <c r="U31" s="5"/>
      <c r="V31" s="5"/>
    </row>
    <row r="32" spans="1:143" x14ac:dyDescent="0.2">
      <c r="B32" s="1" t="s">
        <v>4</v>
      </c>
      <c r="C32" s="1">
        <v>53210</v>
      </c>
      <c r="G32" s="1">
        <v>53691</v>
      </c>
      <c r="Q32" s="1">
        <f>8589+34621</f>
        <v>43210</v>
      </c>
    </row>
    <row r="33" spans="1:22" x14ac:dyDescent="0.2">
      <c r="B33" s="1" t="s">
        <v>29</v>
      </c>
      <c r="C33" s="1">
        <v>23065</v>
      </c>
      <c r="G33" s="1">
        <v>22132</v>
      </c>
    </row>
    <row r="34" spans="1:22" x14ac:dyDescent="0.2">
      <c r="B34" s="11" t="s">
        <v>69</v>
      </c>
      <c r="C34" s="1">
        <v>10080</v>
      </c>
      <c r="G34" s="1">
        <v>11333</v>
      </c>
    </row>
    <row r="35" spans="1:22" x14ac:dyDescent="0.2">
      <c r="B35" s="11" t="s">
        <v>75</v>
      </c>
    </row>
    <row r="37" spans="1:22" x14ac:dyDescent="0.2">
      <c r="B37" s="1" t="s">
        <v>30</v>
      </c>
    </row>
    <row r="38" spans="1:22" x14ac:dyDescent="0.2">
      <c r="B38" s="11" t="s">
        <v>5</v>
      </c>
      <c r="C38" s="1">
        <v>8463</v>
      </c>
      <c r="G38" s="1">
        <v>8464</v>
      </c>
      <c r="Q38" s="1">
        <f>8463+4245</f>
        <v>12708</v>
      </c>
    </row>
    <row r="39" spans="1:22" x14ac:dyDescent="0.2">
      <c r="B39" s="11" t="s">
        <v>70</v>
      </c>
      <c r="C39" s="1">
        <v>1519</v>
      </c>
      <c r="G39" s="1">
        <v>1521</v>
      </c>
    </row>
    <row r="40" spans="1:22" x14ac:dyDescent="0.2">
      <c r="B40" s="11" t="s">
        <v>71</v>
      </c>
      <c r="C40" s="1">
        <v>4245</v>
      </c>
      <c r="G40" s="1">
        <v>4884</v>
      </c>
    </row>
    <row r="41" spans="1:22" x14ac:dyDescent="0.2">
      <c r="B41" s="11" t="s">
        <v>74</v>
      </c>
    </row>
    <row r="42" spans="1:22" x14ac:dyDescent="0.2">
      <c r="B42" s="11" t="s">
        <v>73</v>
      </c>
    </row>
    <row r="43" spans="1:22" x14ac:dyDescent="0.2">
      <c r="B43" s="11" t="s">
        <v>72</v>
      </c>
    </row>
    <row r="44" spans="1:22" x14ac:dyDescent="0.2">
      <c r="B44" s="11"/>
    </row>
    <row r="45" spans="1:22" x14ac:dyDescent="0.2">
      <c r="B45" s="1" t="s">
        <v>37</v>
      </c>
      <c r="M45" s="1">
        <f>M17</f>
        <v>0</v>
      </c>
      <c r="N45" s="1">
        <f>N17</f>
        <v>0</v>
      </c>
      <c r="O45" s="1">
        <f>O17</f>
        <v>5721</v>
      </c>
      <c r="P45" s="1">
        <f>P17</f>
        <v>29760</v>
      </c>
      <c r="Q45" s="1">
        <f>Q17</f>
        <v>72880</v>
      </c>
      <c r="R45" s="1">
        <f>R17</f>
        <v>91474.197275251747</v>
      </c>
      <c r="S45" s="1">
        <f>S17</f>
        <v>126378.75169951399</v>
      </c>
      <c r="T45" s="1">
        <f>T17</f>
        <v>168877.44868679688</v>
      </c>
      <c r="U45" s="1">
        <f>U17</f>
        <v>225797.4979343228</v>
      </c>
      <c r="V45" s="1">
        <f>V17</f>
        <v>302040.46692764841</v>
      </c>
    </row>
    <row r="46" spans="1:22" x14ac:dyDescent="0.2">
      <c r="B46" s="1" t="s">
        <v>38</v>
      </c>
      <c r="O46" s="1">
        <v>4368</v>
      </c>
      <c r="P46" s="1">
        <v>29760</v>
      </c>
      <c r="Q46" s="1">
        <v>72880</v>
      </c>
    </row>
    <row r="47" spans="1:22" x14ac:dyDescent="0.2">
      <c r="B47" s="11" t="s">
        <v>77</v>
      </c>
      <c r="P47" s="1">
        <v>3549</v>
      </c>
      <c r="Q47" s="1">
        <v>4737</v>
      </c>
      <c r="R47" s="1">
        <f>Q47*1.2</f>
        <v>5684.4</v>
      </c>
      <c r="S47" s="1">
        <f t="shared" ref="S47:V47" si="33">R47*1.2</f>
        <v>6821.28</v>
      </c>
      <c r="T47" s="1">
        <f t="shared" si="33"/>
        <v>8185.5359999999991</v>
      </c>
      <c r="U47" s="1">
        <f t="shared" si="33"/>
        <v>9822.6431999999986</v>
      </c>
      <c r="V47" s="1">
        <f t="shared" si="33"/>
        <v>11787.171839999997</v>
      </c>
    </row>
    <row r="48" spans="1:22" s="3" customFormat="1" ht="15" x14ac:dyDescent="0.25">
      <c r="A48" s="1"/>
      <c r="B48" s="11" t="s">
        <v>78</v>
      </c>
      <c r="P48" s="11">
        <v>1508</v>
      </c>
      <c r="Q48" s="11">
        <v>1864</v>
      </c>
      <c r="R48" s="1">
        <f>Q48*(1+R21)</f>
        <v>2761.217388905492</v>
      </c>
      <c r="S48" s="1">
        <f t="shared" ref="S48:V48" si="34">R48*(1+S21)</f>
        <v>3700.0313011333596</v>
      </c>
      <c r="T48" s="1">
        <f t="shared" si="34"/>
        <v>4958.0419435187023</v>
      </c>
      <c r="U48" s="1">
        <f t="shared" si="34"/>
        <v>6643.7762043150615</v>
      </c>
      <c r="V48" s="1">
        <f t="shared" si="34"/>
        <v>8902.6601137821835</v>
      </c>
    </row>
    <row r="49" spans="1:125" x14ac:dyDescent="0.2">
      <c r="B49" s="11" t="s">
        <v>79</v>
      </c>
      <c r="P49" s="1">
        <v>-2489</v>
      </c>
      <c r="Q49" s="1">
        <v>-4477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125" x14ac:dyDescent="0.2">
      <c r="B50" s="11" t="s">
        <v>80</v>
      </c>
      <c r="P50" s="1">
        <v>-238</v>
      </c>
      <c r="Q50" s="1">
        <v>-1030</v>
      </c>
      <c r="R50" s="1">
        <v>180</v>
      </c>
      <c r="S50" s="1">
        <v>0</v>
      </c>
      <c r="T50" s="1">
        <v>0</v>
      </c>
      <c r="U50" s="1">
        <v>0</v>
      </c>
      <c r="V50" s="1">
        <v>0</v>
      </c>
    </row>
    <row r="51" spans="1:125" x14ac:dyDescent="0.2">
      <c r="B51" s="11" t="s">
        <v>16</v>
      </c>
      <c r="P51" s="1">
        <v>-278</v>
      </c>
      <c r="Q51" s="1">
        <v>-502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125" x14ac:dyDescent="0.2">
      <c r="B52" s="11" t="s">
        <v>29</v>
      </c>
      <c r="P52" s="1">
        <v>-6172</v>
      </c>
      <c r="Q52" s="1">
        <v>-13063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125" x14ac:dyDescent="0.2">
      <c r="B53" s="11" t="s">
        <v>69</v>
      </c>
      <c r="P53" s="1">
        <v>-98</v>
      </c>
      <c r="Q53" s="1">
        <v>-4781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125" x14ac:dyDescent="0.2">
      <c r="B54" s="11" t="s">
        <v>81</v>
      </c>
      <c r="P54" s="1">
        <v>-1522</v>
      </c>
      <c r="Q54" s="1">
        <v>-395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125" x14ac:dyDescent="0.2">
      <c r="B55" s="11" t="s">
        <v>30</v>
      </c>
      <c r="P55" s="1">
        <v>1531</v>
      </c>
      <c r="Q55" s="1">
        <v>3357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X55" s="1" t="s">
        <v>33</v>
      </c>
      <c r="Y55" s="6">
        <v>0.06</v>
      </c>
    </row>
    <row r="56" spans="1:125" x14ac:dyDescent="0.2">
      <c r="B56" s="11" t="s">
        <v>82</v>
      </c>
      <c r="P56" s="1">
        <v>2025</v>
      </c>
      <c r="Q56" s="1">
        <v>4278</v>
      </c>
      <c r="R56" s="1">
        <f>Q56*(1+R21)</f>
        <v>6337.1716683142131</v>
      </c>
      <c r="S56" s="1">
        <f t="shared" ref="S56:V56" si="35">R56*(1+S21)</f>
        <v>8491.8100355410461</v>
      </c>
      <c r="T56" s="1">
        <f t="shared" si="35"/>
        <v>11379.025447625003</v>
      </c>
      <c r="U56" s="1">
        <f t="shared" si="35"/>
        <v>15247.894099817504</v>
      </c>
      <c r="V56" s="1">
        <f t="shared" si="35"/>
        <v>20432.178093755458</v>
      </c>
      <c r="X56" s="1" t="s">
        <v>32</v>
      </c>
      <c r="Y56" s="6">
        <v>0.03</v>
      </c>
    </row>
    <row r="57" spans="1:125" x14ac:dyDescent="0.2">
      <c r="B57" s="11" t="s">
        <v>71</v>
      </c>
      <c r="P57" s="1">
        <v>514</v>
      </c>
      <c r="Q57" s="1">
        <v>1221</v>
      </c>
      <c r="R57" s="1">
        <f>Q57*(1+R21)</f>
        <v>1808.7158969171703</v>
      </c>
      <c r="S57" s="1">
        <f t="shared" ref="S57:V57" si="36">R57*(1+S21)</f>
        <v>2423.6793018690082</v>
      </c>
      <c r="T57" s="1">
        <f t="shared" si="36"/>
        <v>3247.7302645044711</v>
      </c>
      <c r="U57" s="1">
        <f t="shared" si="36"/>
        <v>4351.9585544359916</v>
      </c>
      <c r="V57" s="1">
        <f t="shared" si="36"/>
        <v>5831.624462944229</v>
      </c>
      <c r="X57" s="1" t="s">
        <v>34</v>
      </c>
      <c r="Y57" s="6">
        <v>9.5000000000000001E-2</v>
      </c>
    </row>
    <row r="58" spans="1:125" x14ac:dyDescent="0.2">
      <c r="B58" s="11" t="s">
        <v>52</v>
      </c>
      <c r="P58" s="1">
        <f>SUM(P46:P57)</f>
        <v>28090</v>
      </c>
      <c r="Q58" s="1">
        <f>SUM(Q46:Q57)</f>
        <v>64089</v>
      </c>
      <c r="R58" s="1">
        <f>SUM(R47:R57,R45)</f>
        <v>108245.70222938863</v>
      </c>
      <c r="S58" s="1">
        <f t="shared" ref="S58:V58" si="37">SUM(S47:S57,S45)</f>
        <v>147815.5523380574</v>
      </c>
      <c r="T58" s="1">
        <f t="shared" si="37"/>
        <v>196647.78234244505</v>
      </c>
      <c r="U58" s="1">
        <f t="shared" si="37"/>
        <v>261863.76999289135</v>
      </c>
      <c r="V58" s="1">
        <f t="shared" si="37"/>
        <v>348994.10143813025</v>
      </c>
      <c r="X58" s="1" t="s">
        <v>31</v>
      </c>
      <c r="Y58" s="1">
        <f>NPV(Y57,R63:DU63)+main!D5-main!D6</f>
        <v>4131664.7271371512</v>
      </c>
    </row>
    <row r="59" spans="1:125" x14ac:dyDescent="0.2">
      <c r="X59" s="1" t="s">
        <v>1</v>
      </c>
      <c r="Y59" s="1">
        <f>Y58/main!D3</f>
        <v>169.33052160398159</v>
      </c>
    </row>
    <row r="60" spans="1:125" x14ac:dyDescent="0.2">
      <c r="B60" s="11" t="s">
        <v>83</v>
      </c>
      <c r="P60" s="1">
        <v>-1069</v>
      </c>
      <c r="Q60" s="1">
        <v>-3236</v>
      </c>
      <c r="X60" s="1" t="s">
        <v>35</v>
      </c>
      <c r="Y60" s="5">
        <f>Y59/main!D2-1</f>
        <v>0.19246846199987044</v>
      </c>
    </row>
    <row r="61" spans="1:125" x14ac:dyDescent="0.2">
      <c r="B61" s="11" t="s">
        <v>84</v>
      </c>
      <c r="P61" s="1">
        <f>P60</f>
        <v>-1069</v>
      </c>
      <c r="Q61" s="1">
        <f>Q60</f>
        <v>-3236</v>
      </c>
      <c r="R61" s="1">
        <f>Q61*(1+R21)</f>
        <v>-4793.6155957608216</v>
      </c>
      <c r="S61" s="1">
        <f t="shared" ref="S61:V61" si="38">R61*(1+S21)</f>
        <v>-6423.4448983195016</v>
      </c>
      <c r="T61" s="1">
        <f t="shared" si="38"/>
        <v>-8607.416163748132</v>
      </c>
      <c r="U61" s="1">
        <f t="shared" si="38"/>
        <v>-11533.937659422498</v>
      </c>
      <c r="V61" s="1">
        <f t="shared" si="38"/>
        <v>-15455.476463626148</v>
      </c>
    </row>
    <row r="63" spans="1:125" s="3" customFormat="1" ht="15" x14ac:dyDescent="0.25">
      <c r="A63" s="1"/>
      <c r="B63" s="3" t="s">
        <v>53</v>
      </c>
      <c r="P63" s="3">
        <f>P58+P61</f>
        <v>27021</v>
      </c>
      <c r="Q63" s="3">
        <f>Q58+Q61</f>
        <v>60853</v>
      </c>
      <c r="R63" s="3">
        <f t="shared" ref="R63:V63" si="39">R58+R61</f>
        <v>103452.0866336278</v>
      </c>
      <c r="S63" s="3">
        <f t="shared" si="39"/>
        <v>141392.10743973791</v>
      </c>
      <c r="T63" s="3">
        <f t="shared" si="39"/>
        <v>188040.36617869692</v>
      </c>
      <c r="U63" s="3">
        <f t="shared" si="39"/>
        <v>250329.83233346886</v>
      </c>
      <c r="V63" s="3">
        <f t="shared" si="39"/>
        <v>333538.62497450411</v>
      </c>
      <c r="W63" s="3">
        <f>V63*(1+$Y$56)</f>
        <v>343544.78372373927</v>
      </c>
      <c r="X63" s="3">
        <f>W63*(1+$Y$56)</f>
        <v>353851.12723545148</v>
      </c>
      <c r="Y63" s="3">
        <f>X63*(1+$Y$56)</f>
        <v>364466.66105251503</v>
      </c>
      <c r="Z63" s="3">
        <f>Y63*(1+$Y$56)</f>
        <v>375400.66088409047</v>
      </c>
      <c r="AA63" s="3">
        <f>Z63*(1+$Y$56)</f>
        <v>386662.6807106132</v>
      </c>
      <c r="AB63" s="3">
        <f>AA63*(1+$Y$56)</f>
        <v>398262.56113193161</v>
      </c>
      <c r="AC63" s="3">
        <f>AB63*(1+$Y$56)</f>
        <v>410210.43796588958</v>
      </c>
      <c r="AD63" s="3">
        <f>AC63*(1+$Y$56)</f>
        <v>422516.75110486627</v>
      </c>
      <c r="AE63" s="3">
        <f>AD63*(1+$Y$56)</f>
        <v>435192.25363801228</v>
      </c>
      <c r="AF63" s="3">
        <f>AE63*(1+$Y$56)</f>
        <v>448248.02124715265</v>
      </c>
      <c r="AG63" s="3">
        <f>AF63*(1+$Y$56)</f>
        <v>461695.46188456722</v>
      </c>
      <c r="AH63" s="3">
        <f>AG63*(1+$Y$56)</f>
        <v>475546.32574110426</v>
      </c>
      <c r="AI63" s="3">
        <f>AH63*(1+$Y$56)</f>
        <v>489812.7155133374</v>
      </c>
      <c r="AJ63" s="3">
        <f>AI63*(1+$Y$56)</f>
        <v>504507.09697873757</v>
      </c>
      <c r="AK63" s="3">
        <f>AJ63*(1+$Y$56)</f>
        <v>519642.30988809973</v>
      </c>
      <c r="AL63" s="3">
        <f>AK63*(1+$Y$56)</f>
        <v>535231.57918474276</v>
      </c>
      <c r="AM63" s="3">
        <f>AL63*(1+$Y$56)</f>
        <v>551288.52656028501</v>
      </c>
      <c r="AN63" s="3">
        <f>AM63*(1+$Y$56)</f>
        <v>567827.18235709355</v>
      </c>
      <c r="AO63" s="3">
        <f>AN63*(1+$Y$56)</f>
        <v>584861.99782780639</v>
      </c>
      <c r="AP63" s="3">
        <f>AO63*(1+$Y$56)</f>
        <v>602407.85776264057</v>
      </c>
      <c r="AQ63" s="3">
        <f>AP63*(1+$Y$56)</f>
        <v>620480.09349551983</v>
      </c>
      <c r="AR63" s="3">
        <f>AQ63*(1+$Y$56)</f>
        <v>639094.49630038545</v>
      </c>
      <c r="AS63" s="3">
        <f>AR63*(1+$Y$56)</f>
        <v>658267.33118939702</v>
      </c>
      <c r="AT63" s="3">
        <f>AS63*(1+$Y$56)</f>
        <v>678015.35112507897</v>
      </c>
      <c r="AU63" s="3">
        <f>AT63*(1+$Y$56)</f>
        <v>698355.81165883131</v>
      </c>
      <c r="AV63" s="3">
        <f>AU63*(1+$Y$56)</f>
        <v>719306.48600859626</v>
      </c>
      <c r="AW63" s="3">
        <f>AV63*(1+$Y$56)</f>
        <v>740885.68058885413</v>
      </c>
      <c r="AX63" s="3">
        <f>AW63*(1+$Y$56)</f>
        <v>763112.25100651977</v>
      </c>
      <c r="AY63" s="3">
        <f>AX63*(1+$Y$56)</f>
        <v>786005.6185367154</v>
      </c>
      <c r="AZ63" s="3">
        <f>AY63*(1+$Y$56)</f>
        <v>809585.7870928169</v>
      </c>
      <c r="BA63" s="3">
        <f>AZ63*(1+$Y$56)</f>
        <v>833873.3607056014</v>
      </c>
      <c r="BB63" s="3">
        <f>BA63*(1+$Y$56)</f>
        <v>858889.56152676942</v>
      </c>
      <c r="BC63" s="3">
        <f>BB63*(1+$Y$56)</f>
        <v>884656.24837257247</v>
      </c>
      <c r="BD63" s="3">
        <f>BC63*(1+$Y$56)</f>
        <v>911195.93582374963</v>
      </c>
      <c r="BE63" s="3">
        <f>BD63*(1+$Y$56)</f>
        <v>938531.8138984621</v>
      </c>
      <c r="BF63" s="3">
        <f>BE63*(1+$Y$56)</f>
        <v>966687.76831541595</v>
      </c>
      <c r="BG63" s="3">
        <f>BF63*(1+$Y$56)</f>
        <v>995688.4013648784</v>
      </c>
      <c r="BH63" s="3">
        <f>BG63*(1+$Y$56)</f>
        <v>1025559.0534058248</v>
      </c>
      <c r="BI63" s="3">
        <f>BH63*(1+$Y$56)</f>
        <v>1056325.8250079995</v>
      </c>
      <c r="BJ63" s="3">
        <f>BI63*(1+$Y$56)</f>
        <v>1088015.5997582395</v>
      </c>
      <c r="BK63" s="3">
        <f>BJ63*(1+$Y$56)</f>
        <v>1120656.0677509867</v>
      </c>
      <c r="BL63" s="3">
        <f>BK63*(1+$Y$56)</f>
        <v>1154275.7497835164</v>
      </c>
      <c r="BM63" s="3">
        <f>BL63*(1+$Y$56)</f>
        <v>1188904.022277022</v>
      </c>
      <c r="BN63" s="3">
        <f>BM63*(1+$Y$56)</f>
        <v>1224571.1429453327</v>
      </c>
      <c r="BO63" s="3">
        <f>BN63*(1+$Y$56)</f>
        <v>1261308.2772336926</v>
      </c>
      <c r="BP63" s="3">
        <f>BO63*(1+$Y$56)</f>
        <v>1299147.5255507033</v>
      </c>
      <c r="BQ63" s="3">
        <f>BP63*(1+$Y$56)</f>
        <v>1338121.9513172244</v>
      </c>
      <c r="BR63" s="3">
        <f>BQ63*(1+$Y$56)</f>
        <v>1378265.6098567413</v>
      </c>
      <c r="BS63" s="3">
        <f>BR63*(1+$Y$56)</f>
        <v>1419613.5781524435</v>
      </c>
      <c r="BT63" s="3">
        <f>BS63*(1+$Y$56)</f>
        <v>1462201.9854970169</v>
      </c>
      <c r="BU63" s="3">
        <f>BT63*(1+$Y$56)</f>
        <v>1506068.0450619275</v>
      </c>
      <c r="BV63" s="3">
        <f>BU63*(1+$Y$56)</f>
        <v>1551250.0864137853</v>
      </c>
      <c r="BW63" s="3">
        <f>BV63*(1+$Y$56)</f>
        <v>1597787.589006199</v>
      </c>
      <c r="BX63" s="3">
        <f>BW63*(1+$Y$56)</f>
        <v>1645721.2166763851</v>
      </c>
      <c r="BY63" s="3">
        <f>BX63*(1+$Y$56)</f>
        <v>1695092.8531766767</v>
      </c>
      <c r="BZ63" s="3">
        <f>BY63*(1+$Y$56)</f>
        <v>1745945.638771977</v>
      </c>
      <c r="CA63" s="3">
        <f>BZ63*(1+$Y$56)</f>
        <v>1798324.0079351363</v>
      </c>
      <c r="CB63" s="3">
        <f>CA63*(1+$Y$56)</f>
        <v>1852273.7281731905</v>
      </c>
      <c r="CC63" s="3">
        <f>CB63*(1+$Y$56)</f>
        <v>1907841.9400183863</v>
      </c>
      <c r="CD63" s="3">
        <f>CC63*(1+$Y$56)</f>
        <v>1965077.198218938</v>
      </c>
      <c r="CE63" s="3">
        <f>CD63*(1+$Y$56)</f>
        <v>2024029.5141655062</v>
      </c>
      <c r="CF63" s="3">
        <f>CE63*(1+$Y$56)</f>
        <v>2084750.3995904715</v>
      </c>
      <c r="CG63" s="3">
        <f>CF63*(1+$Y$56)</f>
        <v>2147292.9115781859</v>
      </c>
      <c r="CH63" s="3">
        <f>CG63*(1+$Y$56)</f>
        <v>2211711.6989255315</v>
      </c>
      <c r="CI63" s="3">
        <f>CH63*(1+$Y$56)</f>
        <v>2278063.0498932973</v>
      </c>
      <c r="CJ63" s="3">
        <f>CI63*(1+$Y$56)</f>
        <v>2346404.9413900962</v>
      </c>
      <c r="CK63" s="3">
        <f>CJ63*(1+$Y$56)</f>
        <v>2416797.0896317991</v>
      </c>
      <c r="CL63" s="3">
        <f>CK63*(1+$Y$56)</f>
        <v>2489301.0023207534</v>
      </c>
      <c r="CM63" s="3">
        <f>CL63*(1+$Y$56)</f>
        <v>2563980.0323903761</v>
      </c>
      <c r="CN63" s="3">
        <f>CM63*(1+$Y$56)</f>
        <v>2640899.4333620872</v>
      </c>
      <c r="CO63" s="3">
        <f>CN63*(1+$Y$56)</f>
        <v>2720126.4163629501</v>
      </c>
      <c r="CP63" s="3">
        <f>CO63*(1+$Y$56)</f>
        <v>2801730.2088538385</v>
      </c>
      <c r="CQ63" s="3">
        <f>CP63*(1+$Y$56)</f>
        <v>2885782.1151194535</v>
      </c>
      <c r="CR63" s="3">
        <f>CQ63*(1+$Y$56)</f>
        <v>2972355.5785730374</v>
      </c>
      <c r="CS63" s="3">
        <f>CR63*(1+$Y$56)</f>
        <v>3061526.2459302284</v>
      </c>
      <c r="CT63" s="3">
        <f>CS63*(1+$Y$56)</f>
        <v>3153372.0333081353</v>
      </c>
      <c r="CU63" s="3">
        <f>CT63*(1+$Y$56)</f>
        <v>3247973.1943073794</v>
      </c>
      <c r="CV63" s="3">
        <f>CU63*(1+$Y$56)</f>
        <v>3345412.3901366009</v>
      </c>
      <c r="CW63" s="3">
        <f>CV63*(1+$Y$56)</f>
        <v>3445774.7618406992</v>
      </c>
      <c r="CX63" s="3">
        <f>CW63*(1+$Y$56)</f>
        <v>3549148.0046959203</v>
      </c>
      <c r="CY63" s="3">
        <f>CX63*(1+$Y$56)</f>
        <v>3655622.4448367981</v>
      </c>
      <c r="CZ63" s="3">
        <f>CY63*(1+$Y$56)</f>
        <v>3765291.118181902</v>
      </c>
      <c r="DA63" s="3">
        <f>CZ63*(1+$Y$56)</f>
        <v>3878249.851727359</v>
      </c>
      <c r="DB63" s="3">
        <f>DA63*(1+$Y$56)</f>
        <v>3994597.3472791798</v>
      </c>
      <c r="DC63" s="3">
        <f>DB63*(1+$Y$56)</f>
        <v>4114435.2676975555</v>
      </c>
      <c r="DD63" s="3">
        <f>DC63*(1+$Y$56)</f>
        <v>4237868.3257284826</v>
      </c>
      <c r="DE63" s="3">
        <f>DD63*(1+$Y$56)</f>
        <v>4365004.3755003372</v>
      </c>
      <c r="DF63" s="3">
        <f>DE63*(1+$Y$56)</f>
        <v>4495954.5067653479</v>
      </c>
      <c r="DG63" s="3">
        <f>DF63*(1+$Y$56)</f>
        <v>4630833.141968308</v>
      </c>
      <c r="DH63" s="3">
        <f>DG63*(1+$Y$56)</f>
        <v>4769758.1362273572</v>
      </c>
      <c r="DI63" s="3">
        <f>DH63*(1+$Y$56)</f>
        <v>4912850.8803141778</v>
      </c>
      <c r="DJ63" s="3">
        <f>DI63*(1+$Y$56)</f>
        <v>5060236.4067236036</v>
      </c>
      <c r="DK63" s="3">
        <f>DJ63*(1+$Y$56)</f>
        <v>5212043.4989253115</v>
      </c>
      <c r="DL63" s="3">
        <f>DK63*(1+$Y$56)</f>
        <v>5368404.8038930707</v>
      </c>
      <c r="DM63" s="3">
        <f>DL63*(1+$Y$56)</f>
        <v>5529456.9480098626</v>
      </c>
      <c r="DN63" s="3">
        <f>DM63*(1+$Y$56)</f>
        <v>5695340.6564501589</v>
      </c>
      <c r="DO63" s="3">
        <f>DN63*(1+$Y$56)</f>
        <v>5866200.8761436641</v>
      </c>
      <c r="DP63" s="3">
        <f>DO63*(1+$Y$56)</f>
        <v>6042186.9024279742</v>
      </c>
      <c r="DQ63" s="3">
        <f>DP63*(1+$Y$56)</f>
        <v>6223452.5095008137</v>
      </c>
      <c r="DR63" s="3">
        <f>DQ63*(1+$Y$56)</f>
        <v>6410156.0847858386</v>
      </c>
      <c r="DS63" s="3">
        <f>DR63*(1+$Y$56)</f>
        <v>6602460.7673294144</v>
      </c>
      <c r="DT63" s="3">
        <f>DS63*(1+$Y$56)</f>
        <v>6800534.590349297</v>
      </c>
      <c r="DU63" s="3">
        <f>DT63*(1+$Y$56)</f>
        <v>7004550.6280597765</v>
      </c>
    </row>
  </sheetData>
  <hyperlinks>
    <hyperlink ref="A1" location="Sheet1!A1" display="Main" xr:uid="{B4B00122-8A85-4496-941B-16C16C07E4D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2025-05-29T00:31:32Z</dcterms:modified>
</cp:coreProperties>
</file>