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98B56DA-6B12-4265-8951-65241B9CF24A}" xr6:coauthVersionLast="47" xr6:coauthVersionMax="47" xr10:uidLastSave="{00000000-0000-0000-0000-000000000000}"/>
  <bookViews>
    <workbookView xWindow="2535" yWindow="240" windowWidth="20010" windowHeight="14175" activeTab="1" xr2:uid="{CC150222-A64E-41A9-970B-115CAE7D1B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" l="1"/>
  <c r="P9" i="2"/>
  <c r="Q9" i="2"/>
  <c r="R9" i="2" s="1"/>
  <c r="S9" i="2" s="1"/>
  <c r="N9" i="2"/>
  <c r="N99" i="2"/>
  <c r="P96" i="2"/>
  <c r="N96" i="2"/>
  <c r="N100" i="2"/>
  <c r="P92" i="2"/>
  <c r="Q92" i="2"/>
  <c r="O92" i="2"/>
  <c r="P97" i="2"/>
  <c r="Q97" i="2"/>
  <c r="R97" i="2"/>
  <c r="S97" i="2"/>
  <c r="T97" i="2" s="1"/>
  <c r="U97" i="2" s="1"/>
  <c r="V97" i="2" s="1"/>
  <c r="W97" i="2" s="1"/>
  <c r="O97" i="2"/>
  <c r="R107" i="2"/>
  <c r="S107" i="2" s="1"/>
  <c r="T107" i="2" s="1"/>
  <c r="U107" i="2" s="1"/>
  <c r="V107" i="2" s="1"/>
  <c r="W107" i="2" s="1"/>
  <c r="S11" i="2"/>
  <c r="T11" i="2" s="1"/>
  <c r="U11" i="2" s="1"/>
  <c r="V11" i="2" s="1"/>
  <c r="R11" i="2"/>
  <c r="O11" i="2"/>
  <c r="P11" i="2" s="1"/>
  <c r="N11" i="2"/>
  <c r="S3" i="2"/>
  <c r="T3" i="2"/>
  <c r="U3" i="2"/>
  <c r="V3" i="2"/>
  <c r="S4" i="2"/>
  <c r="T4" i="2"/>
  <c r="U4" i="2"/>
  <c r="V4" i="2"/>
  <c r="S93" i="2"/>
  <c r="T93" i="2"/>
  <c r="U93" i="2"/>
  <c r="V93" i="2"/>
  <c r="S94" i="2"/>
  <c r="T94" i="2" s="1"/>
  <c r="S95" i="2"/>
  <c r="T95" i="2"/>
  <c r="U95" i="2"/>
  <c r="V95" i="2"/>
  <c r="S98" i="2"/>
  <c r="T98" i="2"/>
  <c r="U98" i="2"/>
  <c r="V98" i="2"/>
  <c r="S101" i="2"/>
  <c r="T101" i="2"/>
  <c r="U101" i="2"/>
  <c r="V101" i="2"/>
  <c r="S102" i="2"/>
  <c r="T102" i="2"/>
  <c r="U102" i="2"/>
  <c r="V102" i="2"/>
  <c r="S104" i="2"/>
  <c r="T104" i="2"/>
  <c r="U104" i="2"/>
  <c r="V104" i="2"/>
  <c r="S105" i="2"/>
  <c r="T105" i="2"/>
  <c r="U105" i="2"/>
  <c r="V105" i="2"/>
  <c r="S108" i="2"/>
  <c r="T108" i="2"/>
  <c r="U108" i="2"/>
  <c r="V108" i="2"/>
  <c r="S109" i="2"/>
  <c r="T109" i="2"/>
  <c r="U109" i="2"/>
  <c r="V109" i="2"/>
  <c r="S110" i="2"/>
  <c r="T110" i="2" s="1"/>
  <c r="U110" i="2" s="1"/>
  <c r="V110" i="2" s="1"/>
  <c r="S111" i="2"/>
  <c r="T111" i="2"/>
  <c r="U111" i="2"/>
  <c r="V111" i="2"/>
  <c r="S40" i="2"/>
  <c r="T40" i="2"/>
  <c r="U40" i="2"/>
  <c r="V40" i="2"/>
  <c r="S46" i="2"/>
  <c r="T46" i="2"/>
  <c r="U46" i="2"/>
  <c r="V46" i="2"/>
  <c r="W46" i="2"/>
  <c r="S47" i="2"/>
  <c r="T47" i="2"/>
  <c r="U47" i="2"/>
  <c r="V47" i="2"/>
  <c r="W47" i="2"/>
  <c r="S48" i="2"/>
  <c r="T48" i="2"/>
  <c r="U48" i="2"/>
  <c r="V48" i="2"/>
  <c r="W48" i="2"/>
  <c r="S27" i="2"/>
  <c r="T27" i="2" s="1"/>
  <c r="S28" i="2"/>
  <c r="S50" i="2" s="1"/>
  <c r="S29" i="2"/>
  <c r="S31" i="2" s="1"/>
  <c r="S30" i="2"/>
  <c r="T30" i="2" s="1"/>
  <c r="U30" i="2" s="1"/>
  <c r="R26" i="2"/>
  <c r="Q26" i="2"/>
  <c r="P26" i="2"/>
  <c r="O26" i="2"/>
  <c r="N26" i="2"/>
  <c r="W22" i="2"/>
  <c r="W23" i="2"/>
  <c r="M56" i="2"/>
  <c r="L56" i="2"/>
  <c r="M55" i="2"/>
  <c r="L55" i="2"/>
  <c r="N107" i="2"/>
  <c r="O107" i="2" s="1"/>
  <c r="P107" i="2" s="1"/>
  <c r="Q107" i="2" s="1"/>
  <c r="C52" i="2"/>
  <c r="D52" i="2"/>
  <c r="E52" i="2"/>
  <c r="F52" i="2"/>
  <c r="B52" i="2"/>
  <c r="N97" i="2"/>
  <c r="K112" i="2"/>
  <c r="M110" i="2"/>
  <c r="M112" i="2" s="1"/>
  <c r="L110" i="2"/>
  <c r="L109" i="2"/>
  <c r="M92" i="2"/>
  <c r="L92" i="2"/>
  <c r="K92" i="2"/>
  <c r="T9" i="2" l="1"/>
  <c r="S44" i="2"/>
  <c r="S2" i="2"/>
  <c r="S5" i="2" s="1"/>
  <c r="W26" i="2"/>
  <c r="W40" i="2" s="1"/>
  <c r="W111" i="2" s="1"/>
  <c r="U45" i="2"/>
  <c r="S45" i="2"/>
  <c r="T45" i="2"/>
  <c r="U94" i="2"/>
  <c r="V112" i="2"/>
  <c r="U112" i="2"/>
  <c r="T112" i="2"/>
  <c r="S112" i="2"/>
  <c r="V30" i="2"/>
  <c r="T29" i="2"/>
  <c r="U29" i="2" s="1"/>
  <c r="V29" i="2" s="1"/>
  <c r="T31" i="2"/>
  <c r="V31" i="2"/>
  <c r="S32" i="2"/>
  <c r="T28" i="2"/>
  <c r="U27" i="2"/>
  <c r="U31" i="2"/>
  <c r="S26" i="2"/>
  <c r="T26" i="2" s="1"/>
  <c r="U26" i="2" s="1"/>
  <c r="V26" i="2" s="1"/>
  <c r="L112" i="2"/>
  <c r="M68" i="2"/>
  <c r="M70" i="2" s="1"/>
  <c r="M74" i="2" s="1"/>
  <c r="L68" i="2"/>
  <c r="L70" i="2" s="1"/>
  <c r="L74" i="2" s="1"/>
  <c r="M84" i="2"/>
  <c r="L84" i="2"/>
  <c r="M54" i="2"/>
  <c r="L54" i="2"/>
  <c r="T44" i="2" l="1"/>
  <c r="T2" i="2"/>
  <c r="T5" i="2" s="1"/>
  <c r="U9" i="2"/>
  <c r="W110" i="2"/>
  <c r="W98" i="2"/>
  <c r="W3" i="2"/>
  <c r="W30" i="2"/>
  <c r="W31" i="2" s="1"/>
  <c r="W105" i="2"/>
  <c r="W4" i="2"/>
  <c r="W5" i="2" s="1"/>
  <c r="W109" i="2"/>
  <c r="W101" i="2"/>
  <c r="W95" i="2"/>
  <c r="W104" i="2"/>
  <c r="W93" i="2"/>
  <c r="W108" i="2"/>
  <c r="W102" i="2"/>
  <c r="W29" i="2"/>
  <c r="W2" i="2"/>
  <c r="V45" i="2"/>
  <c r="W45" i="2"/>
  <c r="V94" i="2"/>
  <c r="S51" i="2"/>
  <c r="T32" i="2"/>
  <c r="T50" i="2"/>
  <c r="V27" i="2"/>
  <c r="U28" i="2"/>
  <c r="L85" i="2"/>
  <c r="L86" i="2" s="1"/>
  <c r="M85" i="2"/>
  <c r="M86" i="2" s="1"/>
  <c r="F55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M44" i="2"/>
  <c r="M45" i="2"/>
  <c r="M46" i="2"/>
  <c r="M47" i="2"/>
  <c r="M48" i="2"/>
  <c r="M18" i="2"/>
  <c r="L18" i="2"/>
  <c r="M16" i="2"/>
  <c r="L16" i="2"/>
  <c r="M15" i="2"/>
  <c r="L15" i="2"/>
  <c r="M14" i="2"/>
  <c r="L14" i="2"/>
  <c r="M13" i="2"/>
  <c r="L13" i="2"/>
  <c r="L10" i="2"/>
  <c r="M10" i="2"/>
  <c r="M25" i="2"/>
  <c r="L25" i="2"/>
  <c r="G26" i="2"/>
  <c r="F56" i="2"/>
  <c r="F58" i="2"/>
  <c r="D41" i="2"/>
  <c r="E41" i="2"/>
  <c r="F41" i="2"/>
  <c r="C41" i="2"/>
  <c r="F40" i="2"/>
  <c r="L31" i="2"/>
  <c r="M31" i="2"/>
  <c r="K31" i="2"/>
  <c r="K28" i="2"/>
  <c r="K50" i="2" s="1"/>
  <c r="C28" i="2"/>
  <c r="C50" i="2" s="1"/>
  <c r="D28" i="2"/>
  <c r="D50" i="2" s="1"/>
  <c r="E28" i="2"/>
  <c r="E50" i="2" s="1"/>
  <c r="C31" i="2"/>
  <c r="D31" i="2"/>
  <c r="E31" i="2"/>
  <c r="B31" i="2"/>
  <c r="B28" i="2"/>
  <c r="B50" i="2" s="1"/>
  <c r="F31" i="2"/>
  <c r="F28" i="2"/>
  <c r="F50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E6" i="1"/>
  <c r="E5" i="1"/>
  <c r="E4" i="1"/>
  <c r="E7" i="1" s="1"/>
  <c r="U44" i="2" l="1"/>
  <c r="U2" i="2"/>
  <c r="U5" i="2" s="1"/>
  <c r="V9" i="2"/>
  <c r="W112" i="2"/>
  <c r="W94" i="2"/>
  <c r="U32" i="2"/>
  <c r="U50" i="2"/>
  <c r="T51" i="2"/>
  <c r="V28" i="2"/>
  <c r="W27" i="2"/>
  <c r="W28" i="2" s="1"/>
  <c r="H26" i="2"/>
  <c r="G52" i="2"/>
  <c r="F54" i="2"/>
  <c r="M26" i="2"/>
  <c r="L26" i="2"/>
  <c r="G33" i="2"/>
  <c r="G40" i="2"/>
  <c r="G41" i="2"/>
  <c r="E32" i="2"/>
  <c r="E34" i="2" s="1"/>
  <c r="C32" i="2"/>
  <c r="C51" i="2" s="1"/>
  <c r="D32" i="2"/>
  <c r="D34" i="2" s="1"/>
  <c r="F32" i="2"/>
  <c r="K32" i="2"/>
  <c r="B32" i="2"/>
  <c r="V44" i="2" l="1"/>
  <c r="W44" i="2"/>
  <c r="V2" i="2"/>
  <c r="V5" i="2" s="1"/>
  <c r="W32" i="2"/>
  <c r="W50" i="2"/>
  <c r="V32" i="2"/>
  <c r="V50" i="2"/>
  <c r="U51" i="2"/>
  <c r="M4" i="2"/>
  <c r="M2" i="2"/>
  <c r="M3" i="2"/>
  <c r="I26" i="2"/>
  <c r="I52" i="2" s="1"/>
  <c r="H52" i="2"/>
  <c r="L28" i="2"/>
  <c r="L88" i="2"/>
  <c r="M88" i="2"/>
  <c r="M40" i="2"/>
  <c r="L40" i="2"/>
  <c r="L32" i="2"/>
  <c r="L34" i="2" s="1"/>
  <c r="L36" i="2" s="1"/>
  <c r="L50" i="2"/>
  <c r="L3" i="2"/>
  <c r="L2" i="2"/>
  <c r="L4" i="2"/>
  <c r="M28" i="2"/>
  <c r="E51" i="2"/>
  <c r="D51" i="2"/>
  <c r="G27" i="2"/>
  <c r="G30" i="2"/>
  <c r="G29" i="2"/>
  <c r="C34" i="2"/>
  <c r="C42" i="2" s="1"/>
  <c r="H41" i="2"/>
  <c r="H40" i="2"/>
  <c r="F34" i="2"/>
  <c r="F51" i="2"/>
  <c r="D36" i="2"/>
  <c r="D38" i="2" s="1"/>
  <c r="D42" i="2"/>
  <c r="B34" i="2"/>
  <c r="B51" i="2"/>
  <c r="E36" i="2"/>
  <c r="E38" i="2" s="1"/>
  <c r="E42" i="2"/>
  <c r="K34" i="2"/>
  <c r="K51" i="2"/>
  <c r="V51" i="2" l="1"/>
  <c r="W51" i="2"/>
  <c r="L42" i="2"/>
  <c r="N3" i="2"/>
  <c r="N4" i="2"/>
  <c r="N2" i="2"/>
  <c r="L51" i="2"/>
  <c r="L37" i="2"/>
  <c r="L90" i="2"/>
  <c r="L106" i="2" s="1"/>
  <c r="L113" i="2" s="1"/>
  <c r="L52" i="2" s="1"/>
  <c r="M5" i="2"/>
  <c r="C36" i="2"/>
  <c r="C38" i="2" s="1"/>
  <c r="M50" i="2"/>
  <c r="M32" i="2"/>
  <c r="L5" i="2"/>
  <c r="H29" i="2"/>
  <c r="G31" i="2"/>
  <c r="H30" i="2"/>
  <c r="H27" i="2"/>
  <c r="G28" i="2"/>
  <c r="N40" i="2"/>
  <c r="I40" i="2"/>
  <c r="I41" i="2"/>
  <c r="K36" i="2"/>
  <c r="K42" i="2"/>
  <c r="B36" i="2"/>
  <c r="B38" i="2" s="1"/>
  <c r="B42" i="2"/>
  <c r="F36" i="2"/>
  <c r="F38" i="2" s="1"/>
  <c r="F42" i="2"/>
  <c r="O3" i="2" l="1"/>
  <c r="O2" i="2"/>
  <c r="O4" i="2"/>
  <c r="N5" i="2"/>
  <c r="N101" i="2"/>
  <c r="N98" i="2"/>
  <c r="N109" i="2"/>
  <c r="N95" i="2"/>
  <c r="N108" i="2"/>
  <c r="N102" i="2"/>
  <c r="N111" i="2"/>
  <c r="N94" i="2"/>
  <c r="N110" i="2"/>
  <c r="N93" i="2"/>
  <c r="O93" i="2" s="1"/>
  <c r="N105" i="2"/>
  <c r="O105" i="2" s="1"/>
  <c r="N104" i="2"/>
  <c r="O104" i="2" s="1"/>
  <c r="N92" i="2"/>
  <c r="K37" i="2"/>
  <c r="K90" i="2"/>
  <c r="K106" i="2" s="1"/>
  <c r="K113" i="2" s="1"/>
  <c r="K52" i="2" s="1"/>
  <c r="M51" i="2"/>
  <c r="M34" i="2"/>
  <c r="G50" i="2"/>
  <c r="G32" i="2"/>
  <c r="I27" i="2"/>
  <c r="H28" i="2"/>
  <c r="I30" i="2"/>
  <c r="N30" i="2" s="1"/>
  <c r="I29" i="2"/>
  <c r="I31" i="2" s="1"/>
  <c r="H31" i="2"/>
  <c r="O40" i="2"/>
  <c r="O5" i="2" l="1"/>
  <c r="P2" i="2"/>
  <c r="P3" i="2"/>
  <c r="P4" i="2"/>
  <c r="O110" i="2"/>
  <c r="O108" i="2"/>
  <c r="N112" i="2"/>
  <c r="O103" i="2"/>
  <c r="O94" i="2"/>
  <c r="O111" i="2"/>
  <c r="O102" i="2"/>
  <c r="O95" i="2"/>
  <c r="O96" i="2"/>
  <c r="O109" i="2"/>
  <c r="O98" i="2"/>
  <c r="P98" i="2" s="1"/>
  <c r="O99" i="2"/>
  <c r="O100" i="2"/>
  <c r="O101" i="2"/>
  <c r="M36" i="2"/>
  <c r="M42" i="2"/>
  <c r="N29" i="2"/>
  <c r="O29" i="2" s="1"/>
  <c r="O30" i="2"/>
  <c r="H50" i="2"/>
  <c r="H32" i="2"/>
  <c r="H51" i="2" s="1"/>
  <c r="I28" i="2"/>
  <c r="N27" i="2"/>
  <c r="G34" i="2"/>
  <c r="G51" i="2"/>
  <c r="P40" i="2"/>
  <c r="P100" i="2" l="1"/>
  <c r="P99" i="2"/>
  <c r="P5" i="2"/>
  <c r="Q2" i="2"/>
  <c r="Q3" i="2"/>
  <c r="Q4" i="2"/>
  <c r="P110" i="2"/>
  <c r="P102" i="2"/>
  <c r="P95" i="2"/>
  <c r="P105" i="2"/>
  <c r="P109" i="2"/>
  <c r="P111" i="2"/>
  <c r="P94" i="2"/>
  <c r="P103" i="2"/>
  <c r="P93" i="2"/>
  <c r="P104" i="2"/>
  <c r="P101" i="2"/>
  <c r="P108" i="2"/>
  <c r="O112" i="2"/>
  <c r="M37" i="2"/>
  <c r="M90" i="2"/>
  <c r="M106" i="2" s="1"/>
  <c r="M113" i="2" s="1"/>
  <c r="M52" i="2" s="1"/>
  <c r="P30" i="2"/>
  <c r="N31" i="2"/>
  <c r="G35" i="2"/>
  <c r="G36" i="2" s="1"/>
  <c r="I50" i="2"/>
  <c r="I32" i="2"/>
  <c r="I51" i="2" s="1"/>
  <c r="P29" i="2"/>
  <c r="O31" i="2"/>
  <c r="O27" i="2"/>
  <c r="N28" i="2"/>
  <c r="Q40" i="2"/>
  <c r="Q101" i="2" l="1"/>
  <c r="Q5" i="2"/>
  <c r="R3" i="2"/>
  <c r="R4" i="2"/>
  <c r="R2" i="2"/>
  <c r="Q30" i="2"/>
  <c r="Q93" i="2"/>
  <c r="Q111" i="2"/>
  <c r="Q94" i="2"/>
  <c r="Q108" i="2"/>
  <c r="P112" i="2"/>
  <c r="Q104" i="2"/>
  <c r="Q103" i="2"/>
  <c r="Q109" i="2"/>
  <c r="Q99" i="2"/>
  <c r="Q105" i="2"/>
  <c r="Q95" i="2"/>
  <c r="Q96" i="2"/>
  <c r="Q98" i="2"/>
  <c r="Q102" i="2"/>
  <c r="Q100" i="2"/>
  <c r="Q110" i="2"/>
  <c r="P27" i="2"/>
  <c r="O28" i="2"/>
  <c r="Q29" i="2"/>
  <c r="P31" i="2"/>
  <c r="N32" i="2"/>
  <c r="N51" i="2" s="1"/>
  <c r="N50" i="2"/>
  <c r="G38" i="2"/>
  <c r="G54" i="2"/>
  <c r="R40" i="2"/>
  <c r="R30" i="2" s="1"/>
  <c r="R5" i="2" l="1"/>
  <c r="R95" i="2"/>
  <c r="R92" i="2"/>
  <c r="S92" i="2" s="1"/>
  <c r="T92" i="2" s="1"/>
  <c r="U92" i="2" s="1"/>
  <c r="V92" i="2" s="1"/>
  <c r="W92" i="2" s="1"/>
  <c r="R102" i="2"/>
  <c r="R98" i="2"/>
  <c r="R96" i="2"/>
  <c r="S96" i="2" s="1"/>
  <c r="T96" i="2" s="1"/>
  <c r="U96" i="2" s="1"/>
  <c r="V96" i="2" s="1"/>
  <c r="W96" i="2" s="1"/>
  <c r="R105" i="2"/>
  <c r="R109" i="2"/>
  <c r="R103" i="2"/>
  <c r="S103" i="2" s="1"/>
  <c r="T103" i="2" s="1"/>
  <c r="U103" i="2" s="1"/>
  <c r="V103" i="2" s="1"/>
  <c r="W103" i="2" s="1"/>
  <c r="R99" i="2"/>
  <c r="S99" i="2" s="1"/>
  <c r="T99" i="2" s="1"/>
  <c r="U99" i="2" s="1"/>
  <c r="V99" i="2" s="1"/>
  <c r="W99" i="2" s="1"/>
  <c r="R104" i="2"/>
  <c r="R108" i="2"/>
  <c r="Q112" i="2"/>
  <c r="R94" i="2"/>
  <c r="R111" i="2"/>
  <c r="R110" i="2"/>
  <c r="R93" i="2"/>
  <c r="R100" i="2"/>
  <c r="S100" i="2" s="1"/>
  <c r="T100" i="2" s="1"/>
  <c r="U100" i="2" s="1"/>
  <c r="V100" i="2" s="1"/>
  <c r="W100" i="2" s="1"/>
  <c r="R101" i="2"/>
  <c r="H33" i="2"/>
  <c r="R29" i="2"/>
  <c r="R31" i="2" s="1"/>
  <c r="Q31" i="2"/>
  <c r="O32" i="2"/>
  <c r="O51" i="2" s="1"/>
  <c r="O50" i="2"/>
  <c r="Q27" i="2"/>
  <c r="P28" i="2"/>
  <c r="R112" i="2" l="1"/>
  <c r="R27" i="2"/>
  <c r="R28" i="2" s="1"/>
  <c r="Q28" i="2"/>
  <c r="P50" i="2"/>
  <c r="P32" i="2"/>
  <c r="P51" i="2" s="1"/>
  <c r="H34" i="2"/>
  <c r="H35" i="2" l="1"/>
  <c r="H36" i="2" s="1"/>
  <c r="Q50" i="2"/>
  <c r="Q32" i="2"/>
  <c r="Q51" i="2" s="1"/>
  <c r="R32" i="2"/>
  <c r="R51" i="2" s="1"/>
  <c r="R50" i="2"/>
  <c r="H38" i="2" l="1"/>
  <c r="H54" i="2"/>
  <c r="I33" i="2" l="1"/>
  <c r="I34" i="2" l="1"/>
  <c r="N33" i="2"/>
  <c r="N34" i="2" s="1"/>
  <c r="I35" i="2" l="1"/>
  <c r="N35" i="2" s="1"/>
  <c r="N36" i="2" s="1"/>
  <c r="N90" i="2" s="1"/>
  <c r="N106" i="2" s="1"/>
  <c r="N113" i="2" s="1"/>
  <c r="N52" i="2" s="1"/>
  <c r="I36" i="2" l="1"/>
  <c r="I38" i="2" s="1"/>
  <c r="N38" i="2"/>
  <c r="I54" i="2" l="1"/>
  <c r="N54" i="2" s="1"/>
  <c r="O33" i="2" s="1"/>
  <c r="O34" i="2" s="1"/>
  <c r="O35" i="2" l="1"/>
  <c r="O36" i="2" s="1"/>
  <c r="O90" i="2" s="1"/>
  <c r="O106" i="2" s="1"/>
  <c r="O113" i="2" s="1"/>
  <c r="O52" i="2" s="1"/>
  <c r="O38" i="2" l="1"/>
  <c r="O54" i="2"/>
  <c r="P33" i="2" l="1"/>
  <c r="P34" i="2" s="1"/>
  <c r="P35" i="2" s="1"/>
  <c r="P36" i="2" s="1"/>
  <c r="P54" i="2" l="1"/>
  <c r="Q33" i="2" s="1"/>
  <c r="Q34" i="2" s="1"/>
  <c r="Q35" i="2" s="1"/>
  <c r="Q36" i="2" s="1"/>
  <c r="P90" i="2"/>
  <c r="P106" i="2" s="1"/>
  <c r="P113" i="2" s="1"/>
  <c r="P52" i="2" s="1"/>
  <c r="P38" i="2"/>
  <c r="Q54" i="2" l="1"/>
  <c r="R33" i="2" s="1"/>
  <c r="R34" i="2" s="1"/>
  <c r="R35" i="2" s="1"/>
  <c r="R36" i="2" s="1"/>
  <c r="Q90" i="2"/>
  <c r="Q106" i="2" s="1"/>
  <c r="Q113" i="2" s="1"/>
  <c r="Q52" i="2" s="1"/>
  <c r="R54" i="2"/>
  <c r="R38" i="2"/>
  <c r="Q38" i="2"/>
  <c r="S33" i="2" l="1"/>
  <c r="S34" i="2" s="1"/>
  <c r="R90" i="2"/>
  <c r="R106" i="2" s="1"/>
  <c r="R113" i="2" s="1"/>
  <c r="S35" i="2" l="1"/>
  <c r="S36" i="2" s="1"/>
  <c r="S90" i="2" s="1"/>
  <c r="S106" i="2" s="1"/>
  <c r="S113" i="2" s="1"/>
  <c r="R52" i="2"/>
  <c r="S38" i="2" l="1"/>
  <c r="S54" i="2"/>
  <c r="S52" i="2"/>
  <c r="T33" i="2" l="1"/>
  <c r="T34" i="2" s="1"/>
  <c r="T35" i="2" s="1"/>
  <c r="T36" i="2" s="1"/>
  <c r="T54" i="2" s="1"/>
  <c r="T38" i="2" l="1"/>
  <c r="T90" i="2"/>
  <c r="T106" i="2" s="1"/>
  <c r="T113" i="2" s="1"/>
  <c r="T52" i="2" s="1"/>
  <c r="U33" i="2"/>
  <c r="U34" i="2" s="1"/>
  <c r="U35" i="2" l="1"/>
  <c r="U36" i="2"/>
  <c r="U90" i="2" s="1"/>
  <c r="U106" i="2" s="1"/>
  <c r="U113" i="2" s="1"/>
  <c r="U52" i="2" s="1"/>
  <c r="U38" i="2" l="1"/>
  <c r="U54" i="2"/>
  <c r="V33" i="2" l="1"/>
  <c r="V34" i="2" s="1"/>
  <c r="V35" i="2" s="1"/>
  <c r="V36" i="2" s="1"/>
  <c r="V54" i="2"/>
  <c r="V38" i="2" l="1"/>
  <c r="V90" i="2"/>
  <c r="V106" i="2" s="1"/>
  <c r="V113" i="2" s="1"/>
  <c r="V52" i="2" s="1"/>
  <c r="W33" i="2"/>
  <c r="W34" i="2" s="1"/>
  <c r="W35" i="2" s="1"/>
  <c r="W36" i="2" s="1"/>
  <c r="W90" i="2" s="1"/>
  <c r="W106" i="2" s="1"/>
  <c r="W113" i="2" s="1"/>
  <c r="W54" i="2" l="1"/>
  <c r="X113" i="2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O113" i="2" s="1"/>
  <c r="CP113" i="2" s="1"/>
  <c r="CQ113" i="2" s="1"/>
  <c r="CR113" i="2" s="1"/>
  <c r="CS113" i="2" s="1"/>
  <c r="CT113" i="2" s="1"/>
  <c r="CU113" i="2" s="1"/>
  <c r="CV113" i="2" s="1"/>
  <c r="CW113" i="2" s="1"/>
  <c r="CX113" i="2" s="1"/>
  <c r="CY113" i="2" s="1"/>
  <c r="CZ113" i="2" s="1"/>
  <c r="DA113" i="2" s="1"/>
  <c r="DB113" i="2" s="1"/>
  <c r="DC113" i="2" s="1"/>
  <c r="DD113" i="2" s="1"/>
  <c r="DE113" i="2" s="1"/>
  <c r="DF113" i="2" s="1"/>
  <c r="DG113" i="2" s="1"/>
  <c r="DH113" i="2" s="1"/>
  <c r="DI113" i="2" s="1"/>
  <c r="DJ113" i="2" s="1"/>
  <c r="DK113" i="2" s="1"/>
  <c r="Z106" i="2" s="1"/>
  <c r="Z107" i="2" s="1"/>
  <c r="Z108" i="2" s="1"/>
  <c r="W52" i="2"/>
  <c r="W38" i="2"/>
  <c r="X36" i="2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CO36" i="2" s="1"/>
  <c r="CP36" i="2" s="1"/>
  <c r="CQ36" i="2" s="1"/>
  <c r="CR36" i="2" s="1"/>
  <c r="CS36" i="2" s="1"/>
  <c r="CT36" i="2" s="1"/>
  <c r="CU36" i="2" s="1"/>
  <c r="CV36" i="2" s="1"/>
  <c r="CW36" i="2" s="1"/>
  <c r="CX36" i="2" s="1"/>
  <c r="CY36" i="2" s="1"/>
  <c r="CZ36" i="2" s="1"/>
  <c r="DA36" i="2" s="1"/>
  <c r="DB36" i="2" s="1"/>
  <c r="DC36" i="2" s="1"/>
  <c r="DD36" i="2" s="1"/>
  <c r="DE36" i="2" s="1"/>
  <c r="DF36" i="2" s="1"/>
  <c r="DG36" i="2" s="1"/>
  <c r="DH36" i="2" s="1"/>
  <c r="DI36" i="2" s="1"/>
  <c r="DJ36" i="2" s="1"/>
  <c r="DK36" i="2" s="1"/>
  <c r="DL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tc={B2FC9D23-7AE3-45FD-A7DD-A72AA6CEA661}</author>
    <author>tc={EF5A821E-7175-4AAD-98D2-3AB6BA236A5F}</author>
    <author>tc={2DC5972C-B77A-4237-85F2-0DBD4E83C3B7}</author>
    <author>tc={C500BEB0-5DD6-411C-BB22-78295064A10F}</author>
    <author>tc={549A204D-10BB-432F-9377-F289F3FEB7FA}</author>
    <author>tc={08F442A1-E94E-4DF7-A297-B168EB7FF1BA}</author>
  </authors>
  <commentList>
    <comment ref="Q11" authorId="0" shapeId="0" xr:uid="{B2FC9D23-7AE3-45FD-A7DD-A72AA6CEA66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“previous 11B target, patent expires 2028 withdrew target bc of china”</t>
      </text>
    </comment>
    <comment ref="N26" authorId="1" shapeId="0" xr:uid="{EF5A821E-7175-4AAD-98D2-3AB6BA236A5F}">
      <text>
        <t>[Threaded comment]
Your version of Excel allows you to read this threaded comment; however, any edits to it will get removed if the file is opened in a newer version of Excel. Learn more: https://go.microsoft.com/fwlink/?linkid=870924
Comment:
    64.1b to 65.6b guidance 2025 from Q424</t>
      </text>
    </comment>
    <comment ref="N31" authorId="2" shapeId="0" xr:uid="{2DC5972C-B77A-4237-85F2-0DBD4E83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25.4b - 26.5b non-GAAP OPEX</t>
      </text>
    </comment>
    <comment ref="N37" authorId="3" shapeId="0" xr:uid="{C500BEB0-5DD6-411C-BB22-78295064A10F}">
      <text>
        <t>[Threaded comment]
Your version of Excel allows you to read this threaded comment; however, any edits to it will get removed if the file is opened in a newer version of Excel. Learn more: https://go.microsoft.com/fwlink/?linkid=870924
Comment:
    2.53b guidance</t>
      </text>
    </comment>
    <comment ref="N38" authorId="4" shapeId="0" xr:uid="{549A204D-10BB-432F-9377-F289F3FEB7F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Non-gaap guidance 8.88 to 9.03</t>
      </text>
    </comment>
    <comment ref="N50" authorId="5" shapeId="0" xr:uid="{08F442A1-E94E-4DF7-A297-B168EB7FF1BA}">
      <text>
        <t>[Threaded comment]
Your version of Excel allows you to read this threaded comment; however, any edits to it will get removed if the file is opened in a newer version of Excel. Learn more: https://go.microsoft.com/fwlink/?linkid=870924
Comment:
    82.5% non GAAP gross margin</t>
      </text>
    </comment>
  </commentList>
</comments>
</file>

<file path=xl/sharedStrings.xml><?xml version="1.0" encoding="utf-8"?>
<sst xmlns="http://schemas.openxmlformats.org/spreadsheetml/2006/main" count="132" uniqueCount="115">
  <si>
    <t>MRK</t>
  </si>
  <si>
    <t>Price</t>
  </si>
  <si>
    <t>Shares</t>
  </si>
  <si>
    <t>MC</t>
  </si>
  <si>
    <t>Cash</t>
  </si>
  <si>
    <t>Debt</t>
  </si>
  <si>
    <t>EV</t>
  </si>
  <si>
    <t>COGS</t>
  </si>
  <si>
    <t>Sales</t>
  </si>
  <si>
    <t>Gross Profit</t>
  </si>
  <si>
    <t>SG&amp;A</t>
  </si>
  <si>
    <t>R&amp;D</t>
  </si>
  <si>
    <t>OPEX</t>
  </si>
  <si>
    <t>Operating Income</t>
  </si>
  <si>
    <t>Interest</t>
  </si>
  <si>
    <t>Pretax Income</t>
  </si>
  <si>
    <t>Tax</t>
  </si>
  <si>
    <t>Net Income</t>
  </si>
  <si>
    <t>EPS</t>
  </si>
  <si>
    <t>Tax Rate</t>
  </si>
  <si>
    <t>Gross Margin</t>
  </si>
  <si>
    <t>Operating Margin</t>
  </si>
  <si>
    <t>FCF Margin</t>
  </si>
  <si>
    <t>CFFO</t>
  </si>
  <si>
    <t>FCF</t>
  </si>
  <si>
    <t>Net Cash</t>
  </si>
  <si>
    <t>Q124</t>
  </si>
  <si>
    <t>Q224</t>
  </si>
  <si>
    <t>Q324</t>
  </si>
  <si>
    <t>Q424</t>
  </si>
  <si>
    <t>Q125</t>
  </si>
  <si>
    <t>Q225</t>
  </si>
  <si>
    <t>Revenue Growth q/q</t>
  </si>
  <si>
    <t>Revenue Growth y/y</t>
  </si>
  <si>
    <t>Q325</t>
  </si>
  <si>
    <t>Q425</t>
  </si>
  <si>
    <t>ROIC</t>
  </si>
  <si>
    <t>Maturity</t>
  </si>
  <si>
    <t>Discount</t>
  </si>
  <si>
    <t>NPV</t>
  </si>
  <si>
    <t>Diff</t>
  </si>
  <si>
    <t>Keytruda</t>
  </si>
  <si>
    <t>Gardasil</t>
  </si>
  <si>
    <t>"20b 2024-2028 capex"</t>
  </si>
  <si>
    <t>Januvia</t>
  </si>
  <si>
    <t>Royalties</t>
  </si>
  <si>
    <t>ProQuad/Varivax</t>
  </si>
  <si>
    <t>Hospital Acute Care</t>
  </si>
  <si>
    <t>Cardiovascular</t>
  </si>
  <si>
    <t>Other</t>
  </si>
  <si>
    <t>Oncology Other</t>
  </si>
  <si>
    <t>Vaccine Other</t>
  </si>
  <si>
    <t>Virology</t>
  </si>
  <si>
    <t>Belsomra</t>
  </si>
  <si>
    <t>Immunology</t>
  </si>
  <si>
    <t>Janumet</t>
  </si>
  <si>
    <t>Other Pharma</t>
  </si>
  <si>
    <t>Livestock</t>
  </si>
  <si>
    <t>Companion Animal</t>
  </si>
  <si>
    <t>"expanding manufacturing cap for oncology, vaccines, and animal health"</t>
  </si>
  <si>
    <t>Oncology % of R</t>
  </si>
  <si>
    <t>Vaccine % of R</t>
  </si>
  <si>
    <t>Animal Health % of R</t>
  </si>
  <si>
    <t>Keytruda Growth</t>
  </si>
  <si>
    <t>Januvia Growth</t>
  </si>
  <si>
    <t>Animal Health Growth</t>
  </si>
  <si>
    <t>Gardasil Growth</t>
  </si>
  <si>
    <t>ProQuad Growth</t>
  </si>
  <si>
    <t>Bridion</t>
  </si>
  <si>
    <t>AR</t>
  </si>
  <si>
    <t>Inventories</t>
  </si>
  <si>
    <t>Other Current Assets</t>
  </si>
  <si>
    <t>Investments</t>
  </si>
  <si>
    <t>PP&amp;E</t>
  </si>
  <si>
    <t>Land</t>
  </si>
  <si>
    <t>Buildings</t>
  </si>
  <si>
    <t>Machinery, Equipment</t>
  </si>
  <si>
    <t>Construction In Progress</t>
  </si>
  <si>
    <t>Accumulated Depreciation</t>
  </si>
  <si>
    <t>GW</t>
  </si>
  <si>
    <t>Other Intangibles</t>
  </si>
  <si>
    <t>Other Assets</t>
  </si>
  <si>
    <t>Loans Payable</t>
  </si>
  <si>
    <t>Trade AP</t>
  </si>
  <si>
    <t>Accured Current Liabilities</t>
  </si>
  <si>
    <t>Income Tax Payable</t>
  </si>
  <si>
    <t>Dividends Payable</t>
  </si>
  <si>
    <t>Long-Term Debt</t>
  </si>
  <si>
    <t>Short-term Investments</t>
  </si>
  <si>
    <t>DT</t>
  </si>
  <si>
    <t>Other Noncurrent Liabiltiies</t>
  </si>
  <si>
    <t>SE</t>
  </si>
  <si>
    <t>DSO</t>
  </si>
  <si>
    <t>Assets</t>
  </si>
  <si>
    <t>L+SE</t>
  </si>
  <si>
    <t>Liabilities</t>
  </si>
  <si>
    <t>MV of PP&amp;E</t>
  </si>
  <si>
    <t>Winrevair</t>
  </si>
  <si>
    <t>Model NI</t>
  </si>
  <si>
    <t>Reported NI</t>
  </si>
  <si>
    <t>D&amp;A</t>
  </si>
  <si>
    <t>Income from Investments</t>
  </si>
  <si>
    <t>R&amp;D asset acquisitions</t>
  </si>
  <si>
    <t>Share-based Comp</t>
  </si>
  <si>
    <t>Noncurrent Liabilities</t>
  </si>
  <si>
    <t>CAPEX</t>
  </si>
  <si>
    <t>Purchase Securities</t>
  </si>
  <si>
    <t>Sale of Securities</t>
  </si>
  <si>
    <t>Acquisitions</t>
  </si>
  <si>
    <t>Net Cash Used in Investing</t>
  </si>
  <si>
    <t>Asset Impairment</t>
  </si>
  <si>
    <t>"animal health more than double revenue by mid 2030s"</t>
  </si>
  <si>
    <t>"annual sales by mid 2030s opportunity oncology: &gt;25B, cardiometabolic: 15B, Immunology: &gt;5B, HIV: &gt;5B, Ophthalmology: multibillion"</t>
  </si>
  <si>
    <t>HIV</t>
  </si>
  <si>
    <t>"keytruda, gardasil, proquad expires in 2028"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</si>
</sst>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19050</xdr:rowOff>
    </xdr:from>
    <xdr:to>
      <xdr:col>13</xdr:col>
      <xdr:colOff>19050</xdr:colOff>
      <xdr:row>124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1497DE-044E-A07D-B786-BB45239EDF63}"/>
            </a:ext>
          </a:extLst>
        </xdr:cNvPr>
        <xdr:cNvCxnSpPr/>
      </xdr:nvCxnSpPr>
      <xdr:spPr>
        <a:xfrm>
          <a:off x="8791575" y="19050"/>
          <a:ext cx="19050" cy="23545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0</xdr:row>
      <xdr:rowOff>0</xdr:rowOff>
    </xdr:from>
    <xdr:to>
      <xdr:col>6</xdr:col>
      <xdr:colOff>28575</xdr:colOff>
      <xdr:row>77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080C8C-399D-427E-8E7F-364211E0ABC0}"/>
            </a:ext>
          </a:extLst>
        </xdr:cNvPr>
        <xdr:cNvCxnSpPr/>
      </xdr:nvCxnSpPr>
      <xdr:spPr>
        <a:xfrm>
          <a:off x="4162425" y="0"/>
          <a:ext cx="19050" cy="6391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3AE884F7-F7CD-4229-B1B0-CD6E7AA78978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1" dT="2025-05-07T00:56:12.61" personId="{3AE884F7-F7CD-4229-B1B0-CD6E7AA78978}" id="{B2FC9D23-7AE3-45FD-A7DD-A72AA6CEA661}">
    <text>“previous 11B target, patent expires 2028 withdrew target bc of china”</text>
  </threadedComment>
  <threadedComment ref="N26" dT="2025-05-05T05:55:56.04" personId="{3AE884F7-F7CD-4229-B1B0-CD6E7AA78978}" id="{EF5A821E-7175-4AAD-98D2-3AB6BA236A5F}">
    <text>64.1b to 65.6b guidance 2025 from Q424</text>
  </threadedComment>
  <threadedComment ref="N31" dT="2025-05-05T05:56:51.71" personId="{3AE884F7-F7CD-4229-B1B0-CD6E7AA78978}" id="{2DC5972C-B77A-4237-85F2-0DBD4E83C3B7}">
    <text>25.4b - 26.5b non-GAAP OPEX</text>
  </threadedComment>
  <threadedComment ref="N37" dT="2025-05-05T05:57:34.49" personId="{3AE884F7-F7CD-4229-B1B0-CD6E7AA78978}" id="{C500BEB0-5DD6-411C-BB22-78295064A10F}">
    <text>2.53b guidance</text>
  </threadedComment>
  <threadedComment ref="N38" dT="2025-05-05T05:57:48.11" personId="{3AE884F7-F7CD-4229-B1B0-CD6E7AA78978}" id="{549A204D-10BB-432F-9377-F289F3FEB7FA}">
    <text>Non-gaap guidance 8.88 to 9.03</text>
  </threadedComment>
  <threadedComment ref="N50" dT="2025-05-05T05:56:26.79" personId="{3AE884F7-F7CD-4229-B1B0-CD6E7AA78978}" id="{08F442A1-E94E-4DF7-A297-B168EB7FF1BA}">
    <text>82.5% non GAAP gross margin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CAD47-A04E-4917-B620-7B6E06119616}">
  <dimension ref="A1:I7"/>
  <sheetViews>
    <sheetView zoomScale="235" zoomScaleNormal="235" workbookViewId="0">
      <selection activeCell="E3" sqref="E3"/>
    </sheetView>
  </sheetViews>
  <sheetFormatPr defaultRowHeight="14.25" x14ac:dyDescent="0.2"/>
  <cols>
    <col min="1" max="16384" width="9.140625" style="10"/>
  </cols>
  <sheetData>
    <row r="1" spans="1:9" ht="15" x14ac:dyDescent="0.25">
      <c r="A1" s="9" t="s">
        <v>0</v>
      </c>
    </row>
    <row r="2" spans="1:9" x14ac:dyDescent="0.2">
      <c r="A2" s="10" t="s">
        <v>43</v>
      </c>
      <c r="D2" s="10" t="s">
        <v>1</v>
      </c>
      <c r="E2" s="1">
        <v>81</v>
      </c>
    </row>
    <row r="3" spans="1:9" x14ac:dyDescent="0.2">
      <c r="A3" s="10" t="s">
        <v>59</v>
      </c>
      <c r="D3" s="10" t="s">
        <v>2</v>
      </c>
      <c r="E3" s="1">
        <v>2511.0309999999999</v>
      </c>
      <c r="I3" s="10" t="s">
        <v>30</v>
      </c>
    </row>
    <row r="4" spans="1:9" x14ac:dyDescent="0.2">
      <c r="A4" s="10" t="s">
        <v>111</v>
      </c>
      <c r="D4" s="10" t="s">
        <v>3</v>
      </c>
      <c r="E4" s="1">
        <f>E3*E2</f>
        <v>203393.511</v>
      </c>
    </row>
    <row r="5" spans="1:9" x14ac:dyDescent="0.2">
      <c r="A5" s="10" t="s">
        <v>112</v>
      </c>
      <c r="D5" s="10" t="s">
        <v>4</v>
      </c>
      <c r="E5" s="1">
        <f>8629+599</f>
        <v>9228</v>
      </c>
      <c r="I5" s="10" t="s">
        <v>30</v>
      </c>
    </row>
    <row r="6" spans="1:9" x14ac:dyDescent="0.2">
      <c r="A6" s="10" t="s">
        <v>114</v>
      </c>
      <c r="D6" s="10" t="s">
        <v>5</v>
      </c>
      <c r="E6" s="1">
        <f>33484+1409+6655</f>
        <v>41548</v>
      </c>
      <c r="I6" s="10" t="s">
        <v>30</v>
      </c>
    </row>
    <row r="7" spans="1:9" x14ac:dyDescent="0.2">
      <c r="D7" s="10" t="s">
        <v>6</v>
      </c>
      <c r="E7" s="1">
        <f>E4+E6-E5</f>
        <v>235713.511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BB29B-216E-4138-97AB-BEC15EFD45A3}">
  <dimension ref="A1:DL113"/>
  <sheetViews>
    <sheetView tabSelected="1" zoomScaleNormal="100" workbookViewId="0">
      <pane xSplit="1" ySplit="1" topLeftCell="L85" activePane="bottomRight" state="frozen"/>
      <selection pane="topRight" activeCell="B1" sqref="B1"/>
      <selection pane="bottomLeft" activeCell="A2" sqref="A2"/>
      <selection pane="bottomRight" activeCell="Z104" sqref="Z104"/>
    </sheetView>
  </sheetViews>
  <sheetFormatPr defaultRowHeight="14.25" x14ac:dyDescent="0.2"/>
  <cols>
    <col min="1" max="1" width="21.7109375" style="1" customWidth="1"/>
    <col min="2" max="12" width="9.140625" style="1"/>
    <col min="13" max="13" width="9.5703125" style="1" bestFit="1" customWidth="1"/>
    <col min="14" max="16384" width="9.140625" style="1"/>
  </cols>
  <sheetData>
    <row r="1" spans="1:23" x14ac:dyDescent="0.2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34</v>
      </c>
      <c r="I1" s="1" t="s">
        <v>35</v>
      </c>
      <c r="K1" s="2">
        <v>2022</v>
      </c>
      <c r="L1" s="2">
        <f>K1+1</f>
        <v>2023</v>
      </c>
      <c r="M1" s="2">
        <f t="shared" ref="M1:R1" si="0">L1+1</f>
        <v>2024</v>
      </c>
      <c r="N1" s="2">
        <f t="shared" si="0"/>
        <v>2025</v>
      </c>
      <c r="O1" s="2">
        <f t="shared" si="0"/>
        <v>2026</v>
      </c>
      <c r="P1" s="2">
        <f t="shared" si="0"/>
        <v>2027</v>
      </c>
      <c r="Q1" s="2">
        <f t="shared" si="0"/>
        <v>2028</v>
      </c>
      <c r="R1" s="2">
        <f t="shared" si="0"/>
        <v>2029</v>
      </c>
      <c r="S1" s="2">
        <f t="shared" ref="S1" si="1">R1+1</f>
        <v>2030</v>
      </c>
      <c r="T1" s="2">
        <f t="shared" ref="T1" si="2">S1+1</f>
        <v>2031</v>
      </c>
      <c r="U1" s="2">
        <f t="shared" ref="U1" si="3">T1+1</f>
        <v>2032</v>
      </c>
      <c r="V1" s="2">
        <f t="shared" ref="V1" si="4">U1+1</f>
        <v>2033</v>
      </c>
      <c r="W1" s="2">
        <f t="shared" ref="W1" si="5">V1+1</f>
        <v>2034</v>
      </c>
    </row>
    <row r="2" spans="1:23" x14ac:dyDescent="0.2">
      <c r="A2" s="1" t="s">
        <v>60</v>
      </c>
      <c r="K2" s="2"/>
      <c r="L2" s="3">
        <f>SUM(L9:L10)/L26</f>
        <v>0.45912001996174001</v>
      </c>
      <c r="M2" s="3">
        <f t="shared" ref="M2:R2" si="6">SUM(M9:M10)/M26</f>
        <v>0.50933487096372021</v>
      </c>
      <c r="N2" s="3">
        <f t="shared" si="6"/>
        <v>0.49463744784318875</v>
      </c>
      <c r="O2" s="3">
        <f t="shared" si="6"/>
        <v>0.52858315504811348</v>
      </c>
      <c r="P2" s="3">
        <f t="shared" si="6"/>
        <v>0.564858469610239</v>
      </c>
      <c r="Q2" s="3">
        <f t="shared" si="6"/>
        <v>0.60362326654427501</v>
      </c>
      <c r="R2" s="3">
        <f t="shared" si="6"/>
        <v>0.6450483926796664</v>
      </c>
      <c r="S2" s="3">
        <f t="shared" ref="S2:W2" si="7">SUM(S9:S10)/S26</f>
        <v>0.69614133467409545</v>
      </c>
      <c r="T2" s="3">
        <f t="shared" si="7"/>
        <v>0.75128124237105365</v>
      </c>
      <c r="U2" s="3">
        <f t="shared" si="7"/>
        <v>0.81078866750935508</v>
      </c>
      <c r="V2" s="3">
        <f t="shared" si="7"/>
        <v>0.87500955206455167</v>
      </c>
      <c r="W2" s="3">
        <f t="shared" si="7"/>
        <v>0.33443026460122538</v>
      </c>
    </row>
    <row r="3" spans="1:23" x14ac:dyDescent="0.2">
      <c r="A3" s="1" t="s">
        <v>61</v>
      </c>
      <c r="K3" s="2"/>
      <c r="L3" s="3">
        <f>SUM(L12:L13)/L26</f>
        <v>7.009897696082508E-2</v>
      </c>
      <c r="M3" s="3">
        <f t="shared" ref="M3:R3" si="8">SUM(M12:M13)/M26</f>
        <v>6.6497319536217431E-2</v>
      </c>
      <c r="N3" s="3">
        <f t="shared" si="8"/>
        <v>0</v>
      </c>
      <c r="O3" s="3">
        <f t="shared" si="8"/>
        <v>0</v>
      </c>
      <c r="P3" s="3">
        <f t="shared" si="8"/>
        <v>0</v>
      </c>
      <c r="Q3" s="3">
        <f t="shared" si="8"/>
        <v>0</v>
      </c>
      <c r="R3" s="3">
        <f t="shared" si="8"/>
        <v>0</v>
      </c>
      <c r="S3" s="3">
        <f t="shared" ref="S3:W3" si="9">SUM(S12:S13)/S26</f>
        <v>0</v>
      </c>
      <c r="T3" s="3">
        <f t="shared" si="9"/>
        <v>0</v>
      </c>
      <c r="U3" s="3">
        <f t="shared" si="9"/>
        <v>0</v>
      </c>
      <c r="V3" s="3">
        <f t="shared" si="9"/>
        <v>0</v>
      </c>
      <c r="W3" s="3">
        <f t="shared" si="9"/>
        <v>6.6886052920245076E-2</v>
      </c>
    </row>
    <row r="4" spans="1:23" x14ac:dyDescent="0.2">
      <c r="A4" s="1" t="s">
        <v>62</v>
      </c>
      <c r="K4" s="2"/>
      <c r="L4" s="3">
        <f>SUM(L22:L23)/L26</f>
        <v>9.3570656242202441E-2</v>
      </c>
      <c r="M4" s="3">
        <f t="shared" ref="M4:R4" si="10">SUM(M22:M23)/M26</f>
        <v>9.1587707268420401E-2</v>
      </c>
      <c r="N4" s="3">
        <f t="shared" si="10"/>
        <v>0</v>
      </c>
      <c r="O4" s="3">
        <f t="shared" si="10"/>
        <v>0</v>
      </c>
      <c r="P4" s="3">
        <f t="shared" si="10"/>
        <v>0</v>
      </c>
      <c r="Q4" s="3">
        <f t="shared" si="10"/>
        <v>0</v>
      </c>
      <c r="R4" s="3">
        <f t="shared" si="10"/>
        <v>0</v>
      </c>
      <c r="S4" s="3">
        <f t="shared" ref="S4:W4" si="11">SUM(S22:S23)/S26</f>
        <v>0</v>
      </c>
      <c r="T4" s="3">
        <f t="shared" si="11"/>
        <v>0</v>
      </c>
      <c r="U4" s="3">
        <f t="shared" si="11"/>
        <v>0</v>
      </c>
      <c r="V4" s="3">
        <f t="shared" si="11"/>
        <v>0</v>
      </c>
      <c r="W4" s="3">
        <f t="shared" si="11"/>
        <v>0.1572357332049121</v>
      </c>
    </row>
    <row r="5" spans="1:23" x14ac:dyDescent="0.2">
      <c r="K5" s="2"/>
      <c r="L5" s="3">
        <f>SUM(L2:L4)</f>
        <v>0.62278965316476753</v>
      </c>
      <c r="M5" s="3">
        <f>SUM(M2:M4)</f>
        <v>0.66741989776835797</v>
      </c>
      <c r="N5" s="3">
        <f t="shared" ref="N5:R5" si="12">SUM(N2:N4)</f>
        <v>0.49463744784318875</v>
      </c>
      <c r="O5" s="3">
        <f t="shared" si="12"/>
        <v>0.52858315504811348</v>
      </c>
      <c r="P5" s="3">
        <f t="shared" si="12"/>
        <v>0.564858469610239</v>
      </c>
      <c r="Q5" s="3">
        <f t="shared" si="12"/>
        <v>0.60362326654427501</v>
      </c>
      <c r="R5" s="3">
        <f t="shared" si="12"/>
        <v>0.6450483926796664</v>
      </c>
      <c r="S5" s="3">
        <f t="shared" ref="S5:W5" si="13">SUM(S2:S4)</f>
        <v>0.69614133467409545</v>
      </c>
      <c r="T5" s="3">
        <f t="shared" si="13"/>
        <v>0.75128124237105365</v>
      </c>
      <c r="U5" s="3">
        <f t="shared" si="13"/>
        <v>0.81078866750935508</v>
      </c>
      <c r="V5" s="3">
        <f t="shared" si="13"/>
        <v>0.87500955206455167</v>
      </c>
      <c r="W5" s="3">
        <f t="shared" si="13"/>
        <v>0.55855205072638259</v>
      </c>
    </row>
    <row r="6" spans="1:23" x14ac:dyDescent="0.2">
      <c r="A6" s="1" t="s">
        <v>113</v>
      </c>
      <c r="K6" s="2"/>
      <c r="L6" s="3"/>
      <c r="M6" s="3"/>
      <c r="N6" s="3"/>
      <c r="O6" s="3"/>
      <c r="P6" s="3"/>
      <c r="Q6" s="3"/>
      <c r="R6" s="3"/>
      <c r="S6" s="2"/>
      <c r="T6" s="2"/>
      <c r="U6" s="2"/>
      <c r="V6" s="2"/>
      <c r="W6" s="1">
        <v>5000</v>
      </c>
    </row>
    <row r="7" spans="1:23" x14ac:dyDescent="0.2">
      <c r="A7" s="1" t="s">
        <v>97</v>
      </c>
      <c r="K7" s="2"/>
      <c r="L7" s="3"/>
      <c r="M7" s="3"/>
      <c r="N7" s="2"/>
      <c r="O7" s="2"/>
      <c r="P7" s="2"/>
      <c r="Q7" s="2"/>
      <c r="R7" s="2"/>
      <c r="S7" s="2"/>
      <c r="T7" s="2"/>
      <c r="U7" s="2"/>
      <c r="V7" s="2"/>
      <c r="W7" s="2">
        <v>0</v>
      </c>
    </row>
    <row r="8" spans="1:23" x14ac:dyDescent="0.2">
      <c r="A8" s="1" t="s">
        <v>68</v>
      </c>
      <c r="F8" s="1">
        <v>441</v>
      </c>
      <c r="K8" s="2"/>
      <c r="L8" s="3"/>
      <c r="M8" s="3"/>
      <c r="N8" s="2"/>
      <c r="O8" s="2"/>
      <c r="P8" s="2"/>
      <c r="Q8" s="2"/>
      <c r="R8" s="2"/>
      <c r="S8" s="2"/>
      <c r="T8" s="2"/>
      <c r="U8" s="2"/>
      <c r="V8" s="2"/>
      <c r="W8" s="2">
        <v>0</v>
      </c>
    </row>
    <row r="9" spans="1:23" s="4" customFormat="1" ht="15" x14ac:dyDescent="0.25">
      <c r="A9" s="4" t="s">
        <v>41</v>
      </c>
      <c r="F9" s="4">
        <v>7205</v>
      </c>
      <c r="L9" s="4">
        <v>25011</v>
      </c>
      <c r="M9" s="4">
        <v>29482</v>
      </c>
      <c r="N9" s="4">
        <f>M9*1.09</f>
        <v>32135.38</v>
      </c>
      <c r="O9" s="4">
        <f t="shared" ref="O9:V9" si="14">N9*1.09</f>
        <v>35027.564200000001</v>
      </c>
      <c r="P9" s="4">
        <f t="shared" si="14"/>
        <v>38180.044978000005</v>
      </c>
      <c r="Q9" s="4">
        <f t="shared" si="14"/>
        <v>41616.249026020007</v>
      </c>
      <c r="R9" s="4">
        <f t="shared" si="14"/>
        <v>45361.71143836181</v>
      </c>
      <c r="S9" s="4">
        <f t="shared" si="14"/>
        <v>49444.265467814374</v>
      </c>
      <c r="T9" s="4">
        <f t="shared" si="14"/>
        <v>53894.249359917674</v>
      </c>
      <c r="U9" s="4">
        <f t="shared" si="14"/>
        <v>58744.731802310271</v>
      </c>
      <c r="V9" s="4">
        <f t="shared" si="14"/>
        <v>64031.757664518198</v>
      </c>
      <c r="W9" s="4">
        <v>0</v>
      </c>
    </row>
    <row r="10" spans="1:23" x14ac:dyDescent="0.2">
      <c r="A10" s="1" t="s">
        <v>50</v>
      </c>
      <c r="L10" s="1">
        <f>1199+960+218+212</f>
        <v>2589</v>
      </c>
      <c r="M10" s="1">
        <f>1311+1010+509+371</f>
        <v>3201</v>
      </c>
      <c r="W10" s="1">
        <v>25000</v>
      </c>
    </row>
    <row r="11" spans="1:23" s="4" customFormat="1" ht="15" x14ac:dyDescent="0.25">
      <c r="A11" s="4" t="s">
        <v>42</v>
      </c>
      <c r="F11" s="4">
        <v>1327</v>
      </c>
      <c r="L11" s="4">
        <v>8886</v>
      </c>
      <c r="M11" s="4">
        <v>8583</v>
      </c>
      <c r="N11" s="4">
        <f>M11*1.08</f>
        <v>9269.6400000000012</v>
      </c>
      <c r="O11" s="4">
        <f t="shared" ref="O11:P11" si="15">N11*1.08</f>
        <v>10011.211200000002</v>
      </c>
      <c r="P11" s="4">
        <f t="shared" si="15"/>
        <v>10812.108096000002</v>
      </c>
      <c r="Q11" s="4">
        <v>11000</v>
      </c>
      <c r="R11" s="4">
        <f>Q11*0.7</f>
        <v>7699.9999999999991</v>
      </c>
      <c r="S11" s="4">
        <f t="shared" ref="S11:V11" si="16">R11*0.7</f>
        <v>5389.9999999999991</v>
      </c>
      <c r="T11" s="4">
        <f t="shared" si="16"/>
        <v>3772.9999999999991</v>
      </c>
      <c r="U11" s="4">
        <f t="shared" si="16"/>
        <v>2641.099999999999</v>
      </c>
      <c r="V11" s="4">
        <f t="shared" si="16"/>
        <v>1848.7699999999991</v>
      </c>
      <c r="W11" s="4">
        <v>0</v>
      </c>
    </row>
    <row r="12" spans="1:23" s="4" customFormat="1" ht="15" x14ac:dyDescent="0.25">
      <c r="A12" s="4" t="s">
        <v>46</v>
      </c>
      <c r="F12" s="4">
        <v>539</v>
      </c>
      <c r="L12" s="4">
        <v>2368</v>
      </c>
      <c r="M12" s="4">
        <v>2485</v>
      </c>
      <c r="W12" s="1">
        <v>5000</v>
      </c>
    </row>
    <row r="13" spans="1:23" x14ac:dyDescent="0.2">
      <c r="A13" s="1" t="s">
        <v>51</v>
      </c>
      <c r="L13" s="1">
        <f>665+769+412</f>
        <v>1846</v>
      </c>
      <c r="M13" s="1">
        <f>808+711+263</f>
        <v>1782</v>
      </c>
    </row>
    <row r="14" spans="1:23" x14ac:dyDescent="0.2">
      <c r="A14" s="1" t="s">
        <v>47</v>
      </c>
      <c r="L14" s="1">
        <f>1842+605+302+218+213</f>
        <v>3180</v>
      </c>
      <c r="M14" s="1">
        <f>1764+785+340+252+177</f>
        <v>3318</v>
      </c>
      <c r="W14" s="1">
        <v>4000</v>
      </c>
    </row>
    <row r="15" spans="1:23" x14ac:dyDescent="0.2">
      <c r="A15" s="1" t="s">
        <v>48</v>
      </c>
      <c r="L15" s="1">
        <f>367+255</f>
        <v>622</v>
      </c>
      <c r="M15" s="1">
        <f>419+415+287</f>
        <v>1121</v>
      </c>
      <c r="W15" s="1">
        <v>15000</v>
      </c>
    </row>
    <row r="16" spans="1:23" x14ac:dyDescent="0.2">
      <c r="A16" s="1" t="s">
        <v>52</v>
      </c>
      <c r="L16" s="1">
        <f>1428+483+201+142</f>
        <v>2254</v>
      </c>
      <c r="M16" s="1">
        <f>964+394+249+163</f>
        <v>1770</v>
      </c>
      <c r="W16" s="1">
        <v>2000</v>
      </c>
    </row>
    <row r="17" spans="1:23" x14ac:dyDescent="0.2">
      <c r="A17" s="1" t="s">
        <v>53</v>
      </c>
      <c r="L17" s="1">
        <v>231</v>
      </c>
      <c r="M17" s="1">
        <v>222</v>
      </c>
      <c r="W17" s="1">
        <v>0</v>
      </c>
    </row>
    <row r="18" spans="1:23" x14ac:dyDescent="0.2">
      <c r="A18" s="1" t="s">
        <v>54</v>
      </c>
      <c r="L18" s="1">
        <f>710+187</f>
        <v>897</v>
      </c>
      <c r="M18" s="1">
        <f>543+114</f>
        <v>657</v>
      </c>
      <c r="W18" s="1">
        <v>5000</v>
      </c>
    </row>
    <row r="19" spans="1:23" s="4" customFormat="1" ht="15" x14ac:dyDescent="0.25">
      <c r="A19" s="4" t="s">
        <v>44</v>
      </c>
      <c r="F19" s="4">
        <v>796</v>
      </c>
      <c r="L19" s="4">
        <v>2189</v>
      </c>
      <c r="M19" s="4">
        <v>1334</v>
      </c>
      <c r="W19" s="4">
        <v>3000</v>
      </c>
    </row>
    <row r="20" spans="1:23" x14ac:dyDescent="0.2">
      <c r="A20" s="1" t="s">
        <v>55</v>
      </c>
      <c r="L20" s="1">
        <v>1177</v>
      </c>
      <c r="M20" s="1">
        <v>935</v>
      </c>
      <c r="W20" s="1">
        <v>0</v>
      </c>
    </row>
    <row r="21" spans="1:23" x14ac:dyDescent="0.2">
      <c r="A21" s="1" t="s">
        <v>56</v>
      </c>
      <c r="L21" s="1">
        <v>2333</v>
      </c>
      <c r="M21" s="1">
        <v>2510</v>
      </c>
      <c r="W21" s="1">
        <v>3000</v>
      </c>
    </row>
    <row r="22" spans="1:23" s="4" customFormat="1" ht="15" x14ac:dyDescent="0.25">
      <c r="A22" s="4" t="s">
        <v>57</v>
      </c>
      <c r="F22" s="4">
        <v>924</v>
      </c>
      <c r="L22" s="4">
        <v>3337</v>
      </c>
      <c r="M22" s="4">
        <v>3462</v>
      </c>
      <c r="W22" s="4">
        <f>M22*2</f>
        <v>6924</v>
      </c>
    </row>
    <row r="23" spans="1:23" s="4" customFormat="1" ht="15" x14ac:dyDescent="0.25">
      <c r="A23" s="4" t="s">
        <v>58</v>
      </c>
      <c r="F23" s="4">
        <v>664</v>
      </c>
      <c r="L23" s="4">
        <v>2288</v>
      </c>
      <c r="M23" s="4">
        <v>2415</v>
      </c>
      <c r="W23" s="4">
        <f>M23*2</f>
        <v>4830</v>
      </c>
    </row>
    <row r="24" spans="1:23" x14ac:dyDescent="0.2">
      <c r="A24" s="1" t="s">
        <v>49</v>
      </c>
      <c r="L24" s="1">
        <v>907</v>
      </c>
      <c r="M24" s="1">
        <v>891</v>
      </c>
      <c r="W24" s="1">
        <v>1000</v>
      </c>
    </row>
    <row r="25" spans="1:23" s="4" customFormat="1" ht="15" x14ac:dyDescent="0.25">
      <c r="A25" s="4" t="s">
        <v>45</v>
      </c>
      <c r="L25" s="4">
        <f>1199+960+212+367</f>
        <v>2738</v>
      </c>
      <c r="M25" s="4">
        <f>1311+1010+371+415</f>
        <v>3107</v>
      </c>
    </row>
    <row r="26" spans="1:23" s="4" customFormat="1" ht="15" x14ac:dyDescent="0.25">
      <c r="A26" s="4" t="s">
        <v>8</v>
      </c>
      <c r="B26" s="4">
        <v>15775</v>
      </c>
      <c r="F26" s="4">
        <v>15529</v>
      </c>
      <c r="G26" s="4">
        <f>F26*1.03</f>
        <v>15994.87</v>
      </c>
      <c r="H26" s="4">
        <f t="shared" ref="H26:I26" si="17">G26*1.03</f>
        <v>16474.716100000001</v>
      </c>
      <c r="I26" s="4">
        <f t="shared" si="17"/>
        <v>16968.957583000003</v>
      </c>
      <c r="K26" s="4">
        <v>59283</v>
      </c>
      <c r="L26" s="4">
        <f>SUM(L9:L24)</f>
        <v>60115</v>
      </c>
      <c r="M26" s="4">
        <f>SUM(M9:M24)</f>
        <v>64168</v>
      </c>
      <c r="N26" s="4">
        <f>SUM(F26:I26)</f>
        <v>64967.543683000004</v>
      </c>
      <c r="O26" s="4">
        <f>N26*1.02</f>
        <v>66266.894556660001</v>
      </c>
      <c r="P26" s="4">
        <f t="shared" ref="P26:R26" si="18">O26*1.02</f>
        <v>67592.232447793198</v>
      </c>
      <c r="Q26" s="4">
        <f t="shared" si="18"/>
        <v>68944.077096749068</v>
      </c>
      <c r="R26" s="4">
        <f t="shared" si="18"/>
        <v>70322.958638684053</v>
      </c>
      <c r="S26" s="4">
        <f>R26*1.01</f>
        <v>71026.188225070888</v>
      </c>
      <c r="T26" s="4">
        <f>S26*1.01</f>
        <v>71736.450107321594</v>
      </c>
      <c r="U26" s="4">
        <f>T26*1.01</f>
        <v>72453.814608394809</v>
      </c>
      <c r="V26" s="4">
        <f>U26*1.01</f>
        <v>73178.35275447875</v>
      </c>
      <c r="W26" s="4">
        <f>SUM(W9:W24)</f>
        <v>74754</v>
      </c>
    </row>
    <row r="27" spans="1:23" x14ac:dyDescent="0.2">
      <c r="A27" s="1" t="s">
        <v>7</v>
      </c>
      <c r="B27" s="1">
        <v>3540</v>
      </c>
      <c r="F27" s="1">
        <v>3419</v>
      </c>
      <c r="G27" s="1">
        <f>F27*(1+G41)</f>
        <v>3521.57</v>
      </c>
      <c r="H27" s="1">
        <f t="shared" ref="H27:I27" si="19">G27*(1+H41)</f>
        <v>3627.2171000000003</v>
      </c>
      <c r="I27" s="1">
        <f t="shared" si="19"/>
        <v>3736.0336130000005</v>
      </c>
      <c r="K27" s="1">
        <v>17411</v>
      </c>
      <c r="L27" s="1">
        <v>16126</v>
      </c>
      <c r="M27" s="1">
        <v>15193</v>
      </c>
      <c r="N27" s="1">
        <f>SUM(F27:I27)</f>
        <v>14303.820713000001</v>
      </c>
      <c r="O27" s="1">
        <f>N27*(1+O40)</f>
        <v>14589.897127260001</v>
      </c>
      <c r="P27" s="1">
        <f t="shared" ref="P27:R27" si="20">O27*(1+P40)</f>
        <v>14881.695069805201</v>
      </c>
      <c r="Q27" s="1">
        <f t="shared" si="20"/>
        <v>15179.328971201305</v>
      </c>
      <c r="R27" s="1">
        <f t="shared" si="20"/>
        <v>15482.915550625332</v>
      </c>
      <c r="S27" s="1">
        <f t="shared" ref="S27" si="21">R27*(1+S40)</f>
        <v>15637.744706131585</v>
      </c>
      <c r="T27" s="1">
        <f t="shared" ref="T27" si="22">S27*(1+T40)</f>
        <v>15794.1221531929</v>
      </c>
      <c r="U27" s="1">
        <f t="shared" ref="U27" si="23">T27*(1+U40)</f>
        <v>15952.06337472483</v>
      </c>
      <c r="V27" s="1">
        <f t="shared" ref="V27" si="24">U27*(1+V40)</f>
        <v>16111.584008472078</v>
      </c>
      <c r="W27" s="1">
        <f t="shared" ref="W27" si="25">V27*(1+W40)</f>
        <v>16458.492240324558</v>
      </c>
    </row>
    <row r="28" spans="1:23" x14ac:dyDescent="0.2">
      <c r="A28" s="1" t="s">
        <v>9</v>
      </c>
      <c r="B28" s="1">
        <f>B26-B27</f>
        <v>12235</v>
      </c>
      <c r="C28" s="1">
        <f t="shared" ref="C28:E28" si="26">C26-C27</f>
        <v>0</v>
      </c>
      <c r="D28" s="1">
        <f t="shared" si="26"/>
        <v>0</v>
      </c>
      <c r="E28" s="1">
        <f t="shared" si="26"/>
        <v>0</v>
      </c>
      <c r="F28" s="1">
        <f>F26-F27</f>
        <v>12110</v>
      </c>
      <c r="G28" s="1">
        <f>G26-G27</f>
        <v>12473.300000000001</v>
      </c>
      <c r="H28" s="1">
        <f t="shared" ref="H28:I28" si="27">H26-H27</f>
        <v>12847.499000000002</v>
      </c>
      <c r="I28" s="1">
        <f t="shared" si="27"/>
        <v>13232.923970000003</v>
      </c>
      <c r="K28" s="1">
        <f>K26-K27</f>
        <v>41872</v>
      </c>
      <c r="L28" s="1">
        <f t="shared" ref="L28:R28" si="28">L26-L27</f>
        <v>43989</v>
      </c>
      <c r="M28" s="1">
        <f t="shared" si="28"/>
        <v>48975</v>
      </c>
      <c r="N28" s="1">
        <f t="shared" si="28"/>
        <v>50663.722970000003</v>
      </c>
      <c r="O28" s="1">
        <f t="shared" si="28"/>
        <v>51676.997429399999</v>
      </c>
      <c r="P28" s="1">
        <f t="shared" si="28"/>
        <v>52710.537377987996</v>
      </c>
      <c r="Q28" s="1">
        <f t="shared" si="28"/>
        <v>53764.748125547761</v>
      </c>
      <c r="R28" s="1">
        <f t="shared" si="28"/>
        <v>54840.043088058723</v>
      </c>
      <c r="S28" s="1">
        <f t="shared" ref="S28:W28" si="29">S26-S27</f>
        <v>55388.443518939304</v>
      </c>
      <c r="T28" s="1">
        <f t="shared" si="29"/>
        <v>55942.32795412869</v>
      </c>
      <c r="U28" s="1">
        <f t="shared" si="29"/>
        <v>56501.75123366998</v>
      </c>
      <c r="V28" s="1">
        <f t="shared" si="29"/>
        <v>57066.768746006674</v>
      </c>
      <c r="W28" s="1">
        <f t="shared" si="29"/>
        <v>58295.507759675442</v>
      </c>
    </row>
    <row r="29" spans="1:23" x14ac:dyDescent="0.2">
      <c r="A29" s="1" t="s">
        <v>10</v>
      </c>
      <c r="B29" s="1">
        <v>2483</v>
      </c>
      <c r="F29" s="1">
        <v>2552</v>
      </c>
      <c r="G29" s="1">
        <f>F29*(1+G41)</f>
        <v>2628.56</v>
      </c>
      <c r="H29" s="1">
        <f t="shared" ref="H29:I29" si="30">G29*(1+H41)</f>
        <v>2707.4168</v>
      </c>
      <c r="I29" s="1">
        <f t="shared" si="30"/>
        <v>2788.6393039999998</v>
      </c>
      <c r="K29" s="1">
        <v>10042</v>
      </c>
      <c r="L29" s="1">
        <v>10504</v>
      </c>
      <c r="M29" s="1">
        <v>10816</v>
      </c>
      <c r="N29" s="1">
        <f>SUM(F29:I29)</f>
        <v>10676.616103999999</v>
      </c>
      <c r="O29" s="1">
        <f>N29*(1+O40)</f>
        <v>10890.148426079999</v>
      </c>
      <c r="P29" s="1">
        <f t="shared" ref="P29:R29" si="31">O29*(1+P40)</f>
        <v>11107.9513946016</v>
      </c>
      <c r="Q29" s="1">
        <f t="shared" si="31"/>
        <v>11330.110422493632</v>
      </c>
      <c r="R29" s="1">
        <f t="shared" si="31"/>
        <v>11556.712630943504</v>
      </c>
      <c r="S29" s="1">
        <f t="shared" ref="S29" si="32">R29*(1+S40)</f>
        <v>11672.27975725294</v>
      </c>
      <c r="T29" s="1">
        <f t="shared" ref="T29" si="33">S29*(1+T40)</f>
        <v>11789.002554825469</v>
      </c>
      <c r="U29" s="1">
        <f t="shared" ref="U29" si="34">T29*(1+U40)</f>
        <v>11906.892580373724</v>
      </c>
      <c r="V29" s="1">
        <f t="shared" ref="V29" si="35">U29*(1+V40)</f>
        <v>12025.961506177462</v>
      </c>
      <c r="W29" s="1">
        <f t="shared" ref="W29" si="36">V29*(1+W40)</f>
        <v>12284.899735977851</v>
      </c>
    </row>
    <row r="30" spans="1:23" x14ac:dyDescent="0.2">
      <c r="A30" s="1" t="s">
        <v>11</v>
      </c>
      <c r="B30" s="1">
        <v>3992</v>
      </c>
      <c r="F30" s="1">
        <v>3621</v>
      </c>
      <c r="G30" s="1">
        <f>F30*(1+G41)</f>
        <v>3729.63</v>
      </c>
      <c r="H30" s="1">
        <f t="shared" ref="H30:I30" si="37">G30*(1+H41)</f>
        <v>3841.5189</v>
      </c>
      <c r="I30" s="1">
        <f t="shared" si="37"/>
        <v>3956.764467</v>
      </c>
      <c r="K30" s="1">
        <v>13548</v>
      </c>
      <c r="L30" s="1">
        <v>30531</v>
      </c>
      <c r="M30" s="1">
        <v>17938</v>
      </c>
      <c r="N30" s="1">
        <f>SUM(F30:I30)</f>
        <v>15148.913367000001</v>
      </c>
      <c r="O30" s="1">
        <f>N30*(1+O40)</f>
        <v>15451.891634340001</v>
      </c>
      <c r="P30" s="1">
        <f t="shared" ref="P30:R30" si="38">O30*(1+P40)</f>
        <v>15760.929467026801</v>
      </c>
      <c r="Q30" s="1">
        <f t="shared" si="38"/>
        <v>16076.148056367338</v>
      </c>
      <c r="R30" s="1">
        <f t="shared" si="38"/>
        <v>16397.671017494686</v>
      </c>
      <c r="S30" s="1">
        <f t="shared" ref="S30" si="39">R30*(1+S40)</f>
        <v>16561.647727669631</v>
      </c>
      <c r="T30" s="1">
        <f t="shared" ref="T30" si="40">S30*(1+T40)</f>
        <v>16727.264204946328</v>
      </c>
      <c r="U30" s="1">
        <f t="shared" ref="U30" si="41">T30*(1+U40)</f>
        <v>16894.53684699579</v>
      </c>
      <c r="V30" s="1">
        <f t="shared" ref="V30" si="42">U30*(1+V40)</f>
        <v>17063.482215465749</v>
      </c>
      <c r="W30" s="1">
        <f t="shared" ref="W30" si="43">V30*(1+W40)</f>
        <v>17430.886341683308</v>
      </c>
    </row>
    <row r="31" spans="1:23" x14ac:dyDescent="0.2">
      <c r="A31" s="1" t="s">
        <v>12</v>
      </c>
      <c r="B31" s="1">
        <f>SUM(B29:B30)</f>
        <v>6475</v>
      </c>
      <c r="C31" s="1">
        <f t="shared" ref="C31:E31" si="44">SUM(C29:C30)</f>
        <v>0</v>
      </c>
      <c r="D31" s="1">
        <f t="shared" si="44"/>
        <v>0</v>
      </c>
      <c r="E31" s="1">
        <f t="shared" si="44"/>
        <v>0</v>
      </c>
      <c r="F31" s="1">
        <f>SUM(F29:F30)</f>
        <v>6173</v>
      </c>
      <c r="G31" s="1">
        <f>SUM(G29:G30)</f>
        <v>6358.1900000000005</v>
      </c>
      <c r="H31" s="1">
        <f t="shared" ref="H31:I31" si="45">SUM(H29:H30)</f>
        <v>6548.9357</v>
      </c>
      <c r="I31" s="1">
        <f t="shared" si="45"/>
        <v>6745.4037709999993</v>
      </c>
      <c r="K31" s="1">
        <f>SUM(K29:K30)</f>
        <v>23590</v>
      </c>
      <c r="L31" s="1">
        <f t="shared" ref="L31:R31" si="46">SUM(L29:L30)</f>
        <v>41035</v>
      </c>
      <c r="M31" s="1">
        <f t="shared" si="46"/>
        <v>28754</v>
      </c>
      <c r="N31" s="1">
        <f t="shared" si="46"/>
        <v>25825.529471000002</v>
      </c>
      <c r="O31" s="1">
        <f t="shared" si="46"/>
        <v>26342.04006042</v>
      </c>
      <c r="P31" s="1">
        <f t="shared" si="46"/>
        <v>26868.8808616284</v>
      </c>
      <c r="Q31" s="1">
        <f t="shared" si="46"/>
        <v>27406.258478860967</v>
      </c>
      <c r="R31" s="1">
        <f t="shared" si="46"/>
        <v>27954.38364843819</v>
      </c>
      <c r="S31" s="1">
        <f t="shared" ref="S31:W31" si="47">SUM(S29:S30)</f>
        <v>28233.927484922569</v>
      </c>
      <c r="T31" s="1">
        <f t="shared" si="47"/>
        <v>28516.266759771795</v>
      </c>
      <c r="U31" s="1">
        <f t="shared" si="47"/>
        <v>28801.429427369512</v>
      </c>
      <c r="V31" s="1">
        <f t="shared" si="47"/>
        <v>29089.443721643212</v>
      </c>
      <c r="W31" s="1">
        <f t="shared" si="47"/>
        <v>29715.78607766116</v>
      </c>
    </row>
    <row r="32" spans="1:23" s="4" customFormat="1" ht="15" x14ac:dyDescent="0.25">
      <c r="A32" s="4" t="s">
        <v>13</v>
      </c>
      <c r="B32" s="4">
        <f>B28-B31</f>
        <v>5760</v>
      </c>
      <c r="C32" s="4">
        <f t="shared" ref="C32:E32" si="48">C28-C31</f>
        <v>0</v>
      </c>
      <c r="D32" s="4">
        <f t="shared" si="48"/>
        <v>0</v>
      </c>
      <c r="E32" s="4">
        <f t="shared" si="48"/>
        <v>0</v>
      </c>
      <c r="F32" s="4">
        <f>F28-F31</f>
        <v>5937</v>
      </c>
      <c r="G32" s="4">
        <f>G28-G31</f>
        <v>6115.1100000000006</v>
      </c>
      <c r="H32" s="4">
        <f t="shared" ref="H32:I32" si="49">H28-H31</f>
        <v>6298.5633000000016</v>
      </c>
      <c r="I32" s="4">
        <f t="shared" si="49"/>
        <v>6487.5201990000041</v>
      </c>
      <c r="K32" s="4">
        <f>K28-K31</f>
        <v>18282</v>
      </c>
      <c r="L32" s="4">
        <f t="shared" ref="L32:R32" si="50">L28-L31</f>
        <v>2954</v>
      </c>
      <c r="M32" s="4">
        <f t="shared" si="50"/>
        <v>20221</v>
      </c>
      <c r="N32" s="4">
        <f t="shared" si="50"/>
        <v>24838.193499000001</v>
      </c>
      <c r="O32" s="4">
        <f t="shared" si="50"/>
        <v>25334.957368979998</v>
      </c>
      <c r="P32" s="4">
        <f t="shared" si="50"/>
        <v>25841.656516359595</v>
      </c>
      <c r="Q32" s="4">
        <f t="shared" si="50"/>
        <v>26358.489646686794</v>
      </c>
      <c r="R32" s="4">
        <f t="shared" si="50"/>
        <v>26885.659439620533</v>
      </c>
      <c r="S32" s="4">
        <f t="shared" ref="S32:W32" si="51">S28-S31</f>
        <v>27154.516034016735</v>
      </c>
      <c r="T32" s="4">
        <f t="shared" si="51"/>
        <v>27426.061194356895</v>
      </c>
      <c r="U32" s="4">
        <f t="shared" si="51"/>
        <v>27700.321806300468</v>
      </c>
      <c r="V32" s="4">
        <f t="shared" si="51"/>
        <v>27977.325024363461</v>
      </c>
      <c r="W32" s="4">
        <f t="shared" si="51"/>
        <v>28579.721682014282</v>
      </c>
    </row>
    <row r="33" spans="1:116" x14ac:dyDescent="0.2">
      <c r="A33" s="1" t="s">
        <v>14</v>
      </c>
      <c r="B33" s="1">
        <v>-33</v>
      </c>
      <c r="F33" s="1">
        <v>-35</v>
      </c>
      <c r="G33" s="1">
        <f>F54*$Z$103/4</f>
        <v>-484.79999999999995</v>
      </c>
      <c r="H33" s="1">
        <f>G54*$Z$103/4</f>
        <v>-414.28036724999998</v>
      </c>
      <c r="I33" s="1">
        <f>H54*$Z$103/4</f>
        <v>-340.57972351730621</v>
      </c>
      <c r="N33" s="1">
        <f>SUM(F33:I33)</f>
        <v>-1274.660090767306</v>
      </c>
      <c r="O33" s="1">
        <f t="shared" ref="O33:W33" si="52">N54*$Z$103</f>
        <v>-1054.3571762475415</v>
      </c>
      <c r="P33" s="1">
        <f t="shared" si="52"/>
        <v>162.10089340835461</v>
      </c>
      <c r="Q33" s="1">
        <f t="shared" si="52"/>
        <v>1394.6789946313552</v>
      </c>
      <c r="R33" s="1">
        <f t="shared" si="52"/>
        <v>2710.1791882298357</v>
      </c>
      <c r="S33" s="1">
        <f t="shared" si="52"/>
        <v>4113.0219391899427</v>
      </c>
      <c r="T33" s="1">
        <f t="shared" si="52"/>
        <v>5595.1032391199396</v>
      </c>
      <c r="U33" s="1">
        <f t="shared" si="52"/>
        <v>7160.3064332667418</v>
      </c>
      <c r="V33" s="1">
        <f t="shared" si="52"/>
        <v>8812.7002118222281</v>
      </c>
      <c r="W33" s="1">
        <f t="shared" si="52"/>
        <v>10556.54740801743</v>
      </c>
    </row>
    <row r="34" spans="1:116" x14ac:dyDescent="0.2">
      <c r="A34" s="1" t="s">
        <v>15</v>
      </c>
      <c r="B34" s="1">
        <f>B32+B33</f>
        <v>5727</v>
      </c>
      <c r="C34" s="1">
        <f t="shared" ref="C34:E34" si="53">C32+C33</f>
        <v>0</v>
      </c>
      <c r="D34" s="1">
        <f t="shared" si="53"/>
        <v>0</v>
      </c>
      <c r="E34" s="1">
        <f t="shared" si="53"/>
        <v>0</v>
      </c>
      <c r="F34" s="1">
        <f>F32+F33</f>
        <v>5902</v>
      </c>
      <c r="G34" s="1">
        <f>G32+G33</f>
        <v>5630.31</v>
      </c>
      <c r="H34" s="1">
        <f t="shared" ref="H34:I34" si="54">H32+H33</f>
        <v>5884.2829327500012</v>
      </c>
      <c r="I34" s="1">
        <f t="shared" si="54"/>
        <v>6146.9404754826983</v>
      </c>
      <c r="K34" s="1">
        <f>K32+K33</f>
        <v>18282</v>
      </c>
      <c r="L34" s="1">
        <f t="shared" ref="L34:R34" si="55">L32+L33</f>
        <v>2954</v>
      </c>
      <c r="M34" s="1">
        <f t="shared" si="55"/>
        <v>20221</v>
      </c>
      <c r="N34" s="1">
        <f t="shared" si="55"/>
        <v>23563.533408232695</v>
      </c>
      <c r="O34" s="1">
        <f t="shared" si="55"/>
        <v>24280.600192732458</v>
      </c>
      <c r="P34" s="1">
        <f t="shared" si="55"/>
        <v>26003.75740976795</v>
      </c>
      <c r="Q34" s="1">
        <f t="shared" si="55"/>
        <v>27753.168641318149</v>
      </c>
      <c r="R34" s="1">
        <f t="shared" si="55"/>
        <v>29595.838627850368</v>
      </c>
      <c r="S34" s="1">
        <f t="shared" ref="S34:W34" si="56">S32+S33</f>
        <v>31267.537973206679</v>
      </c>
      <c r="T34" s="1">
        <f t="shared" si="56"/>
        <v>33021.164433476835</v>
      </c>
      <c r="U34" s="1">
        <f t="shared" si="56"/>
        <v>34860.62823956721</v>
      </c>
      <c r="V34" s="1">
        <f t="shared" si="56"/>
        <v>36790.025236185691</v>
      </c>
      <c r="W34" s="1">
        <f t="shared" si="56"/>
        <v>39136.26909003171</v>
      </c>
    </row>
    <row r="35" spans="1:116" x14ac:dyDescent="0.2">
      <c r="A35" s="1" t="s">
        <v>16</v>
      </c>
      <c r="B35" s="1">
        <v>903</v>
      </c>
      <c r="F35" s="1">
        <v>818</v>
      </c>
      <c r="G35" s="1">
        <f>G34*G42</f>
        <v>929.00115000000017</v>
      </c>
      <c r="H35" s="1">
        <f t="shared" ref="H35:I35" si="57">H34*H42</f>
        <v>970.90668390375026</v>
      </c>
      <c r="I35" s="1">
        <f t="shared" si="57"/>
        <v>1014.2451784546453</v>
      </c>
      <c r="K35" s="1">
        <v>1918</v>
      </c>
      <c r="L35" s="1">
        <v>1512</v>
      </c>
      <c r="M35" s="1">
        <v>2803</v>
      </c>
      <c r="N35" s="1">
        <f>SUM(F35:I35)</f>
        <v>3732.1530123583957</v>
      </c>
      <c r="O35" s="1">
        <f>O34*O42</f>
        <v>4006.2990318008556</v>
      </c>
      <c r="P35" s="1">
        <f t="shared" ref="P35:R35" si="58">P34*P42</f>
        <v>5460.7890560512697</v>
      </c>
      <c r="Q35" s="1">
        <f t="shared" si="58"/>
        <v>5828.1654146768115</v>
      </c>
      <c r="R35" s="1">
        <f t="shared" si="58"/>
        <v>6215.1261118485772</v>
      </c>
      <c r="S35" s="1">
        <f t="shared" ref="S35:W35" si="59">S34*S42</f>
        <v>6566.1829743734024</v>
      </c>
      <c r="T35" s="1">
        <f t="shared" si="59"/>
        <v>6934.4445310301353</v>
      </c>
      <c r="U35" s="1">
        <f t="shared" si="59"/>
        <v>7320.7319303091135</v>
      </c>
      <c r="V35" s="1">
        <f t="shared" si="59"/>
        <v>7725.905299598995</v>
      </c>
      <c r="W35" s="1">
        <f t="shared" si="59"/>
        <v>8218.6165089066581</v>
      </c>
    </row>
    <row r="36" spans="1:116" s="4" customFormat="1" ht="15" x14ac:dyDescent="0.25">
      <c r="A36" s="4" t="s">
        <v>17</v>
      </c>
      <c r="B36" s="4">
        <f>B34-B35</f>
        <v>4824</v>
      </c>
      <c r="C36" s="4">
        <f t="shared" ref="C36:E36" si="60">C34-C35</f>
        <v>0</v>
      </c>
      <c r="D36" s="4">
        <f t="shared" si="60"/>
        <v>0</v>
      </c>
      <c r="E36" s="4">
        <f t="shared" si="60"/>
        <v>0</v>
      </c>
      <c r="F36" s="4">
        <f>F34-F35</f>
        <v>5084</v>
      </c>
      <c r="G36" s="4">
        <f>G34-G35</f>
        <v>4701.3088500000003</v>
      </c>
      <c r="H36" s="4">
        <f t="shared" ref="H36:I36" si="61">H34-H35</f>
        <v>4913.3762488462507</v>
      </c>
      <c r="I36" s="4">
        <f t="shared" si="61"/>
        <v>5132.6952970280527</v>
      </c>
      <c r="K36" s="4">
        <f>K34-K35</f>
        <v>16364</v>
      </c>
      <c r="L36" s="4">
        <f t="shared" ref="L36:R36" si="62">L34-L35</f>
        <v>1442</v>
      </c>
      <c r="M36" s="4">
        <f t="shared" si="62"/>
        <v>17418</v>
      </c>
      <c r="N36" s="4">
        <f t="shared" si="62"/>
        <v>19831.380395874301</v>
      </c>
      <c r="O36" s="4">
        <f t="shared" si="62"/>
        <v>20274.301160931602</v>
      </c>
      <c r="P36" s="4">
        <f t="shared" si="62"/>
        <v>20542.968353716678</v>
      </c>
      <c r="Q36" s="4">
        <f t="shared" si="62"/>
        <v>21925.003226641336</v>
      </c>
      <c r="R36" s="4">
        <f t="shared" si="62"/>
        <v>23380.712516001789</v>
      </c>
      <c r="S36" s="4">
        <f t="shared" ref="S36:W36" si="63">S34-S35</f>
        <v>24701.354998833278</v>
      </c>
      <c r="T36" s="4">
        <f t="shared" si="63"/>
        <v>26086.719902446701</v>
      </c>
      <c r="U36" s="4">
        <f t="shared" si="63"/>
        <v>27539.896309258096</v>
      </c>
      <c r="V36" s="4">
        <f t="shared" si="63"/>
        <v>29064.119936586696</v>
      </c>
      <c r="W36" s="4">
        <f t="shared" si="63"/>
        <v>30917.652581125054</v>
      </c>
      <c r="X36" s="4">
        <f t="shared" ref="X36:BC36" si="64">W36*(1+$Z$104)</f>
        <v>29990.1230036913</v>
      </c>
      <c r="Y36" s="4">
        <f t="shared" si="64"/>
        <v>29090.419313580562</v>
      </c>
      <c r="Z36" s="4">
        <f t="shared" si="64"/>
        <v>28217.706734173145</v>
      </c>
      <c r="AA36" s="4">
        <f t="shared" si="64"/>
        <v>27371.17553214795</v>
      </c>
      <c r="AB36" s="4">
        <f t="shared" si="64"/>
        <v>26550.040266183511</v>
      </c>
      <c r="AC36" s="4">
        <f t="shared" si="64"/>
        <v>25753.539058198003</v>
      </c>
      <c r="AD36" s="4">
        <f t="shared" si="64"/>
        <v>24980.932886452061</v>
      </c>
      <c r="AE36" s="4">
        <f t="shared" si="64"/>
        <v>24231.504899858497</v>
      </c>
      <c r="AF36" s="4">
        <f t="shared" si="64"/>
        <v>23504.55975286274</v>
      </c>
      <c r="AG36" s="4">
        <f t="shared" si="64"/>
        <v>22799.422960276857</v>
      </c>
      <c r="AH36" s="4">
        <f t="shared" si="64"/>
        <v>22115.440271468549</v>
      </c>
      <c r="AI36" s="4">
        <f t="shared" si="64"/>
        <v>21451.977063324492</v>
      </c>
      <c r="AJ36" s="4">
        <f t="shared" si="64"/>
        <v>20808.417751424757</v>
      </c>
      <c r="AK36" s="4">
        <f t="shared" si="64"/>
        <v>20184.165218882012</v>
      </c>
      <c r="AL36" s="4">
        <f t="shared" si="64"/>
        <v>19578.640262315552</v>
      </c>
      <c r="AM36" s="4">
        <f t="shared" si="64"/>
        <v>18991.281054446084</v>
      </c>
      <c r="AN36" s="4">
        <f t="shared" si="64"/>
        <v>18421.5426228127</v>
      </c>
      <c r="AO36" s="4">
        <f t="shared" si="64"/>
        <v>17868.896344128319</v>
      </c>
      <c r="AP36" s="4">
        <f t="shared" si="64"/>
        <v>17332.829453804468</v>
      </c>
      <c r="AQ36" s="4">
        <f t="shared" si="64"/>
        <v>16812.844570190333</v>
      </c>
      <c r="AR36" s="4">
        <f t="shared" si="64"/>
        <v>16308.459233084623</v>
      </c>
      <c r="AS36" s="4">
        <f t="shared" si="64"/>
        <v>15819.205456092084</v>
      </c>
      <c r="AT36" s="4">
        <f t="shared" si="64"/>
        <v>15344.629292409321</v>
      </c>
      <c r="AU36" s="4">
        <f t="shared" si="64"/>
        <v>14884.290413637042</v>
      </c>
      <c r="AV36" s="4">
        <f t="shared" si="64"/>
        <v>14437.76170122793</v>
      </c>
      <c r="AW36" s="4">
        <f t="shared" si="64"/>
        <v>14004.628850191091</v>
      </c>
      <c r="AX36" s="4">
        <f t="shared" si="64"/>
        <v>13584.489984685359</v>
      </c>
      <c r="AY36" s="4">
        <f t="shared" si="64"/>
        <v>13176.955285144797</v>
      </c>
      <c r="AZ36" s="4">
        <f t="shared" si="64"/>
        <v>12781.646626590453</v>
      </c>
      <c r="BA36" s="4">
        <f t="shared" si="64"/>
        <v>12398.197227792738</v>
      </c>
      <c r="BB36" s="4">
        <f t="shared" si="64"/>
        <v>12026.251310958956</v>
      </c>
      <c r="BC36" s="4">
        <f t="shared" si="64"/>
        <v>11665.463771630188</v>
      </c>
      <c r="BD36" s="4">
        <f t="shared" ref="BD36:CI36" si="65">BC36*(1+$Z$104)</f>
        <v>11315.499858481282</v>
      </c>
      <c r="BE36" s="4">
        <f t="shared" si="65"/>
        <v>10976.034862726843</v>
      </c>
      <c r="BF36" s="4">
        <f t="shared" si="65"/>
        <v>10646.753816845037</v>
      </c>
      <c r="BG36" s="4">
        <f t="shared" si="65"/>
        <v>10327.351202339685</v>
      </c>
      <c r="BH36" s="4">
        <f t="shared" si="65"/>
        <v>10017.530666269495</v>
      </c>
      <c r="BI36" s="4">
        <f t="shared" si="65"/>
        <v>9717.0047462814091</v>
      </c>
      <c r="BJ36" s="4">
        <f t="shared" si="65"/>
        <v>9425.4946038929666</v>
      </c>
      <c r="BK36" s="4">
        <f t="shared" si="65"/>
        <v>9142.7297657761774</v>
      </c>
      <c r="BL36" s="4">
        <f t="shared" si="65"/>
        <v>8868.4478728028917</v>
      </c>
      <c r="BM36" s="4">
        <f t="shared" si="65"/>
        <v>8602.3944366188043</v>
      </c>
      <c r="BN36" s="4">
        <f t="shared" si="65"/>
        <v>8344.3226035202406</v>
      </c>
      <c r="BO36" s="4">
        <f t="shared" si="65"/>
        <v>8093.9929254146327</v>
      </c>
      <c r="BP36" s="4">
        <f t="shared" si="65"/>
        <v>7851.1731376521939</v>
      </c>
      <c r="BQ36" s="4">
        <f t="shared" si="65"/>
        <v>7615.6379435226281</v>
      </c>
      <c r="BR36" s="4">
        <f t="shared" si="65"/>
        <v>7387.1688052169493</v>
      </c>
      <c r="BS36" s="4">
        <f t="shared" si="65"/>
        <v>7165.5537410604402</v>
      </c>
      <c r="BT36" s="4">
        <f t="shared" si="65"/>
        <v>6950.5871288286271</v>
      </c>
      <c r="BU36" s="4">
        <f t="shared" si="65"/>
        <v>6742.0695149637677</v>
      </c>
      <c r="BV36" s="4">
        <f t="shared" si="65"/>
        <v>6539.8074295148544</v>
      </c>
      <c r="BW36" s="4">
        <f t="shared" si="65"/>
        <v>6343.6132066294085</v>
      </c>
      <c r="BX36" s="4">
        <f t="shared" si="65"/>
        <v>6153.3048104305262</v>
      </c>
      <c r="BY36" s="4">
        <f t="shared" si="65"/>
        <v>5968.7056661176102</v>
      </c>
      <c r="BZ36" s="4">
        <f t="shared" si="65"/>
        <v>5789.6444961340821</v>
      </c>
      <c r="CA36" s="4">
        <f t="shared" si="65"/>
        <v>5615.95516125006</v>
      </c>
      <c r="CB36" s="4">
        <f t="shared" si="65"/>
        <v>5447.4765064125577</v>
      </c>
      <c r="CC36" s="4">
        <f t="shared" si="65"/>
        <v>5284.0522112201807</v>
      </c>
      <c r="CD36" s="4">
        <f t="shared" si="65"/>
        <v>5125.5306448835754</v>
      </c>
      <c r="CE36" s="4">
        <f t="shared" si="65"/>
        <v>4971.7647255370684</v>
      </c>
      <c r="CF36" s="4">
        <f t="shared" si="65"/>
        <v>4822.6117837709562</v>
      </c>
      <c r="CG36" s="4">
        <f t="shared" si="65"/>
        <v>4677.9334302578272</v>
      </c>
      <c r="CH36" s="4">
        <f t="shared" si="65"/>
        <v>4537.595427350092</v>
      </c>
      <c r="CI36" s="4">
        <f t="shared" si="65"/>
        <v>4401.4675645295893</v>
      </c>
      <c r="CJ36" s="4">
        <f t="shared" ref="CJ36:DL36" si="66">CI36*(1+$Z$104)</f>
        <v>4269.4235375937014</v>
      </c>
      <c r="CK36" s="4">
        <f t="shared" si="66"/>
        <v>4141.34083146589</v>
      </c>
      <c r="CL36" s="4">
        <f t="shared" si="66"/>
        <v>4017.1006065219131</v>
      </c>
      <c r="CM36" s="4">
        <f t="shared" si="66"/>
        <v>3896.5875883262556</v>
      </c>
      <c r="CN36" s="4">
        <f t="shared" si="66"/>
        <v>3779.6899606764678</v>
      </c>
      <c r="CO36" s="4">
        <f t="shared" si="66"/>
        <v>3666.2992618561734</v>
      </c>
      <c r="CP36" s="4">
        <f t="shared" si="66"/>
        <v>3556.3102840004881</v>
      </c>
      <c r="CQ36" s="4">
        <f t="shared" si="66"/>
        <v>3449.6209754804731</v>
      </c>
      <c r="CR36" s="4">
        <f t="shared" si="66"/>
        <v>3346.132346216059</v>
      </c>
      <c r="CS36" s="4">
        <f t="shared" si="66"/>
        <v>3245.7483758295771</v>
      </c>
      <c r="CT36" s="4">
        <f t="shared" si="66"/>
        <v>3148.3759245546898</v>
      </c>
      <c r="CU36" s="4">
        <f t="shared" si="66"/>
        <v>3053.924646818049</v>
      </c>
      <c r="CV36" s="4">
        <f t="shared" si="66"/>
        <v>2962.3069074135074</v>
      </c>
      <c r="CW36" s="4">
        <f t="shared" si="66"/>
        <v>2873.4377001911021</v>
      </c>
      <c r="CX36" s="4">
        <f t="shared" si="66"/>
        <v>2787.2345691853689</v>
      </c>
      <c r="CY36" s="4">
        <f t="shared" si="66"/>
        <v>2703.6175321098076</v>
      </c>
      <c r="CZ36" s="4">
        <f t="shared" si="66"/>
        <v>2622.5090061465135</v>
      </c>
      <c r="DA36" s="4">
        <f t="shared" si="66"/>
        <v>2543.8337359621178</v>
      </c>
      <c r="DB36" s="4">
        <f t="shared" si="66"/>
        <v>2467.5187238832541</v>
      </c>
      <c r="DC36" s="4">
        <f t="shared" si="66"/>
        <v>2393.4931621667565</v>
      </c>
      <c r="DD36" s="4">
        <f t="shared" si="66"/>
        <v>2321.6883673017537</v>
      </c>
      <c r="DE36" s="4">
        <f t="shared" si="66"/>
        <v>2252.0377162827012</v>
      </c>
      <c r="DF36" s="4">
        <f t="shared" si="66"/>
        <v>2184.4765847942203</v>
      </c>
      <c r="DG36" s="4">
        <f t="shared" si="66"/>
        <v>2118.9422872503937</v>
      </c>
      <c r="DH36" s="4">
        <f t="shared" si="66"/>
        <v>2055.3740186328819</v>
      </c>
      <c r="DI36" s="4">
        <f t="shared" si="66"/>
        <v>1993.7127980738953</v>
      </c>
      <c r="DJ36" s="4">
        <f t="shared" si="66"/>
        <v>1933.9014141316784</v>
      </c>
      <c r="DK36" s="4">
        <f t="shared" si="66"/>
        <v>1875.884371707728</v>
      </c>
      <c r="DL36" s="4">
        <f t="shared" si="66"/>
        <v>1819.6078405564961</v>
      </c>
    </row>
    <row r="37" spans="1:116" x14ac:dyDescent="0.2">
      <c r="A37" s="1" t="s">
        <v>2</v>
      </c>
      <c r="B37" s="1">
        <v>2511</v>
      </c>
      <c r="F37" s="1">
        <v>2511.0309999999999</v>
      </c>
      <c r="G37" s="1">
        <v>2511.0309999999999</v>
      </c>
      <c r="H37" s="1">
        <v>2511.0309999999999</v>
      </c>
      <c r="I37" s="1">
        <v>2511.0309999999999</v>
      </c>
      <c r="K37" s="1">
        <f>K36/K38</f>
        <v>2865.8493870402804</v>
      </c>
      <c r="L37" s="1">
        <f>L36/L38</f>
        <v>10299.999999999998</v>
      </c>
      <c r="M37" s="1">
        <f>M36/M38</f>
        <v>2584.2729970326409</v>
      </c>
      <c r="N37" s="1">
        <v>2530</v>
      </c>
      <c r="O37" s="1">
        <v>2530</v>
      </c>
      <c r="P37" s="1">
        <v>2530</v>
      </c>
      <c r="Q37" s="1">
        <v>2530</v>
      </c>
      <c r="R37" s="1">
        <v>2530</v>
      </c>
      <c r="S37" s="1">
        <v>2530</v>
      </c>
      <c r="T37" s="1">
        <v>2530</v>
      </c>
      <c r="U37" s="1">
        <v>2530</v>
      </c>
      <c r="V37" s="1">
        <v>2530</v>
      </c>
      <c r="W37" s="1">
        <v>2530</v>
      </c>
    </row>
    <row r="38" spans="1:116" x14ac:dyDescent="0.2">
      <c r="A38" s="1" t="s">
        <v>18</v>
      </c>
      <c r="B38" s="5">
        <f>B36/B37</f>
        <v>1.9211469534050178</v>
      </c>
      <c r="C38" s="5" t="e">
        <f t="shared" ref="C38:E38" si="67">C36/C37</f>
        <v>#DIV/0!</v>
      </c>
      <c r="D38" s="5" t="e">
        <f t="shared" si="67"/>
        <v>#DIV/0!</v>
      </c>
      <c r="E38" s="5" t="e">
        <f t="shared" si="67"/>
        <v>#DIV/0!</v>
      </c>
      <c r="F38" s="5">
        <f>F36/F37</f>
        <v>2.0246663621436771</v>
      </c>
      <c r="G38" s="5">
        <f>G36/G37</f>
        <v>1.872262369520727</v>
      </c>
      <c r="H38" s="5">
        <f t="shared" ref="H38:I38" si="68">H36/H37</f>
        <v>1.9567166828471059</v>
      </c>
      <c r="I38" s="5">
        <f t="shared" si="68"/>
        <v>2.0440589132623423</v>
      </c>
      <c r="K38" s="5">
        <v>5.71</v>
      </c>
      <c r="L38" s="5">
        <v>0.14000000000000001</v>
      </c>
      <c r="M38" s="5">
        <v>6.74</v>
      </c>
      <c r="N38" s="5">
        <f t="shared" ref="N38:R38" si="69">N36/N37</f>
        <v>7.8384902750491312</v>
      </c>
      <c r="O38" s="5">
        <f t="shared" si="69"/>
        <v>8.0135577711192099</v>
      </c>
      <c r="P38" s="5">
        <f t="shared" si="69"/>
        <v>8.1197503374374218</v>
      </c>
      <c r="Q38" s="5">
        <f t="shared" si="69"/>
        <v>8.6660091804906472</v>
      </c>
      <c r="R38" s="5">
        <f t="shared" si="69"/>
        <v>9.2413883462457669</v>
      </c>
      <c r="S38" s="5">
        <f t="shared" ref="S38:W38" si="70">S36/S37</f>
        <v>9.7633814224637465</v>
      </c>
      <c r="T38" s="5">
        <f t="shared" si="70"/>
        <v>10.310956483180513</v>
      </c>
      <c r="U38" s="5">
        <f t="shared" si="70"/>
        <v>10.88533450958818</v>
      </c>
      <c r="V38" s="5">
        <f t="shared" si="70"/>
        <v>11.487794441338615</v>
      </c>
      <c r="W38" s="5">
        <f t="shared" si="70"/>
        <v>12.220416039970377</v>
      </c>
    </row>
    <row r="40" spans="1:116" s="4" customFormat="1" ht="15" x14ac:dyDescent="0.25">
      <c r="A40" s="4" t="s">
        <v>33</v>
      </c>
      <c r="F40" s="6">
        <f>F26/B26-1</f>
        <v>-1.5594294770206019E-2</v>
      </c>
      <c r="G40" s="6" t="e">
        <f>G26/C26-1</f>
        <v>#DIV/0!</v>
      </c>
      <c r="H40" s="6" t="e">
        <f t="shared" ref="H40:I40" si="71">H26/D26-1</f>
        <v>#DIV/0!</v>
      </c>
      <c r="I40" s="6" t="e">
        <f t="shared" si="71"/>
        <v>#DIV/0!</v>
      </c>
      <c r="K40" s="6"/>
      <c r="L40" s="6">
        <f>L26/K26-1</f>
        <v>1.4034377477523119E-2</v>
      </c>
      <c r="M40" s="6">
        <f t="shared" ref="M40:R40" si="72">M26/L26-1</f>
        <v>6.7420776844381525E-2</v>
      </c>
      <c r="N40" s="6">
        <f t="shared" si="72"/>
        <v>1.2460162121306517E-2</v>
      </c>
      <c r="O40" s="6">
        <f t="shared" si="72"/>
        <v>2.0000000000000018E-2</v>
      </c>
      <c r="P40" s="6">
        <f t="shared" si="72"/>
        <v>2.0000000000000018E-2</v>
      </c>
      <c r="Q40" s="6">
        <f t="shared" si="72"/>
        <v>2.0000000000000018E-2</v>
      </c>
      <c r="R40" s="6">
        <f t="shared" si="72"/>
        <v>2.0000000000000018E-2</v>
      </c>
      <c r="S40" s="6">
        <f t="shared" ref="S40" si="73">S26/R26-1</f>
        <v>1.0000000000000009E-2</v>
      </c>
      <c r="T40" s="6">
        <f t="shared" ref="T40" si="74">T26/S26-1</f>
        <v>1.0000000000000009E-2</v>
      </c>
      <c r="U40" s="6">
        <f t="shared" ref="U40" si="75">U26/T26-1</f>
        <v>1.0000000000000009E-2</v>
      </c>
      <c r="V40" s="6">
        <f t="shared" ref="V40" si="76">V26/U26-1</f>
        <v>1.0000000000000009E-2</v>
      </c>
      <c r="W40" s="6">
        <f t="shared" ref="W40" si="77">W26/V26-1</f>
        <v>2.1531603079502526E-2</v>
      </c>
    </row>
    <row r="41" spans="1:116" s="4" customFormat="1" ht="15" x14ac:dyDescent="0.25">
      <c r="A41" s="4" t="s">
        <v>32</v>
      </c>
      <c r="C41" s="6">
        <f>C26/B26-1</f>
        <v>-1</v>
      </c>
      <c r="D41" s="6" t="e">
        <f t="shared" ref="D41:G41" si="78">D26/C26-1</f>
        <v>#DIV/0!</v>
      </c>
      <c r="E41" s="6" t="e">
        <f t="shared" si="78"/>
        <v>#DIV/0!</v>
      </c>
      <c r="F41" s="6" t="e">
        <f t="shared" si="78"/>
        <v>#DIV/0!</v>
      </c>
      <c r="G41" s="6">
        <f t="shared" si="78"/>
        <v>3.0000000000000027E-2</v>
      </c>
      <c r="H41" s="6">
        <f t="shared" ref="H41:I41" si="79">H26/G26-1</f>
        <v>3.0000000000000027E-2</v>
      </c>
      <c r="I41" s="6">
        <f t="shared" si="79"/>
        <v>3.0000000000000027E-2</v>
      </c>
    </row>
    <row r="42" spans="1:116" x14ac:dyDescent="0.2">
      <c r="A42" s="1" t="s">
        <v>19</v>
      </c>
      <c r="B42" s="3">
        <f>B35/B34</f>
        <v>0.15767417496071243</v>
      </c>
      <c r="C42" s="3" t="e">
        <f t="shared" ref="C42:K42" si="80">C35/C34</f>
        <v>#DIV/0!</v>
      </c>
      <c r="D42" s="3" t="e">
        <f t="shared" si="80"/>
        <v>#DIV/0!</v>
      </c>
      <c r="E42" s="3" t="e">
        <f t="shared" si="80"/>
        <v>#DIV/0!</v>
      </c>
      <c r="F42" s="3">
        <f t="shared" si="80"/>
        <v>0.13859708573364962</v>
      </c>
      <c r="G42" s="3">
        <v>0.16500000000000001</v>
      </c>
      <c r="H42" s="3">
        <v>0.16500000000000001</v>
      </c>
      <c r="I42" s="3">
        <v>0.16500000000000001</v>
      </c>
      <c r="K42" s="3">
        <f t="shared" si="80"/>
        <v>0.10491193523684499</v>
      </c>
      <c r="L42" s="3">
        <f t="shared" ref="L42" si="81">L35/L34</f>
        <v>0.51184834123222744</v>
      </c>
      <c r="M42" s="3">
        <f t="shared" ref="M42" si="82">M35/M34</f>
        <v>0.13861826813708522</v>
      </c>
      <c r="N42" s="7">
        <v>0.16500000000000001</v>
      </c>
      <c r="O42" s="7">
        <v>0.16500000000000001</v>
      </c>
      <c r="P42" s="3">
        <v>0.21</v>
      </c>
      <c r="Q42" s="3">
        <v>0.21</v>
      </c>
      <c r="R42" s="3">
        <v>0.21</v>
      </c>
      <c r="S42" s="3">
        <v>0.21</v>
      </c>
      <c r="T42" s="3">
        <v>0.21</v>
      </c>
      <c r="U42" s="3">
        <v>0.21</v>
      </c>
      <c r="V42" s="3">
        <v>0.21</v>
      </c>
      <c r="W42" s="3">
        <v>0.21</v>
      </c>
    </row>
    <row r="43" spans="1:116" x14ac:dyDescent="0.2">
      <c r="B43" s="3"/>
      <c r="C43" s="3"/>
      <c r="D43" s="3"/>
      <c r="E43" s="3"/>
      <c r="F43" s="3"/>
      <c r="G43" s="3"/>
      <c r="H43" s="3"/>
      <c r="I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116" x14ac:dyDescent="0.2">
      <c r="A44" s="1" t="s">
        <v>63</v>
      </c>
      <c r="B44" s="3"/>
      <c r="C44" s="3"/>
      <c r="D44" s="3"/>
      <c r="E44" s="3"/>
      <c r="F44" s="3"/>
      <c r="G44" s="3"/>
      <c r="H44" s="3"/>
      <c r="I44" s="3"/>
      <c r="K44" s="3"/>
      <c r="L44" s="3"/>
      <c r="M44" s="3">
        <f>M9/L9-1</f>
        <v>0.1787613450081964</v>
      </c>
      <c r="N44" s="3">
        <f t="shared" ref="N44:R44" si="83">N9/M9-1</f>
        <v>9.000000000000008E-2</v>
      </c>
      <c r="O44" s="3">
        <f t="shared" si="83"/>
        <v>9.000000000000008E-2</v>
      </c>
      <c r="P44" s="3">
        <f t="shared" si="83"/>
        <v>9.000000000000008E-2</v>
      </c>
      <c r="Q44" s="3">
        <f t="shared" si="83"/>
        <v>9.000000000000008E-2</v>
      </c>
      <c r="R44" s="3">
        <f t="shared" si="83"/>
        <v>9.000000000000008E-2</v>
      </c>
      <c r="S44" s="3">
        <f t="shared" ref="S44" si="84">S9/R9-1</f>
        <v>9.000000000000008E-2</v>
      </c>
      <c r="T44" s="3">
        <f t="shared" ref="T44" si="85">T9/S9-1</f>
        <v>9.000000000000008E-2</v>
      </c>
      <c r="U44" s="3">
        <f t="shared" ref="U44" si="86">U9/T9-1</f>
        <v>9.000000000000008E-2</v>
      </c>
      <c r="V44" s="3">
        <f t="shared" ref="V44" si="87">V9/U9-1</f>
        <v>9.000000000000008E-2</v>
      </c>
      <c r="W44" s="3">
        <f t="shared" ref="W44" si="88">W9/V9-1</f>
        <v>-1</v>
      </c>
    </row>
    <row r="45" spans="1:116" x14ac:dyDescent="0.2">
      <c r="A45" s="1" t="s">
        <v>66</v>
      </c>
      <c r="B45" s="3"/>
      <c r="C45" s="3"/>
      <c r="D45" s="3"/>
      <c r="E45" s="3"/>
      <c r="F45" s="3"/>
      <c r="G45" s="3"/>
      <c r="H45" s="3"/>
      <c r="I45" s="3"/>
      <c r="K45" s="3"/>
      <c r="L45" s="3"/>
      <c r="M45" s="3">
        <f>M11/L11-1</f>
        <v>-3.4098582039162717E-2</v>
      </c>
      <c r="N45" s="3">
        <f t="shared" ref="N45:R45" si="89">N11/M11-1</f>
        <v>8.0000000000000071E-2</v>
      </c>
      <c r="O45" s="3">
        <f t="shared" si="89"/>
        <v>8.0000000000000071E-2</v>
      </c>
      <c r="P45" s="3">
        <f t="shared" si="89"/>
        <v>8.0000000000000071E-2</v>
      </c>
      <c r="Q45" s="3">
        <f t="shared" si="89"/>
        <v>1.7377915789568377E-2</v>
      </c>
      <c r="R45" s="3">
        <f t="shared" si="89"/>
        <v>-0.30000000000000004</v>
      </c>
      <c r="S45" s="3">
        <f t="shared" ref="S45:S46" si="90">S11/R11-1</f>
        <v>-0.30000000000000004</v>
      </c>
      <c r="T45" s="3">
        <f t="shared" ref="T45:T46" si="91">T11/S11-1</f>
        <v>-0.30000000000000004</v>
      </c>
      <c r="U45" s="3">
        <f t="shared" ref="U45:U46" si="92">U11/T11-1</f>
        <v>-0.30000000000000004</v>
      </c>
      <c r="V45" s="3">
        <f t="shared" ref="V45:V46" si="93">V11/U11-1</f>
        <v>-0.30000000000000004</v>
      </c>
      <c r="W45" s="3">
        <f t="shared" ref="W45:W46" si="94">W11/V11-1</f>
        <v>-1</v>
      </c>
    </row>
    <row r="46" spans="1:116" x14ac:dyDescent="0.2">
      <c r="A46" s="1" t="s">
        <v>67</v>
      </c>
      <c r="B46" s="3"/>
      <c r="C46" s="3"/>
      <c r="D46" s="3"/>
      <c r="E46" s="3"/>
      <c r="F46" s="3"/>
      <c r="G46" s="3"/>
      <c r="H46" s="3"/>
      <c r="I46" s="3"/>
      <c r="K46" s="3"/>
      <c r="L46" s="3"/>
      <c r="M46" s="3">
        <f>M12/L12-1</f>
        <v>4.9408783783783772E-2</v>
      </c>
      <c r="N46" s="3">
        <f t="shared" ref="N46:R46" si="95">N12/M12-1</f>
        <v>-1</v>
      </c>
      <c r="O46" s="3" t="e">
        <f t="shared" si="95"/>
        <v>#DIV/0!</v>
      </c>
      <c r="P46" s="3" t="e">
        <f t="shared" si="95"/>
        <v>#DIV/0!</v>
      </c>
      <c r="Q46" s="3" t="e">
        <f t="shared" si="95"/>
        <v>#DIV/0!</v>
      </c>
      <c r="R46" s="3" t="e">
        <f t="shared" si="95"/>
        <v>#DIV/0!</v>
      </c>
      <c r="S46" s="3" t="e">
        <f t="shared" si="90"/>
        <v>#DIV/0!</v>
      </c>
      <c r="T46" s="3" t="e">
        <f t="shared" si="91"/>
        <v>#DIV/0!</v>
      </c>
      <c r="U46" s="3" t="e">
        <f t="shared" si="92"/>
        <v>#DIV/0!</v>
      </c>
      <c r="V46" s="3" t="e">
        <f t="shared" si="93"/>
        <v>#DIV/0!</v>
      </c>
      <c r="W46" s="3" t="e">
        <f t="shared" si="94"/>
        <v>#DIV/0!</v>
      </c>
    </row>
    <row r="47" spans="1:116" x14ac:dyDescent="0.2">
      <c r="A47" s="1" t="s">
        <v>64</v>
      </c>
      <c r="B47" s="3"/>
      <c r="C47" s="3"/>
      <c r="D47" s="3"/>
      <c r="E47" s="3"/>
      <c r="F47" s="3"/>
      <c r="G47" s="3"/>
      <c r="H47" s="3"/>
      <c r="I47" s="3"/>
      <c r="K47" s="3"/>
      <c r="L47" s="3"/>
      <c r="M47" s="3">
        <f>M19/L19-1</f>
        <v>-0.39058931018730014</v>
      </c>
      <c r="N47" s="3">
        <f t="shared" ref="N47:R47" si="96">N19/M19-1</f>
        <v>-1</v>
      </c>
      <c r="O47" s="3" t="e">
        <f t="shared" si="96"/>
        <v>#DIV/0!</v>
      </c>
      <c r="P47" s="3" t="e">
        <f t="shared" si="96"/>
        <v>#DIV/0!</v>
      </c>
      <c r="Q47" s="3" t="e">
        <f t="shared" si="96"/>
        <v>#DIV/0!</v>
      </c>
      <c r="R47" s="3" t="e">
        <f t="shared" si="96"/>
        <v>#DIV/0!</v>
      </c>
      <c r="S47" s="3" t="e">
        <f t="shared" ref="S47" si="97">S19/R19-1</f>
        <v>#DIV/0!</v>
      </c>
      <c r="T47" s="3" t="e">
        <f t="shared" ref="T47" si="98">T19/S19-1</f>
        <v>#DIV/0!</v>
      </c>
      <c r="U47" s="3" t="e">
        <f t="shared" ref="U47" si="99">U19/T19-1</f>
        <v>#DIV/0!</v>
      </c>
      <c r="V47" s="3" t="e">
        <f t="shared" ref="V47" si="100">V19/U19-1</f>
        <v>#DIV/0!</v>
      </c>
      <c r="W47" s="3" t="e">
        <f t="shared" ref="W47" si="101">W19/V19-1</f>
        <v>#DIV/0!</v>
      </c>
    </row>
    <row r="48" spans="1:116" x14ac:dyDescent="0.2">
      <c r="A48" s="1" t="s">
        <v>65</v>
      </c>
      <c r="B48" s="3"/>
      <c r="C48" s="3"/>
      <c r="D48" s="3"/>
      <c r="E48" s="3"/>
      <c r="F48" s="3"/>
      <c r="G48" s="3"/>
      <c r="H48" s="3"/>
      <c r="I48" s="3"/>
      <c r="K48" s="3"/>
      <c r="L48" s="3"/>
      <c r="M48" s="3">
        <f>SUM(M22:M23)/SUM(L22:L23)-1</f>
        <v>4.4799999999999951E-2</v>
      </c>
      <c r="N48" s="3">
        <f t="shared" ref="N48:R48" si="102">SUM(N22:N23)/SUM(M22:M23)-1</f>
        <v>-1</v>
      </c>
      <c r="O48" s="3" t="e">
        <f t="shared" si="102"/>
        <v>#DIV/0!</v>
      </c>
      <c r="P48" s="3" t="e">
        <f t="shared" si="102"/>
        <v>#DIV/0!</v>
      </c>
      <c r="Q48" s="3" t="e">
        <f t="shared" si="102"/>
        <v>#DIV/0!</v>
      </c>
      <c r="R48" s="3" t="e">
        <f t="shared" si="102"/>
        <v>#DIV/0!</v>
      </c>
      <c r="S48" s="3" t="e">
        <f t="shared" ref="S48" si="103">SUM(S22:S23)/SUM(R22:R23)-1</f>
        <v>#DIV/0!</v>
      </c>
      <c r="T48" s="3" t="e">
        <f t="shared" ref="T48" si="104">SUM(T22:T23)/SUM(S22:S23)-1</f>
        <v>#DIV/0!</v>
      </c>
      <c r="U48" s="3" t="e">
        <f t="shared" ref="U48" si="105">SUM(U22:U23)/SUM(T22:T23)-1</f>
        <v>#DIV/0!</v>
      </c>
      <c r="V48" s="3" t="e">
        <f t="shared" ref="V48" si="106">SUM(V22:V23)/SUM(U22:U23)-1</f>
        <v>#DIV/0!</v>
      </c>
      <c r="W48" s="3" t="e">
        <f t="shared" ref="W48" si="107">SUM(W22:W23)/SUM(V22:V23)-1</f>
        <v>#DIV/0!</v>
      </c>
    </row>
    <row r="50" spans="1:23" x14ac:dyDescent="0.2">
      <c r="A50" s="1" t="s">
        <v>20</v>
      </c>
      <c r="B50" s="3">
        <f>B28/B26</f>
        <v>0.77559429477020603</v>
      </c>
      <c r="C50" s="3" t="e">
        <f t="shared" ref="C50:I50" si="108">C28/C26</f>
        <v>#DIV/0!</v>
      </c>
      <c r="D50" s="3" t="e">
        <f t="shared" si="108"/>
        <v>#DIV/0!</v>
      </c>
      <c r="E50" s="3" t="e">
        <f t="shared" si="108"/>
        <v>#DIV/0!</v>
      </c>
      <c r="F50" s="3">
        <f t="shared" si="108"/>
        <v>0.77983128340524177</v>
      </c>
      <c r="G50" s="3">
        <f t="shared" si="108"/>
        <v>0.77983128340524188</v>
      </c>
      <c r="H50" s="3">
        <f t="shared" si="108"/>
        <v>0.77983128340524188</v>
      </c>
      <c r="I50" s="3">
        <f t="shared" si="108"/>
        <v>0.77983128340524188</v>
      </c>
      <c r="K50" s="3">
        <f t="shared" ref="K50:R50" si="109">K28/K26</f>
        <v>0.70630703574380516</v>
      </c>
      <c r="L50" s="3">
        <f t="shared" si="109"/>
        <v>0.73174748398902101</v>
      </c>
      <c r="M50" s="3">
        <f t="shared" si="109"/>
        <v>0.76323089390350329</v>
      </c>
      <c r="N50" s="3">
        <f t="shared" si="109"/>
        <v>0.77983128340524177</v>
      </c>
      <c r="O50" s="3">
        <f t="shared" si="109"/>
        <v>0.77983128340524177</v>
      </c>
      <c r="P50" s="3">
        <f t="shared" si="109"/>
        <v>0.77983128340524177</v>
      </c>
      <c r="Q50" s="3">
        <f t="shared" si="109"/>
        <v>0.77983128340524177</v>
      </c>
      <c r="R50" s="3">
        <f t="shared" si="109"/>
        <v>0.77983128340524188</v>
      </c>
      <c r="S50" s="3">
        <f t="shared" ref="S50:W50" si="110">S28/S26</f>
        <v>0.77983128340524177</v>
      </c>
      <c r="T50" s="3">
        <f t="shared" si="110"/>
        <v>0.77983128340524177</v>
      </c>
      <c r="U50" s="3">
        <f t="shared" si="110"/>
        <v>0.77983128340524177</v>
      </c>
      <c r="V50" s="3">
        <f t="shared" si="110"/>
        <v>0.77983128340524177</v>
      </c>
      <c r="W50" s="3">
        <f t="shared" si="110"/>
        <v>0.77983128340524177</v>
      </c>
    </row>
    <row r="51" spans="1:23" s="4" customFormat="1" ht="15" x14ac:dyDescent="0.25">
      <c r="A51" s="4" t="s">
        <v>21</v>
      </c>
      <c r="B51" s="6">
        <f>B32/B26</f>
        <v>0.36513470681458005</v>
      </c>
      <c r="C51" s="6" t="e">
        <f t="shared" ref="C51:I51" si="111">C32/C26</f>
        <v>#DIV/0!</v>
      </c>
      <c r="D51" s="6" t="e">
        <f t="shared" si="111"/>
        <v>#DIV/0!</v>
      </c>
      <c r="E51" s="6" t="e">
        <f t="shared" si="111"/>
        <v>#DIV/0!</v>
      </c>
      <c r="F51" s="6">
        <f t="shared" si="111"/>
        <v>0.38231695537381671</v>
      </c>
      <c r="G51" s="6">
        <f t="shared" si="111"/>
        <v>0.38231695537381677</v>
      </c>
      <c r="H51" s="6">
        <f t="shared" si="111"/>
        <v>0.38231695537381677</v>
      </c>
      <c r="I51" s="6">
        <f t="shared" si="111"/>
        <v>0.38231695537381688</v>
      </c>
      <c r="K51" s="6">
        <f t="shared" ref="K51:R51" si="112">K32/K26</f>
        <v>0.3083852031779768</v>
      </c>
      <c r="L51" s="6">
        <f t="shared" si="112"/>
        <v>4.9139149962571738E-2</v>
      </c>
      <c r="M51" s="6">
        <f t="shared" si="112"/>
        <v>0.31512591946141377</v>
      </c>
      <c r="N51" s="6">
        <f t="shared" si="112"/>
        <v>0.38231695537381671</v>
      </c>
      <c r="O51" s="6">
        <f t="shared" si="112"/>
        <v>0.38231695537381671</v>
      </c>
      <c r="P51" s="6">
        <f t="shared" si="112"/>
        <v>0.38231695537381666</v>
      </c>
      <c r="Q51" s="6">
        <f t="shared" si="112"/>
        <v>0.38231695537381671</v>
      </c>
      <c r="R51" s="6">
        <f t="shared" si="112"/>
        <v>0.38231695537381677</v>
      </c>
      <c r="S51" s="6">
        <f t="shared" ref="S51:W51" si="113">S32/S26</f>
        <v>0.38231695537381677</v>
      </c>
      <c r="T51" s="6">
        <f t="shared" si="113"/>
        <v>0.38231695537381666</v>
      </c>
      <c r="U51" s="6">
        <f t="shared" si="113"/>
        <v>0.38231695537381671</v>
      </c>
      <c r="V51" s="6">
        <f t="shared" si="113"/>
        <v>0.3823169553738166</v>
      </c>
      <c r="W51" s="6">
        <f t="shared" si="113"/>
        <v>0.38231695537381655</v>
      </c>
    </row>
    <row r="52" spans="1:23" x14ac:dyDescent="0.2">
      <c r="A52" s="1" t="s">
        <v>22</v>
      </c>
      <c r="B52" s="3">
        <f>B113/B26</f>
        <v>0</v>
      </c>
      <c r="C52" s="3" t="e">
        <f t="shared" ref="C52:I52" si="114">C113/C26</f>
        <v>#DIV/0!</v>
      </c>
      <c r="D52" s="3" t="e">
        <f t="shared" si="114"/>
        <v>#DIV/0!</v>
      </c>
      <c r="E52" s="3" t="e">
        <f t="shared" si="114"/>
        <v>#DIV/0!</v>
      </c>
      <c r="F52" s="3">
        <f t="shared" si="114"/>
        <v>0</v>
      </c>
      <c r="G52" s="3">
        <f t="shared" si="114"/>
        <v>0</v>
      </c>
      <c r="H52" s="3">
        <f t="shared" si="114"/>
        <v>0</v>
      </c>
      <c r="I52" s="3">
        <f t="shared" si="114"/>
        <v>0</v>
      </c>
      <c r="K52" s="3">
        <f>K113/K26</f>
        <v>0.27908506654521531</v>
      </c>
      <c r="L52" s="3">
        <f>L113/L26</f>
        <v>0.16980786825251601</v>
      </c>
      <c r="M52" s="3">
        <f t="shared" ref="M52:R52" si="115">M113/M26</f>
        <v>0.28645119062461039</v>
      </c>
      <c r="N52" s="3">
        <f t="shared" si="115"/>
        <v>0.30682099305936528</v>
      </c>
      <c r="O52" s="3">
        <f t="shared" si="115"/>
        <v>0.3092652158403853</v>
      </c>
      <c r="P52" s="3">
        <f t="shared" si="115"/>
        <v>0.30910737074204903</v>
      </c>
      <c r="Q52" s="3">
        <f t="shared" si="115"/>
        <v>0.32518934063163013</v>
      </c>
      <c r="R52" s="3">
        <f t="shared" si="115"/>
        <v>0.3408064381782554</v>
      </c>
      <c r="S52" s="3">
        <f t="shared" ref="S52:W52" si="116">S113/S26</f>
        <v>0.35686133840142609</v>
      </c>
      <c r="T52" s="3">
        <f t="shared" si="116"/>
        <v>0.3736021461248763</v>
      </c>
      <c r="U52" s="3">
        <f t="shared" si="116"/>
        <v>0.39106098912283371</v>
      </c>
      <c r="V52" s="3">
        <f t="shared" si="116"/>
        <v>0.40927177043303598</v>
      </c>
      <c r="W52" s="3">
        <f t="shared" si="116"/>
        <v>0.42751154914908673</v>
      </c>
    </row>
    <row r="53" spans="1:23" x14ac:dyDescent="0.2">
      <c r="K53" s="3"/>
      <c r="L53" s="3"/>
      <c r="M53" s="3"/>
    </row>
    <row r="54" spans="1:23" x14ac:dyDescent="0.2">
      <c r="A54" s="1" t="s">
        <v>25</v>
      </c>
      <c r="F54" s="1">
        <f>F55-F56</f>
        <v>-32320</v>
      </c>
      <c r="G54" s="1">
        <f>F54+G36</f>
        <v>-27618.691149999999</v>
      </c>
      <c r="H54" s="1">
        <f>G54+H36</f>
        <v>-22705.314901153746</v>
      </c>
      <c r="I54" s="1">
        <f>H54+I36</f>
        <v>-17572.619604125692</v>
      </c>
      <c r="L54" s="1">
        <f>L55-L56</f>
        <v>-36253</v>
      </c>
      <c r="M54" s="1">
        <f>M55-M56</f>
        <v>-28625</v>
      </c>
      <c r="N54" s="1">
        <f>I54</f>
        <v>-17572.619604125692</v>
      </c>
      <c r="O54" s="1">
        <f>N54+O36</f>
        <v>2701.6815568059101</v>
      </c>
      <c r="P54" s="1">
        <f>O54+P36</f>
        <v>23244.649910522588</v>
      </c>
      <c r="Q54" s="1">
        <f>P54+Q36</f>
        <v>45169.653137163928</v>
      </c>
      <c r="R54" s="1">
        <f>Q54+R36</f>
        <v>68550.365653165718</v>
      </c>
      <c r="S54" s="1">
        <f t="shared" ref="S54:W54" si="117">R54+S36</f>
        <v>93251.720651999</v>
      </c>
      <c r="T54" s="1">
        <f t="shared" si="117"/>
        <v>119338.4405544457</v>
      </c>
      <c r="U54" s="1">
        <f t="shared" si="117"/>
        <v>146878.33686370379</v>
      </c>
      <c r="V54" s="1">
        <f t="shared" si="117"/>
        <v>175942.4568002905</v>
      </c>
      <c r="W54" s="1">
        <f t="shared" si="117"/>
        <v>206860.10938141556</v>
      </c>
    </row>
    <row r="55" spans="1:23" x14ac:dyDescent="0.2">
      <c r="A55" s="1" t="s">
        <v>4</v>
      </c>
      <c r="F55" s="1">
        <f>8629+599</f>
        <v>9228</v>
      </c>
      <c r="L55" s="1">
        <f>L58+L59</f>
        <v>7093</v>
      </c>
      <c r="M55" s="1">
        <f>M58+M59</f>
        <v>13689</v>
      </c>
    </row>
    <row r="56" spans="1:23" x14ac:dyDescent="0.2">
      <c r="A56" s="1" t="s">
        <v>5</v>
      </c>
      <c r="F56" s="1">
        <f>33484+1409+6655</f>
        <v>41548</v>
      </c>
      <c r="L56" s="1">
        <f>SUM(L81:L83)</f>
        <v>43346</v>
      </c>
      <c r="M56" s="1">
        <f>SUM(M81:M83)</f>
        <v>42314</v>
      </c>
    </row>
    <row r="58" spans="1:23" x14ac:dyDescent="0.2">
      <c r="A58" s="1" t="s">
        <v>4</v>
      </c>
      <c r="F58" s="1">
        <f>8629+599</f>
        <v>9228</v>
      </c>
      <c r="L58" s="1">
        <v>6841</v>
      </c>
      <c r="M58" s="1">
        <v>13242</v>
      </c>
    </row>
    <row r="59" spans="1:23" x14ac:dyDescent="0.2">
      <c r="A59" s="1" t="s">
        <v>88</v>
      </c>
      <c r="L59" s="1">
        <v>252</v>
      </c>
      <c r="M59" s="1">
        <v>447</v>
      </c>
    </row>
    <row r="60" spans="1:23" x14ac:dyDescent="0.2">
      <c r="A60" s="1" t="s">
        <v>69</v>
      </c>
      <c r="L60" s="1">
        <v>10349</v>
      </c>
      <c r="M60" s="1">
        <v>10278</v>
      </c>
    </row>
    <row r="61" spans="1:23" x14ac:dyDescent="0.2">
      <c r="A61" s="1" t="s">
        <v>70</v>
      </c>
      <c r="L61" s="1">
        <v>6358</v>
      </c>
      <c r="M61" s="1">
        <v>6109</v>
      </c>
    </row>
    <row r="62" spans="1:23" x14ac:dyDescent="0.2">
      <c r="A62" s="1" t="s">
        <v>71</v>
      </c>
      <c r="L62" s="1">
        <v>8368</v>
      </c>
      <c r="M62" s="1">
        <v>8706</v>
      </c>
    </row>
    <row r="63" spans="1:23" x14ac:dyDescent="0.2">
      <c r="A63" s="1" t="s">
        <v>72</v>
      </c>
      <c r="L63" s="1">
        <v>252</v>
      </c>
      <c r="M63" s="1">
        <v>463</v>
      </c>
    </row>
    <row r="64" spans="1:23" x14ac:dyDescent="0.2">
      <c r="A64" s="1" t="s">
        <v>74</v>
      </c>
      <c r="L64" s="1">
        <v>326</v>
      </c>
      <c r="M64" s="1">
        <v>307</v>
      </c>
    </row>
    <row r="65" spans="1:13" x14ac:dyDescent="0.2">
      <c r="A65" s="1" t="s">
        <v>75</v>
      </c>
      <c r="L65" s="1">
        <v>14966</v>
      </c>
      <c r="M65" s="1">
        <v>16360</v>
      </c>
    </row>
    <row r="66" spans="1:13" x14ac:dyDescent="0.2">
      <c r="A66" s="1" t="s">
        <v>76</v>
      </c>
      <c r="L66" s="1">
        <v>17763</v>
      </c>
      <c r="M66" s="1">
        <v>18283</v>
      </c>
    </row>
    <row r="67" spans="1:13" x14ac:dyDescent="0.2">
      <c r="A67" s="1" t="s">
        <v>77</v>
      </c>
      <c r="L67" s="1">
        <v>8262</v>
      </c>
      <c r="M67" s="1">
        <v>7984</v>
      </c>
    </row>
    <row r="68" spans="1:13" x14ac:dyDescent="0.2">
      <c r="A68" s="1" t="s">
        <v>73</v>
      </c>
      <c r="L68" s="1">
        <f>SUM(L64:L67)</f>
        <v>41317</v>
      </c>
      <c r="M68" s="1">
        <f>SUM(M64:M67)</f>
        <v>42934</v>
      </c>
    </row>
    <row r="69" spans="1:13" x14ac:dyDescent="0.2">
      <c r="A69" s="1" t="s">
        <v>78</v>
      </c>
      <c r="L69" s="1">
        <v>18266</v>
      </c>
      <c r="M69" s="1">
        <v>19155</v>
      </c>
    </row>
    <row r="70" spans="1:13" x14ac:dyDescent="0.2">
      <c r="A70" s="1" t="s">
        <v>96</v>
      </c>
      <c r="L70" s="1">
        <f>L68-L69</f>
        <v>23051</v>
      </c>
      <c r="M70" s="1">
        <f>M68-M69</f>
        <v>23779</v>
      </c>
    </row>
    <row r="71" spans="1:13" x14ac:dyDescent="0.2">
      <c r="A71" s="1" t="s">
        <v>79</v>
      </c>
      <c r="L71" s="1">
        <v>21197</v>
      </c>
      <c r="M71" s="1">
        <v>21668</v>
      </c>
    </row>
    <row r="72" spans="1:13" x14ac:dyDescent="0.2">
      <c r="A72" s="1" t="s">
        <v>80</v>
      </c>
      <c r="L72" s="1">
        <v>18011</v>
      </c>
      <c r="M72" s="1">
        <v>16370</v>
      </c>
    </row>
    <row r="73" spans="1:13" x14ac:dyDescent="0.2">
      <c r="A73" s="1" t="s">
        <v>81</v>
      </c>
      <c r="L73" s="1">
        <v>11996</v>
      </c>
      <c r="M73" s="1">
        <v>16044</v>
      </c>
    </row>
    <row r="74" spans="1:13" x14ac:dyDescent="0.2">
      <c r="A74" s="1" t="s">
        <v>93</v>
      </c>
      <c r="L74" s="1">
        <f>SUM(L70:L73,L58:L63)</f>
        <v>106675</v>
      </c>
      <c r="M74" s="1">
        <f>SUM(M70:M73,M58:M63)</f>
        <v>117106</v>
      </c>
    </row>
    <row r="76" spans="1:13" x14ac:dyDescent="0.2">
      <c r="A76" s="1" t="s">
        <v>82</v>
      </c>
      <c r="L76" s="1">
        <v>1372</v>
      </c>
      <c r="M76" s="1">
        <v>2649</v>
      </c>
    </row>
    <row r="77" spans="1:13" x14ac:dyDescent="0.2">
      <c r="A77" s="1" t="s">
        <v>83</v>
      </c>
      <c r="L77" s="1">
        <v>3922</v>
      </c>
      <c r="M77" s="1">
        <v>4079</v>
      </c>
    </row>
    <row r="78" spans="1:13" x14ac:dyDescent="0.2">
      <c r="A78" s="1" t="s">
        <v>84</v>
      </c>
      <c r="L78" s="1">
        <v>15766</v>
      </c>
      <c r="M78" s="1">
        <v>15694</v>
      </c>
    </row>
    <row r="79" spans="1:13" x14ac:dyDescent="0.2">
      <c r="A79" s="1" t="s">
        <v>85</v>
      </c>
      <c r="L79" s="1">
        <v>2649</v>
      </c>
      <c r="M79" s="1">
        <v>3914</v>
      </c>
    </row>
    <row r="80" spans="1:13" x14ac:dyDescent="0.2">
      <c r="A80" s="1" t="s">
        <v>86</v>
      </c>
      <c r="L80" s="1">
        <v>1985</v>
      </c>
      <c r="M80" s="1">
        <v>2084</v>
      </c>
    </row>
    <row r="81" spans="1:23" x14ac:dyDescent="0.2">
      <c r="A81" s="1" t="s">
        <v>87</v>
      </c>
      <c r="L81" s="1">
        <v>33683</v>
      </c>
      <c r="M81" s="1">
        <v>34462</v>
      </c>
    </row>
    <row r="82" spans="1:23" x14ac:dyDescent="0.2">
      <c r="A82" s="1" t="s">
        <v>89</v>
      </c>
      <c r="L82" s="1">
        <v>871</v>
      </c>
      <c r="M82" s="1">
        <v>1387</v>
      </c>
    </row>
    <row r="83" spans="1:23" x14ac:dyDescent="0.2">
      <c r="A83" s="1" t="s">
        <v>90</v>
      </c>
      <c r="L83" s="1">
        <v>8792</v>
      </c>
      <c r="M83" s="1">
        <v>6465</v>
      </c>
    </row>
    <row r="84" spans="1:23" x14ac:dyDescent="0.2">
      <c r="A84" s="1" t="s">
        <v>95</v>
      </c>
      <c r="L84" s="1">
        <f>SUM(L77:L83)</f>
        <v>67668</v>
      </c>
      <c r="M84" s="1">
        <f>SUM(M77:M83)</f>
        <v>68085</v>
      </c>
    </row>
    <row r="85" spans="1:23" x14ac:dyDescent="0.2">
      <c r="A85" s="1" t="s">
        <v>91</v>
      </c>
      <c r="L85" s="1">
        <f>L74-L84</f>
        <v>39007</v>
      </c>
      <c r="M85" s="1">
        <f>M74-M84</f>
        <v>49021</v>
      </c>
    </row>
    <row r="86" spans="1:23" x14ac:dyDescent="0.2">
      <c r="A86" s="1" t="s">
        <v>94</v>
      </c>
      <c r="L86" s="1">
        <f>L85+L84</f>
        <v>106675</v>
      </c>
      <c r="M86" s="1">
        <f>M85+M84</f>
        <v>117106</v>
      </c>
    </row>
    <row r="88" spans="1:23" x14ac:dyDescent="0.2">
      <c r="A88" s="1" t="s">
        <v>92</v>
      </c>
      <c r="L88" s="1">
        <f>L60/L26*360</f>
        <v>61.9752141728354</v>
      </c>
      <c r="M88" s="1">
        <f>M60/M26*360</f>
        <v>57.662386236130153</v>
      </c>
    </row>
    <row r="90" spans="1:23" x14ac:dyDescent="0.2">
      <c r="A90" s="1" t="s">
        <v>98</v>
      </c>
      <c r="K90" s="1">
        <f>K36</f>
        <v>16364</v>
      </c>
      <c r="L90" s="1">
        <f t="shared" ref="L90:R90" si="118">L36</f>
        <v>1442</v>
      </c>
      <c r="M90" s="1">
        <f t="shared" si="118"/>
        <v>17418</v>
      </c>
      <c r="N90" s="1">
        <f t="shared" si="118"/>
        <v>19831.380395874301</v>
      </c>
      <c r="O90" s="1">
        <f t="shared" si="118"/>
        <v>20274.301160931602</v>
      </c>
      <c r="P90" s="1">
        <f t="shared" si="118"/>
        <v>20542.968353716678</v>
      </c>
      <c r="Q90" s="1">
        <f t="shared" si="118"/>
        <v>21925.003226641336</v>
      </c>
      <c r="R90" s="1">
        <f t="shared" si="118"/>
        <v>23380.712516001789</v>
      </c>
      <c r="S90" s="1">
        <f t="shared" ref="S90:W90" si="119">S36</f>
        <v>24701.354998833278</v>
      </c>
      <c r="T90" s="1">
        <f t="shared" si="119"/>
        <v>26086.719902446701</v>
      </c>
      <c r="U90" s="1">
        <f t="shared" si="119"/>
        <v>27539.896309258096</v>
      </c>
      <c r="V90" s="1">
        <f t="shared" si="119"/>
        <v>29064.119936586696</v>
      </c>
      <c r="W90" s="1">
        <f t="shared" si="119"/>
        <v>30917.652581125054</v>
      </c>
    </row>
    <row r="91" spans="1:23" x14ac:dyDescent="0.2">
      <c r="A91" s="1" t="s">
        <v>99</v>
      </c>
      <c r="K91" s="1">
        <v>14526</v>
      </c>
      <c r="L91" s="1">
        <v>377</v>
      </c>
      <c r="M91" s="1">
        <v>17133</v>
      </c>
    </row>
    <row r="92" spans="1:23" x14ac:dyDescent="0.2">
      <c r="A92" s="1" t="s">
        <v>100</v>
      </c>
      <c r="K92" s="1">
        <f>2085+1824</f>
        <v>3909</v>
      </c>
      <c r="L92" s="1">
        <f>2044+1828</f>
        <v>3872</v>
      </c>
      <c r="M92" s="1">
        <f>2395+2104</f>
        <v>4499</v>
      </c>
      <c r="N92" s="1">
        <f>M92*(1+N40)</f>
        <v>4555.0582693837578</v>
      </c>
      <c r="O92" s="1">
        <f>N92*1.08</f>
        <v>4919.4629309344591</v>
      </c>
      <c r="P92" s="1">
        <f t="shared" ref="P92:Q92" si="120">O92*1.08</f>
        <v>5313.0199654092166</v>
      </c>
      <c r="Q92" s="1">
        <f t="shared" si="120"/>
        <v>5738.061562641954</v>
      </c>
      <c r="R92" s="1">
        <f>Q92*(1+R40)</f>
        <v>5852.822793894793</v>
      </c>
      <c r="S92" s="1">
        <f t="shared" ref="S92:W92" si="121">R92*(1+S40)</f>
        <v>5911.3510218337406</v>
      </c>
      <c r="T92" s="1">
        <f t="shared" si="121"/>
        <v>5970.4645320520776</v>
      </c>
      <c r="U92" s="1">
        <f t="shared" si="121"/>
        <v>6030.1691773725988</v>
      </c>
      <c r="V92" s="1">
        <f t="shared" si="121"/>
        <v>6090.4708691463247</v>
      </c>
      <c r="W92" s="1">
        <f t="shared" si="121"/>
        <v>6221.6084704680561</v>
      </c>
    </row>
    <row r="93" spans="1:23" x14ac:dyDescent="0.2">
      <c r="A93" s="1" t="s">
        <v>110</v>
      </c>
      <c r="K93" s="1">
        <v>1749</v>
      </c>
      <c r="L93" s="1">
        <v>792</v>
      </c>
      <c r="M93" s="1">
        <v>39</v>
      </c>
      <c r="N93" s="1">
        <f>M93*(1+N40)</f>
        <v>39.485946322730953</v>
      </c>
      <c r="O93" s="1">
        <f>N93*(1+O40)</f>
        <v>40.275665249185572</v>
      </c>
      <c r="P93" s="1">
        <f>O93*(1+P40)</f>
        <v>41.081178554169284</v>
      </c>
      <c r="Q93" s="1">
        <f>P93*(1+Q40)</f>
        <v>41.90280212525267</v>
      </c>
      <c r="R93" s="1">
        <f>Q93*(1+R40)</f>
        <v>42.740858167757722</v>
      </c>
      <c r="S93" s="1">
        <f t="shared" ref="S93:W93" si="122">R93*(1+S40)</f>
        <v>43.168266749435297</v>
      </c>
      <c r="T93" s="1">
        <f t="shared" si="122"/>
        <v>43.599949416929647</v>
      </c>
      <c r="U93" s="1">
        <f t="shared" si="122"/>
        <v>44.035948911098941</v>
      </c>
      <c r="V93" s="1">
        <f t="shared" si="122"/>
        <v>44.47630840020993</v>
      </c>
      <c r="W93" s="1">
        <f t="shared" si="122"/>
        <v>45.433954619124798</v>
      </c>
    </row>
    <row r="94" spans="1:23" x14ac:dyDescent="0.2">
      <c r="A94" s="1" t="s">
        <v>101</v>
      </c>
      <c r="K94" s="1">
        <v>1419</v>
      </c>
      <c r="L94" s="1">
        <v>-340</v>
      </c>
      <c r="M94" s="1">
        <v>-14</v>
      </c>
      <c r="N94" s="1">
        <f>M94*(1+N40)</f>
        <v>-14.174442269698291</v>
      </c>
      <c r="O94" s="1">
        <f>N94*(1+O40)</f>
        <v>-14.457931115092258</v>
      </c>
      <c r="P94" s="1">
        <f>O94*(1+P40)</f>
        <v>-14.747089737394104</v>
      </c>
      <c r="Q94" s="1">
        <f>P94*(1+Q40)</f>
        <v>-15.042031532141987</v>
      </c>
      <c r="R94" s="1">
        <f>Q94*(1+R40)</f>
        <v>-15.342872162784827</v>
      </c>
      <c r="S94" s="1">
        <f t="shared" ref="S94:W94" si="123">R94*(1+S40)</f>
        <v>-15.496300884412676</v>
      </c>
      <c r="T94" s="1">
        <f t="shared" si="123"/>
        <v>-15.651263893256804</v>
      </c>
      <c r="U94" s="1">
        <f t="shared" si="123"/>
        <v>-15.807776532189372</v>
      </c>
      <c r="V94" s="1">
        <f t="shared" si="123"/>
        <v>-15.965854297511266</v>
      </c>
      <c r="W94" s="1">
        <f t="shared" si="123"/>
        <v>-16.309624735070447</v>
      </c>
    </row>
    <row r="95" spans="1:23" x14ac:dyDescent="0.2">
      <c r="A95" s="1" t="s">
        <v>102</v>
      </c>
      <c r="K95" s="1">
        <v>0</v>
      </c>
      <c r="L95" s="1">
        <v>11409</v>
      </c>
      <c r="M95" s="1">
        <v>3456</v>
      </c>
      <c r="N95" s="1">
        <f>M95*(1+N40)</f>
        <v>3499.0623202912352</v>
      </c>
      <c r="O95" s="1">
        <f>N95*(1+O40)</f>
        <v>3569.0435666970598</v>
      </c>
      <c r="P95" s="1">
        <f>O95*(1+P40)</f>
        <v>3640.424438031001</v>
      </c>
      <c r="Q95" s="1">
        <f>P95*(1+Q40)</f>
        <v>3713.2329267916211</v>
      </c>
      <c r="R95" s="1">
        <f>Q95*(1+R40)</f>
        <v>3787.4975853274536</v>
      </c>
      <c r="S95" s="1">
        <f t="shared" ref="S95:W95" si="124">R95*(1+S40)</f>
        <v>3825.3725611807281</v>
      </c>
      <c r="T95" s="1">
        <f t="shared" si="124"/>
        <v>3863.6262867925352</v>
      </c>
      <c r="U95" s="1">
        <f t="shared" si="124"/>
        <v>3902.2625496604605</v>
      </c>
      <c r="V95" s="1">
        <f t="shared" si="124"/>
        <v>3941.2851751570652</v>
      </c>
      <c r="W95" s="1">
        <f t="shared" si="124"/>
        <v>4026.1473631716749</v>
      </c>
    </row>
    <row r="96" spans="1:23" x14ac:dyDescent="0.2">
      <c r="A96" s="1" t="s">
        <v>89</v>
      </c>
      <c r="K96" s="1">
        <v>-1568</v>
      </c>
      <c r="L96" s="1">
        <v>-1899</v>
      </c>
      <c r="M96" s="1">
        <v>-1249</v>
      </c>
      <c r="N96" s="1">
        <f>M96*(1+N40)</f>
        <v>-1264.5627424895119</v>
      </c>
      <c r="O96" s="1">
        <f>N96*(1+O40)</f>
        <v>-1289.8539973393022</v>
      </c>
      <c r="P96" s="1">
        <f>O96*(1+P40)</f>
        <v>-1315.6510772860881</v>
      </c>
      <c r="Q96" s="1">
        <f>P96*(1+Q40)</f>
        <v>-1341.9640988318099</v>
      </c>
      <c r="R96" s="1">
        <f>Q96*(1+R40)</f>
        <v>-1368.803380808446</v>
      </c>
      <c r="S96" s="1">
        <f t="shared" ref="S96:W96" si="125">R96*(1+S40)</f>
        <v>-1382.4914146165306</v>
      </c>
      <c r="T96" s="1">
        <f t="shared" si="125"/>
        <v>-1396.316328762696</v>
      </c>
      <c r="U96" s="1">
        <f t="shared" si="125"/>
        <v>-1410.2794920503229</v>
      </c>
      <c r="V96" s="1">
        <f t="shared" si="125"/>
        <v>-1424.382286970826</v>
      </c>
      <c r="W96" s="1">
        <f t="shared" si="125"/>
        <v>-1455.0515210073559</v>
      </c>
    </row>
    <row r="97" spans="1:26" x14ac:dyDescent="0.2">
      <c r="A97" s="1" t="s">
        <v>103</v>
      </c>
      <c r="K97" s="1">
        <v>541</v>
      </c>
      <c r="L97" s="1">
        <v>645</v>
      </c>
      <c r="M97" s="1">
        <v>761</v>
      </c>
      <c r="N97" s="1">
        <f>M97*(1+N41)</f>
        <v>761</v>
      </c>
      <c r="O97" s="1">
        <f>N97*1.1</f>
        <v>837.1</v>
      </c>
      <c r="P97" s="1">
        <f t="shared" ref="P97:W97" si="126">O97*1.1</f>
        <v>920.81000000000006</v>
      </c>
      <c r="Q97" s="1">
        <f t="shared" si="126"/>
        <v>1012.8910000000002</v>
      </c>
      <c r="R97" s="1">
        <f t="shared" si="126"/>
        <v>1114.1801000000003</v>
      </c>
      <c r="S97" s="1">
        <f t="shared" si="126"/>
        <v>1225.5981100000004</v>
      </c>
      <c r="T97" s="1">
        <f t="shared" si="126"/>
        <v>1348.1579210000004</v>
      </c>
      <c r="U97" s="1">
        <f t="shared" si="126"/>
        <v>1482.9737131000006</v>
      </c>
      <c r="V97" s="1">
        <f t="shared" si="126"/>
        <v>1631.2710844100009</v>
      </c>
      <c r="W97" s="1">
        <f t="shared" si="126"/>
        <v>1794.3981928510011</v>
      </c>
    </row>
    <row r="98" spans="1:26" x14ac:dyDescent="0.2">
      <c r="A98" s="1" t="s">
        <v>49</v>
      </c>
      <c r="K98" s="1">
        <v>1301</v>
      </c>
      <c r="L98" s="1">
        <v>355</v>
      </c>
      <c r="M98" s="1">
        <v>510</v>
      </c>
      <c r="N98" s="1">
        <f>M98*(1+N40)</f>
        <v>516.35468268186628</v>
      </c>
      <c r="O98" s="1">
        <f>N98*(1+O40)</f>
        <v>526.68177633550363</v>
      </c>
      <c r="P98" s="1">
        <f>O98*(1+P40)</f>
        <v>537.21541186221373</v>
      </c>
      <c r="Q98" s="1">
        <f>P98*(1+Q40)</f>
        <v>547.95972009945797</v>
      </c>
      <c r="R98" s="1">
        <f>Q98*(1+R40)</f>
        <v>558.91891450144715</v>
      </c>
      <c r="S98" s="1">
        <f t="shared" ref="S98:W98" si="127">R98*(1+S40)</f>
        <v>564.50810364646168</v>
      </c>
      <c r="T98" s="1">
        <f t="shared" si="127"/>
        <v>570.15318468292628</v>
      </c>
      <c r="U98" s="1">
        <f t="shared" si="127"/>
        <v>575.85471652975559</v>
      </c>
      <c r="V98" s="1">
        <f t="shared" si="127"/>
        <v>581.61326369505321</v>
      </c>
      <c r="W98" s="1">
        <f t="shared" si="127"/>
        <v>594.13632963470911</v>
      </c>
    </row>
    <row r="99" spans="1:26" x14ac:dyDescent="0.2">
      <c r="A99" s="1" t="s">
        <v>69</v>
      </c>
      <c r="K99" s="1">
        <v>-644</v>
      </c>
      <c r="L99" s="1">
        <v>-1148</v>
      </c>
      <c r="M99" s="1">
        <v>-244</v>
      </c>
      <c r="N99" s="1">
        <f>M99*(1+N40)</f>
        <v>-247.04027955759878</v>
      </c>
      <c r="O99" s="1">
        <f>N99*(1+O40)</f>
        <v>-251.98108514875076</v>
      </c>
      <c r="P99" s="1">
        <f>O99*(1+P40)</f>
        <v>-257.02070685172578</v>
      </c>
      <c r="Q99" s="1">
        <f>P99*(1+Q40)</f>
        <v>-262.16112098876027</v>
      </c>
      <c r="R99" s="1">
        <f>Q99*(1+R40)</f>
        <v>-267.40434340853551</v>
      </c>
      <c r="S99" s="1">
        <f t="shared" ref="S99:W99" si="128">R99*(1+S40)</f>
        <v>-270.07838684262089</v>
      </c>
      <c r="T99" s="1">
        <f t="shared" si="128"/>
        <v>-272.77917071104707</v>
      </c>
      <c r="U99" s="1">
        <f t="shared" si="128"/>
        <v>-275.50696241815757</v>
      </c>
      <c r="V99" s="1">
        <f t="shared" si="128"/>
        <v>-278.26203204233917</v>
      </c>
      <c r="W99" s="1">
        <f t="shared" si="128"/>
        <v>-284.25345966837062</v>
      </c>
    </row>
    <row r="100" spans="1:26" x14ac:dyDescent="0.2">
      <c r="A100" s="1" t="s">
        <v>70</v>
      </c>
      <c r="K100" s="1">
        <v>-161</v>
      </c>
      <c r="L100" s="1">
        <v>-816</v>
      </c>
      <c r="M100" s="1">
        <v>-835</v>
      </c>
      <c r="N100" s="1">
        <f>M100*(1+N40)</f>
        <v>-845.40423537129095</v>
      </c>
      <c r="O100" s="1">
        <f>N100*(1+O40)</f>
        <v>-862.31232007871677</v>
      </c>
      <c r="P100" s="1">
        <f>O100*(1+P40)</f>
        <v>-879.55856648029112</v>
      </c>
      <c r="Q100" s="1">
        <f>P100*(1+Q40)</f>
        <v>-897.14973780989692</v>
      </c>
      <c r="R100" s="1">
        <f>Q100*(1+R40)</f>
        <v>-915.09273256609492</v>
      </c>
      <c r="S100" s="1">
        <f t="shared" ref="S100:W100" si="129">R100*(1+S40)</f>
        <v>-924.2436598917559</v>
      </c>
      <c r="T100" s="1">
        <f t="shared" si="129"/>
        <v>-933.4860964906735</v>
      </c>
      <c r="U100" s="1">
        <f t="shared" si="129"/>
        <v>-942.82095745558024</v>
      </c>
      <c r="V100" s="1">
        <f t="shared" si="129"/>
        <v>-952.24916703013605</v>
      </c>
      <c r="W100" s="1">
        <f t="shared" si="129"/>
        <v>-972.75261812741587</v>
      </c>
    </row>
    <row r="101" spans="1:26" x14ac:dyDescent="0.2">
      <c r="A101" s="1" t="s">
        <v>83</v>
      </c>
      <c r="K101" s="1">
        <v>-289</v>
      </c>
      <c r="L101" s="1">
        <v>-380</v>
      </c>
      <c r="M101" s="1">
        <v>182</v>
      </c>
      <c r="N101" s="1">
        <f>M101*(1+N40)</f>
        <v>184.26774950607779</v>
      </c>
      <c r="O101" s="1">
        <f>N101*(1+O40)</f>
        <v>187.95310449619936</v>
      </c>
      <c r="P101" s="1">
        <f>O101*(1+P40)</f>
        <v>191.71216658612335</v>
      </c>
      <c r="Q101" s="1">
        <f>P101*(1+Q40)</f>
        <v>195.54640991784581</v>
      </c>
      <c r="R101" s="1">
        <f>Q101*(1+R40)</f>
        <v>199.45733811620272</v>
      </c>
      <c r="S101" s="1">
        <f t="shared" ref="S101:W101" si="130">R101*(1+S40)</f>
        <v>201.45191149736476</v>
      </c>
      <c r="T101" s="1">
        <f t="shared" si="130"/>
        <v>203.4664306123384</v>
      </c>
      <c r="U101" s="1">
        <f t="shared" si="130"/>
        <v>205.50109491846177</v>
      </c>
      <c r="V101" s="1">
        <f t="shared" si="130"/>
        <v>207.55610586764638</v>
      </c>
      <c r="W101" s="1">
        <f t="shared" si="130"/>
        <v>212.02512155591575</v>
      </c>
    </row>
    <row r="102" spans="1:26" x14ac:dyDescent="0.2">
      <c r="A102" s="1" t="s">
        <v>84</v>
      </c>
      <c r="K102" s="1">
        <v>-50</v>
      </c>
      <c r="L102" s="1">
        <v>1783</v>
      </c>
      <c r="M102" s="1">
        <v>-2328</v>
      </c>
      <c r="N102" s="1">
        <f>M102*(1+N40)</f>
        <v>-2357.0072574184014</v>
      </c>
      <c r="O102" s="1">
        <f>N102*(1+O40)</f>
        <v>-2404.1474025667694</v>
      </c>
      <c r="P102" s="1">
        <f>O102*(1+P40)</f>
        <v>-2452.2303506181047</v>
      </c>
      <c r="Q102" s="1">
        <f>P102*(1+Q40)</f>
        <v>-2501.2749576304668</v>
      </c>
      <c r="R102" s="1">
        <f>Q102*(1+R40)</f>
        <v>-2551.3004567830762</v>
      </c>
      <c r="S102" s="1">
        <f t="shared" ref="S102:W102" si="131">R102*(1+S40)</f>
        <v>-2576.8134613509069</v>
      </c>
      <c r="T102" s="1">
        <f t="shared" si="131"/>
        <v>-2602.581595964416</v>
      </c>
      <c r="U102" s="1">
        <f t="shared" si="131"/>
        <v>-2628.6074119240602</v>
      </c>
      <c r="V102" s="1">
        <f t="shared" si="131"/>
        <v>-2654.893486043301</v>
      </c>
      <c r="W102" s="1">
        <f t="shared" si="131"/>
        <v>-2712.0575988031419</v>
      </c>
    </row>
    <row r="103" spans="1:26" x14ac:dyDescent="0.2">
      <c r="A103" s="1" t="s">
        <v>85</v>
      </c>
      <c r="K103" s="1">
        <v>380</v>
      </c>
      <c r="L103" s="1">
        <v>214</v>
      </c>
      <c r="M103" s="1">
        <v>1023</v>
      </c>
      <c r="N103" s="1">
        <v>400</v>
      </c>
      <c r="O103" s="1">
        <f>N103*(1+O40)</f>
        <v>408</v>
      </c>
      <c r="P103" s="1">
        <f>O103*(1+P40)</f>
        <v>416.16</v>
      </c>
      <c r="Q103" s="1">
        <f>P103*(1+Q40)</f>
        <v>424.48320000000001</v>
      </c>
      <c r="R103" s="1">
        <f>Q103*(1+R40)</f>
        <v>432.97286400000002</v>
      </c>
      <c r="S103" s="1">
        <f t="shared" ref="S103:W103" si="132">R103*(1+S40)</f>
        <v>437.30259264</v>
      </c>
      <c r="T103" s="1">
        <f t="shared" si="132"/>
        <v>441.67561856639998</v>
      </c>
      <c r="U103" s="1">
        <f t="shared" si="132"/>
        <v>446.09237475206396</v>
      </c>
      <c r="V103" s="1">
        <f t="shared" si="132"/>
        <v>450.55329849958463</v>
      </c>
      <c r="W103" s="1">
        <f t="shared" si="132"/>
        <v>460.25443328903833</v>
      </c>
      <c r="Y103" s="1" t="s">
        <v>36</v>
      </c>
      <c r="Z103" s="8">
        <v>0.06</v>
      </c>
    </row>
    <row r="104" spans="1:26" x14ac:dyDescent="0.2">
      <c r="A104" s="1" t="s">
        <v>104</v>
      </c>
      <c r="K104" s="1">
        <v>-545</v>
      </c>
      <c r="L104" s="1">
        <v>456</v>
      </c>
      <c r="M104" s="1">
        <v>-49</v>
      </c>
      <c r="N104" s="1">
        <f>M104*(1+N40)</f>
        <v>-49.61054794394402</v>
      </c>
      <c r="O104" s="1">
        <f>N104*(1+O40)</f>
        <v>-50.602758902822899</v>
      </c>
      <c r="P104" s="1">
        <f>O104*(1+P40)</f>
        <v>-51.614814080879356</v>
      </c>
      <c r="Q104" s="1">
        <f>P104*(1+Q40)</f>
        <v>-52.647110362496946</v>
      </c>
      <c r="R104" s="1">
        <f>Q104*(1+R40)</f>
        <v>-53.700052569746887</v>
      </c>
      <c r="S104" s="1">
        <f t="shared" ref="S104:W104" si="133">R104*(1+S40)</f>
        <v>-54.237053095444359</v>
      </c>
      <c r="T104" s="1">
        <f t="shared" si="133"/>
        <v>-54.779423626398803</v>
      </c>
      <c r="U104" s="1">
        <f t="shared" si="133"/>
        <v>-55.327217862662792</v>
      </c>
      <c r="V104" s="1">
        <f t="shared" si="133"/>
        <v>-55.88049004128942</v>
      </c>
      <c r="W104" s="1">
        <f t="shared" si="133"/>
        <v>-57.083686572746558</v>
      </c>
      <c r="Y104" s="1" t="s">
        <v>37</v>
      </c>
      <c r="Z104" s="8">
        <v>-0.03</v>
      </c>
    </row>
    <row r="105" spans="1:26" x14ac:dyDescent="0.2">
      <c r="A105" s="1" t="s">
        <v>49</v>
      </c>
      <c r="K105" s="1">
        <v>-1473</v>
      </c>
      <c r="L105" s="1">
        <v>-2314</v>
      </c>
      <c r="M105" s="1">
        <v>-1416</v>
      </c>
      <c r="N105" s="1">
        <f>M105*(1+N40)</f>
        <v>-1433.6435895637701</v>
      </c>
      <c r="O105" s="1">
        <f>N105*(1+O40)</f>
        <v>-1462.3164613550455</v>
      </c>
      <c r="P105" s="1">
        <f>O105*(1+P40)</f>
        <v>-1491.5627905821464</v>
      </c>
      <c r="Q105" s="1">
        <f>P105*(1+Q40)</f>
        <v>-1521.3940463937893</v>
      </c>
      <c r="R105" s="1">
        <f>Q105*(1+R40)</f>
        <v>-1551.821927321665</v>
      </c>
      <c r="S105" s="1">
        <f t="shared" ref="S105:W105" si="134">R105*(1+S40)</f>
        <v>-1567.3401465948816</v>
      </c>
      <c r="T105" s="1">
        <f t="shared" si="134"/>
        <v>-1583.0135480608305</v>
      </c>
      <c r="U105" s="1">
        <f t="shared" si="134"/>
        <v>-1598.8436835414388</v>
      </c>
      <c r="V105" s="1">
        <f t="shared" si="134"/>
        <v>-1614.8321203768533</v>
      </c>
      <c r="W105" s="1">
        <f t="shared" si="134"/>
        <v>-1649.6020446328391</v>
      </c>
      <c r="Y105" s="1" t="s">
        <v>38</v>
      </c>
      <c r="Z105" s="8">
        <v>0.08</v>
      </c>
    </row>
    <row r="106" spans="1:26" s="4" customFormat="1" ht="15" x14ac:dyDescent="0.25">
      <c r="A106" s="4" t="s">
        <v>23</v>
      </c>
      <c r="K106" s="4">
        <f>SUM(K92:K105,K90)</f>
        <v>20933</v>
      </c>
      <c r="L106" s="4">
        <f t="shared" ref="L106:M106" si="135">SUM(L92:L105,L90)</f>
        <v>14071</v>
      </c>
      <c r="M106" s="4">
        <f t="shared" si="135"/>
        <v>21753</v>
      </c>
      <c r="N106" s="4">
        <f t="shared" ref="N106" si="136">SUM(N92:N105,N90)</f>
        <v>23575.166269445755</v>
      </c>
      <c r="O106" s="4">
        <f t="shared" ref="O106" si="137">SUM(O92:O105,O90)</f>
        <v>24427.146248137509</v>
      </c>
      <c r="P106" s="4">
        <f t="shared" ref="P106" si="138">SUM(P92:P105,P90)</f>
        <v>25141.006118522768</v>
      </c>
      <c r="Q106" s="4">
        <f t="shared" ref="Q106" si="139">SUM(Q92:Q105,Q90)</f>
        <v>27007.447744668105</v>
      </c>
      <c r="R106" s="4">
        <f t="shared" ref="R106:W106" si="140">SUM(R92:R105,R90)</f>
        <v>28645.837204389092</v>
      </c>
      <c r="S106" s="4">
        <f t="shared" si="140"/>
        <v>30119.407143104458</v>
      </c>
      <c r="T106" s="4">
        <f t="shared" si="140"/>
        <v>31669.256398060588</v>
      </c>
      <c r="U106" s="4">
        <f t="shared" si="140"/>
        <v>33299.592382718125</v>
      </c>
      <c r="V106" s="4">
        <f t="shared" si="140"/>
        <v>35014.880604960323</v>
      </c>
      <c r="W106" s="4">
        <f t="shared" si="140"/>
        <v>37124.545893167633</v>
      </c>
      <c r="Y106" s="4" t="s">
        <v>39</v>
      </c>
      <c r="Z106" s="4">
        <f>NPV(Z105,N113:DK113)+Sheet1!E5-Sheet1!E6</f>
        <v>260314.56924752129</v>
      </c>
    </row>
    <row r="107" spans="1:26" s="4" customFormat="1" ht="15" x14ac:dyDescent="0.25">
      <c r="A107" s="4" t="s">
        <v>105</v>
      </c>
      <c r="K107" s="4">
        <v>-4388</v>
      </c>
      <c r="L107" s="4">
        <v>-3863</v>
      </c>
      <c r="M107" s="4">
        <v>-3372</v>
      </c>
      <c r="N107" s="4">
        <f>M107*1.08</f>
        <v>-3641.76</v>
      </c>
      <c r="O107" s="4">
        <f t="shared" ref="O107:Q107" si="141">N107*1.08</f>
        <v>-3933.1008000000006</v>
      </c>
      <c r="P107" s="4">
        <f t="shared" si="141"/>
        <v>-4247.748864000001</v>
      </c>
      <c r="Q107" s="4">
        <f t="shared" si="141"/>
        <v>-4587.5687731200014</v>
      </c>
      <c r="R107" s="4">
        <f>Q107*1.02</f>
        <v>-4679.3201485824011</v>
      </c>
      <c r="S107" s="4">
        <f t="shared" ref="S107:W107" si="142">R107*1.02</f>
        <v>-4772.9065515540487</v>
      </c>
      <c r="T107" s="4">
        <f t="shared" si="142"/>
        <v>-4868.3646825851301</v>
      </c>
      <c r="U107" s="4">
        <f t="shared" si="142"/>
        <v>-4965.7319762368325</v>
      </c>
      <c r="V107" s="4">
        <f t="shared" si="142"/>
        <v>-5065.0466157615692</v>
      </c>
      <c r="W107" s="4">
        <f t="shared" si="142"/>
        <v>-5166.3475480768011</v>
      </c>
      <c r="Y107" s="1" t="s">
        <v>1</v>
      </c>
      <c r="Z107" s="1">
        <f>Z106/Sheet1!E3</f>
        <v>103.66840124535352</v>
      </c>
    </row>
    <row r="108" spans="1:26" x14ac:dyDescent="0.2">
      <c r="A108" s="1" t="s">
        <v>106</v>
      </c>
      <c r="K108" s="1">
        <v>-1204</v>
      </c>
      <c r="L108" s="1">
        <v>-955</v>
      </c>
      <c r="M108" s="1">
        <v>-519</v>
      </c>
      <c r="N108" s="1">
        <f>M108*(1+N40)</f>
        <v>-525.46682414095812</v>
      </c>
      <c r="O108" s="1">
        <f>N108*(1+O40)</f>
        <v>-535.97616062377733</v>
      </c>
      <c r="P108" s="1">
        <f>O108*(1+P40)</f>
        <v>-546.6956838362529</v>
      </c>
      <c r="Q108" s="1">
        <f>P108*(1+Q40)</f>
        <v>-557.62959751297797</v>
      </c>
      <c r="R108" s="1">
        <f>Q108*(1+R40)</f>
        <v>-568.7821894632375</v>
      </c>
      <c r="S108" s="1">
        <f t="shared" ref="S108:W108" si="143">R108*(1+S40)</f>
        <v>-574.47001135786991</v>
      </c>
      <c r="T108" s="1">
        <f t="shared" si="143"/>
        <v>-580.2147114714486</v>
      </c>
      <c r="U108" s="1">
        <f t="shared" si="143"/>
        <v>-586.01685858616304</v>
      </c>
      <c r="V108" s="1">
        <f t="shared" si="143"/>
        <v>-591.87702717202467</v>
      </c>
      <c r="W108" s="1">
        <f t="shared" si="143"/>
        <v>-604.62108839296866</v>
      </c>
      <c r="Y108" s="1" t="s">
        <v>40</v>
      </c>
      <c r="Z108" s="3">
        <f>Z107/Sheet1!E2-1</f>
        <v>0.27985680549819159</v>
      </c>
    </row>
    <row r="109" spans="1:26" x14ac:dyDescent="0.2">
      <c r="A109" s="1" t="s">
        <v>107</v>
      </c>
      <c r="K109" s="1">
        <v>721</v>
      </c>
      <c r="L109" s="1">
        <f>1658+1145</f>
        <v>2803</v>
      </c>
      <c r="M109" s="1">
        <v>377</v>
      </c>
      <c r="N109" s="1">
        <f>M109*(1+N40)</f>
        <v>381.69748111973257</v>
      </c>
      <c r="O109" s="1">
        <f>N109*(1+O40)</f>
        <v>389.33143074212722</v>
      </c>
      <c r="P109" s="1">
        <f>O109*(1+P40)</f>
        <v>397.11805935696975</v>
      </c>
      <c r="Q109" s="1">
        <f>P109*(1+Q40)</f>
        <v>405.06042054410915</v>
      </c>
      <c r="R109" s="1">
        <f>Q109*(1+R40)</f>
        <v>413.16162895499133</v>
      </c>
      <c r="S109" s="1">
        <f t="shared" ref="S109:W109" si="144">R109*(1+S40)</f>
        <v>417.29324524454125</v>
      </c>
      <c r="T109" s="1">
        <f t="shared" si="144"/>
        <v>421.46617769698668</v>
      </c>
      <c r="U109" s="1">
        <f t="shared" si="144"/>
        <v>425.68083947395655</v>
      </c>
      <c r="V109" s="1">
        <f t="shared" si="144"/>
        <v>429.9376478686961</v>
      </c>
      <c r="W109" s="1">
        <f t="shared" si="144"/>
        <v>439.19489465153981</v>
      </c>
    </row>
    <row r="110" spans="1:26" x14ac:dyDescent="0.2">
      <c r="A110" s="1" t="s">
        <v>108</v>
      </c>
      <c r="K110" s="1">
        <v>0</v>
      </c>
      <c r="L110" s="1">
        <f>-10705-1327</f>
        <v>-12032</v>
      </c>
      <c r="M110" s="1">
        <f>-1344-1303-746-700</f>
        <v>-4093</v>
      </c>
      <c r="N110" s="1">
        <f>M110*(1+N40)</f>
        <v>-4143.9994435625076</v>
      </c>
      <c r="O110" s="1">
        <f>N110*(1+O40)</f>
        <v>-4226.8794324337578</v>
      </c>
      <c r="P110" s="1">
        <f>O110*(1+P40)</f>
        <v>-4311.4170210824332</v>
      </c>
      <c r="Q110" s="1">
        <f>P110*(1+Q40)</f>
        <v>-4397.6453615040818</v>
      </c>
      <c r="R110" s="1">
        <f>Q110*(1+R40)</f>
        <v>-4485.5982687341639</v>
      </c>
      <c r="S110" s="1">
        <f t="shared" ref="S110:W110" si="145">R110*(1+S40)</f>
        <v>-4530.4542514215054</v>
      </c>
      <c r="T110" s="1">
        <f t="shared" si="145"/>
        <v>-4575.7587939357209</v>
      </c>
      <c r="U110" s="1">
        <f t="shared" si="145"/>
        <v>-4621.516381875078</v>
      </c>
      <c r="V110" s="1">
        <f t="shared" si="145"/>
        <v>-4667.7315456938286</v>
      </c>
      <c r="W110" s="1">
        <f t="shared" si="145"/>
        <v>-4768.2352886173812</v>
      </c>
    </row>
    <row r="111" spans="1:26" x14ac:dyDescent="0.2">
      <c r="A111" s="1" t="s">
        <v>49</v>
      </c>
      <c r="K111" s="1">
        <v>-89</v>
      </c>
      <c r="L111" s="1">
        <v>-36</v>
      </c>
      <c r="M111" s="1">
        <v>-127</v>
      </c>
      <c r="N111" s="1">
        <f>M111*(1+N40)</f>
        <v>-128.58244058940593</v>
      </c>
      <c r="O111" s="1">
        <f>N111*(1+O40)</f>
        <v>-131.15408940119406</v>
      </c>
      <c r="P111" s="1">
        <f>O111*(1+P40)</f>
        <v>-133.77717118921794</v>
      </c>
      <c r="Q111" s="1">
        <f>P111*(1+Q40)</f>
        <v>-136.45271461300229</v>
      </c>
      <c r="R111" s="1">
        <f>Q111*(1+R40)</f>
        <v>-139.18176890526235</v>
      </c>
      <c r="S111" s="1">
        <f t="shared" ref="S111:W111" si="146">R111*(1+S40)</f>
        <v>-140.57358659431497</v>
      </c>
      <c r="T111" s="1">
        <f t="shared" si="146"/>
        <v>-141.97932246025812</v>
      </c>
      <c r="U111" s="1">
        <f t="shared" si="146"/>
        <v>-143.3991156848607</v>
      </c>
      <c r="V111" s="1">
        <f t="shared" si="146"/>
        <v>-144.83310684170931</v>
      </c>
      <c r="W111" s="1">
        <f t="shared" si="146"/>
        <v>-147.95159581099617</v>
      </c>
    </row>
    <row r="112" spans="1:26" x14ac:dyDescent="0.2">
      <c r="A112" s="1" t="s">
        <v>109</v>
      </c>
      <c r="K112" s="1">
        <f>SUM(K107:K111)</f>
        <v>-4960</v>
      </c>
      <c r="L112" s="1">
        <f t="shared" ref="L112:M112" si="147">SUM(L107:L111)</f>
        <v>-14083</v>
      </c>
      <c r="M112" s="1">
        <f t="shared" si="147"/>
        <v>-7734</v>
      </c>
      <c r="N112" s="1">
        <f t="shared" ref="N112" si="148">SUM(N107:N111)</f>
        <v>-8058.1112271731399</v>
      </c>
      <c r="O112" s="1">
        <f t="shared" ref="O112" si="149">SUM(O107:O111)</f>
        <v>-8437.7790517166031</v>
      </c>
      <c r="P112" s="1">
        <f t="shared" ref="P112" si="150">SUM(P107:P111)</f>
        <v>-8842.5206807509367</v>
      </c>
      <c r="Q112" s="1">
        <f t="shared" ref="Q112" si="151">SUM(Q107:Q111)</f>
        <v>-9274.2360262059537</v>
      </c>
      <c r="R112" s="1">
        <f t="shared" ref="R112:W112" si="152">SUM(R107:R111)</f>
        <v>-9459.7207467300741</v>
      </c>
      <c r="S112" s="1">
        <f t="shared" si="152"/>
        <v>-9601.1111556831984</v>
      </c>
      <c r="T112" s="1">
        <f t="shared" si="152"/>
        <v>-9744.8513327555702</v>
      </c>
      <c r="U112" s="1">
        <f t="shared" si="152"/>
        <v>-9890.9834929089775</v>
      </c>
      <c r="V112" s="1">
        <f t="shared" si="152"/>
        <v>-10039.550647600438</v>
      </c>
      <c r="W112" s="1">
        <f t="shared" si="152"/>
        <v>-10247.96062624661</v>
      </c>
    </row>
    <row r="113" spans="1:115" s="4" customFormat="1" ht="15" x14ac:dyDescent="0.25">
      <c r="A113" s="4" t="s">
        <v>24</v>
      </c>
      <c r="K113" s="4">
        <f>K106+K107</f>
        <v>16545</v>
      </c>
      <c r="L113" s="4">
        <f t="shared" ref="L113:R113" si="153">L106+L107</f>
        <v>10208</v>
      </c>
      <c r="M113" s="4">
        <f t="shared" si="153"/>
        <v>18381</v>
      </c>
      <c r="N113" s="4">
        <f t="shared" si="153"/>
        <v>19933.406269445753</v>
      </c>
      <c r="O113" s="4">
        <f t="shared" si="153"/>
        <v>20494.045448137509</v>
      </c>
      <c r="P113" s="4">
        <f t="shared" si="153"/>
        <v>20893.257254522767</v>
      </c>
      <c r="Q113" s="4">
        <f t="shared" si="153"/>
        <v>22419.878971548103</v>
      </c>
      <c r="R113" s="4">
        <f t="shared" si="153"/>
        <v>23966.517055806689</v>
      </c>
      <c r="S113" s="4">
        <f t="shared" ref="S113:W113" si="154">S106+S107</f>
        <v>25346.500591550408</v>
      </c>
      <c r="T113" s="4">
        <f t="shared" si="154"/>
        <v>26800.89171547546</v>
      </c>
      <c r="U113" s="4">
        <f t="shared" si="154"/>
        <v>28333.860406481293</v>
      </c>
      <c r="V113" s="4">
        <f t="shared" si="154"/>
        <v>29949.833989198753</v>
      </c>
      <c r="W113" s="4">
        <f t="shared" si="154"/>
        <v>31958.19834509083</v>
      </c>
      <c r="X113" s="4">
        <f t="shared" ref="X113:BC113" si="155">W113*(1+$Z$104)</f>
        <v>30999.452394738106</v>
      </c>
      <c r="Y113" s="4">
        <f t="shared" si="155"/>
        <v>30069.46882289596</v>
      </c>
      <c r="Z113" s="4">
        <f t="shared" si="155"/>
        <v>29167.384758209082</v>
      </c>
      <c r="AA113" s="4">
        <f t="shared" si="155"/>
        <v>28292.36321546281</v>
      </c>
      <c r="AB113" s="4">
        <f t="shared" si="155"/>
        <v>27443.592318998926</v>
      </c>
      <c r="AC113" s="4">
        <f t="shared" si="155"/>
        <v>26620.284549428958</v>
      </c>
      <c r="AD113" s="4">
        <f t="shared" si="155"/>
        <v>25821.676012946089</v>
      </c>
      <c r="AE113" s="4">
        <f t="shared" si="155"/>
        <v>25047.025732557704</v>
      </c>
      <c r="AF113" s="4">
        <f t="shared" si="155"/>
        <v>24295.614960580973</v>
      </c>
      <c r="AG113" s="4">
        <f t="shared" si="155"/>
        <v>23566.746511763544</v>
      </c>
      <c r="AH113" s="4">
        <f t="shared" si="155"/>
        <v>22859.744116410639</v>
      </c>
      <c r="AI113" s="4">
        <f t="shared" si="155"/>
        <v>22173.95179291832</v>
      </c>
      <c r="AJ113" s="4">
        <f t="shared" si="155"/>
        <v>21508.733239130772</v>
      </c>
      <c r="AK113" s="4">
        <f t="shared" si="155"/>
        <v>20863.47124195685</v>
      </c>
      <c r="AL113" s="4">
        <f t="shared" si="155"/>
        <v>20237.567104698144</v>
      </c>
      <c r="AM113" s="4">
        <f t="shared" si="155"/>
        <v>19630.440091557201</v>
      </c>
      <c r="AN113" s="4">
        <f t="shared" si="155"/>
        <v>19041.526888810484</v>
      </c>
      <c r="AO113" s="4">
        <f t="shared" si="155"/>
        <v>18470.281082146168</v>
      </c>
      <c r="AP113" s="4">
        <f t="shared" si="155"/>
        <v>17916.172649681783</v>
      </c>
      <c r="AQ113" s="4">
        <f t="shared" si="155"/>
        <v>17378.687470191329</v>
      </c>
      <c r="AR113" s="4">
        <f t="shared" si="155"/>
        <v>16857.326846085591</v>
      </c>
      <c r="AS113" s="4">
        <f t="shared" si="155"/>
        <v>16351.607040703022</v>
      </c>
      <c r="AT113" s="4">
        <f t="shared" si="155"/>
        <v>15861.058829481932</v>
      </c>
      <c r="AU113" s="4">
        <f t="shared" si="155"/>
        <v>15385.227064597473</v>
      </c>
      <c r="AV113" s="4">
        <f t="shared" si="155"/>
        <v>14923.670252659549</v>
      </c>
      <c r="AW113" s="4">
        <f t="shared" si="155"/>
        <v>14475.960145079762</v>
      </c>
      <c r="AX113" s="4">
        <f t="shared" si="155"/>
        <v>14041.681340727369</v>
      </c>
      <c r="AY113" s="4">
        <f t="shared" si="155"/>
        <v>13620.430900505547</v>
      </c>
      <c r="AZ113" s="4">
        <f t="shared" si="155"/>
        <v>13211.817973490381</v>
      </c>
      <c r="BA113" s="4">
        <f t="shared" si="155"/>
        <v>12815.463434285668</v>
      </c>
      <c r="BB113" s="4">
        <f t="shared" si="155"/>
        <v>12430.999531257097</v>
      </c>
      <c r="BC113" s="4">
        <f t="shared" si="155"/>
        <v>12058.069545319384</v>
      </c>
      <c r="BD113" s="4">
        <f t="shared" ref="BD113:CI113" si="156">BC113*(1+$Z$104)</f>
        <v>11696.327458959802</v>
      </c>
      <c r="BE113" s="4">
        <f t="shared" si="156"/>
        <v>11345.437635191009</v>
      </c>
      <c r="BF113" s="4">
        <f t="shared" si="156"/>
        <v>11005.074506135277</v>
      </c>
      <c r="BG113" s="4">
        <f t="shared" si="156"/>
        <v>10674.922270951218</v>
      </c>
      <c r="BH113" s="4">
        <f t="shared" si="156"/>
        <v>10354.674602822681</v>
      </c>
      <c r="BI113" s="4">
        <f t="shared" si="156"/>
        <v>10044.034364738</v>
      </c>
      <c r="BJ113" s="4">
        <f t="shared" si="156"/>
        <v>9742.7133337958585</v>
      </c>
      <c r="BK113" s="4">
        <f t="shared" si="156"/>
        <v>9450.4319337819816</v>
      </c>
      <c r="BL113" s="4">
        <f t="shared" si="156"/>
        <v>9166.9189757685217</v>
      </c>
      <c r="BM113" s="4">
        <f t="shared" si="156"/>
        <v>8891.9114064954665</v>
      </c>
      <c r="BN113" s="4">
        <f t="shared" si="156"/>
        <v>8625.1540643006028</v>
      </c>
      <c r="BO113" s="4">
        <f t="shared" si="156"/>
        <v>8366.3994423715849</v>
      </c>
      <c r="BP113" s="4">
        <f t="shared" si="156"/>
        <v>8115.4074591004373</v>
      </c>
      <c r="BQ113" s="4">
        <f t="shared" si="156"/>
        <v>7871.9452353274237</v>
      </c>
      <c r="BR113" s="4">
        <f t="shared" si="156"/>
        <v>7635.7868782676005</v>
      </c>
      <c r="BS113" s="4">
        <f t="shared" si="156"/>
        <v>7406.7132719195724</v>
      </c>
      <c r="BT113" s="4">
        <f t="shared" si="156"/>
        <v>7184.511873761985</v>
      </c>
      <c r="BU113" s="4">
        <f t="shared" si="156"/>
        <v>6968.9765175491257</v>
      </c>
      <c r="BV113" s="4">
        <f t="shared" si="156"/>
        <v>6759.9072220226517</v>
      </c>
      <c r="BW113" s="4">
        <f t="shared" si="156"/>
        <v>6557.1100053619721</v>
      </c>
      <c r="BX113" s="4">
        <f t="shared" si="156"/>
        <v>6360.396705201113</v>
      </c>
      <c r="BY113" s="4">
        <f t="shared" si="156"/>
        <v>6169.5848040450792</v>
      </c>
      <c r="BZ113" s="4">
        <f t="shared" si="156"/>
        <v>5984.4972599237262</v>
      </c>
      <c r="CA113" s="4">
        <f t="shared" si="156"/>
        <v>5804.9623421260139</v>
      </c>
      <c r="CB113" s="4">
        <f t="shared" si="156"/>
        <v>5630.8134718622332</v>
      </c>
      <c r="CC113" s="4">
        <f t="shared" si="156"/>
        <v>5461.8890677063664</v>
      </c>
      <c r="CD113" s="4">
        <f t="shared" si="156"/>
        <v>5298.0323956751754</v>
      </c>
      <c r="CE113" s="4">
        <f t="shared" si="156"/>
        <v>5139.0914238049199</v>
      </c>
      <c r="CF113" s="4">
        <f t="shared" si="156"/>
        <v>4984.9186810907722</v>
      </c>
      <c r="CG113" s="4">
        <f t="shared" si="156"/>
        <v>4835.3711206580492</v>
      </c>
      <c r="CH113" s="4">
        <f t="shared" si="156"/>
        <v>4690.3099870383076</v>
      </c>
      <c r="CI113" s="4">
        <f t="shared" si="156"/>
        <v>4549.6006874271579</v>
      </c>
      <c r="CJ113" s="4">
        <f t="shared" ref="CJ113:DK113" si="157">CI113*(1+$Z$104)</f>
        <v>4413.1126668043435</v>
      </c>
      <c r="CK113" s="4">
        <f t="shared" si="157"/>
        <v>4280.719286800213</v>
      </c>
      <c r="CL113" s="4">
        <f t="shared" si="157"/>
        <v>4152.2977081962063</v>
      </c>
      <c r="CM113" s="4">
        <f t="shared" si="157"/>
        <v>4027.72877695032</v>
      </c>
      <c r="CN113" s="4">
        <f t="shared" si="157"/>
        <v>3906.8969136418104</v>
      </c>
      <c r="CO113" s="4">
        <f t="shared" si="157"/>
        <v>3789.6900062325562</v>
      </c>
      <c r="CP113" s="4">
        <f t="shared" si="157"/>
        <v>3675.9993060455795</v>
      </c>
      <c r="CQ113" s="4">
        <f t="shared" si="157"/>
        <v>3565.7193268642118</v>
      </c>
      <c r="CR113" s="4">
        <f t="shared" si="157"/>
        <v>3458.7477470582853</v>
      </c>
      <c r="CS113" s="4">
        <f t="shared" si="157"/>
        <v>3354.9853146465366</v>
      </c>
      <c r="CT113" s="4">
        <f t="shared" si="157"/>
        <v>3254.3357552071402</v>
      </c>
      <c r="CU113" s="4">
        <f t="shared" si="157"/>
        <v>3156.7056825509258</v>
      </c>
      <c r="CV113" s="4">
        <f t="shared" si="157"/>
        <v>3062.004512074398</v>
      </c>
      <c r="CW113" s="4">
        <f t="shared" si="157"/>
        <v>2970.1443767121659</v>
      </c>
      <c r="CX113" s="4">
        <f t="shared" si="157"/>
        <v>2881.0400454108008</v>
      </c>
      <c r="CY113" s="4">
        <f t="shared" si="157"/>
        <v>2794.6088440484768</v>
      </c>
      <c r="CZ113" s="4">
        <f t="shared" si="157"/>
        <v>2710.7705787270224</v>
      </c>
      <c r="DA113" s="4">
        <f t="shared" si="157"/>
        <v>2629.4474613652119</v>
      </c>
      <c r="DB113" s="4">
        <f t="shared" si="157"/>
        <v>2550.5640375242556</v>
      </c>
      <c r="DC113" s="4">
        <f t="shared" si="157"/>
        <v>2474.047116398528</v>
      </c>
      <c r="DD113" s="4">
        <f t="shared" si="157"/>
        <v>2399.8257029065721</v>
      </c>
      <c r="DE113" s="4">
        <f t="shared" si="157"/>
        <v>2327.8309318193751</v>
      </c>
      <c r="DF113" s="4">
        <f t="shared" si="157"/>
        <v>2257.9960038647937</v>
      </c>
      <c r="DG113" s="4">
        <f t="shared" si="157"/>
        <v>2190.2561237488499</v>
      </c>
      <c r="DH113" s="4">
        <f t="shared" si="157"/>
        <v>2124.5484400363844</v>
      </c>
      <c r="DI113" s="4">
        <f t="shared" si="157"/>
        <v>2060.8119868352928</v>
      </c>
      <c r="DJ113" s="4">
        <f t="shared" si="157"/>
        <v>1998.987627230234</v>
      </c>
      <c r="DK113" s="4">
        <f t="shared" si="157"/>
        <v>1939.0179984133269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2025-05-05T01:00:41Z</dcterms:created>
  <dcterms:modified xsi:type="dcterms:W3CDTF">2025-05-24T20:44:11Z</dcterms:modified>
</cp:coreProperties>
</file>