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B219D61-BC5B-46A1-AAC4-73402138A7F9}" xr6:coauthVersionLast="47" xr6:coauthVersionMax="47" xr10:uidLastSave="{00000000-0000-0000-0000-000000000000}"/>
  <bookViews>
    <workbookView xWindow="4815" yWindow="285" windowWidth="23340" windowHeight="14895" activeTab="1" xr2:uid="{8E1B7C99-8DB6-4E57-9009-B9B2BBD70AA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K46" i="2"/>
  <c r="L46" i="2"/>
  <c r="M46" i="2"/>
  <c r="I46" i="2"/>
  <c r="K45" i="2"/>
  <c r="L45" i="2"/>
  <c r="M45" i="2"/>
  <c r="J45" i="2"/>
  <c r="I45" i="2"/>
  <c r="I47" i="2"/>
  <c r="J21" i="2"/>
  <c r="K21" i="2"/>
  <c r="L21" i="2" s="1"/>
  <c r="M21" i="2" s="1"/>
  <c r="J11" i="2"/>
  <c r="K11" i="2" s="1"/>
  <c r="L11" i="2" s="1"/>
  <c r="M11" i="2" s="1"/>
  <c r="I11" i="2"/>
  <c r="J12" i="2"/>
  <c r="K12" i="2"/>
  <c r="L12" i="2" s="1"/>
  <c r="M12" i="2" s="1"/>
  <c r="I12" i="2"/>
  <c r="J39" i="2"/>
  <c r="K39" i="2" s="1"/>
  <c r="L39" i="2" s="1"/>
  <c r="M39" i="2" s="1"/>
  <c r="I39" i="2"/>
  <c r="J38" i="2"/>
  <c r="K38" i="2" s="1"/>
  <c r="L38" i="2" s="1"/>
  <c r="M38" i="2" s="1"/>
  <c r="I38" i="2"/>
  <c r="G47" i="2"/>
  <c r="H47" i="2"/>
  <c r="F47" i="2"/>
  <c r="H31" i="2"/>
  <c r="H32" i="2"/>
  <c r="G32" i="2"/>
  <c r="G31" i="2"/>
  <c r="G38" i="2"/>
  <c r="H38" i="2"/>
  <c r="I14" i="2" s="1"/>
  <c r="G39" i="2"/>
  <c r="H39" i="2"/>
  <c r="F39" i="2"/>
  <c r="F38" i="2"/>
  <c r="H43" i="2"/>
  <c r="H41" i="2" s="1"/>
  <c r="I22" i="2" s="1"/>
  <c r="I27" i="2"/>
  <c r="J27" i="2" s="1"/>
  <c r="K27" i="2" s="1"/>
  <c r="L27" i="2" s="1"/>
  <c r="G19" i="2"/>
  <c r="H19" i="2"/>
  <c r="F19" i="2"/>
  <c r="G13" i="2"/>
  <c r="G16" i="2" s="1"/>
  <c r="H13" i="2"/>
  <c r="H16" i="2" s="1"/>
  <c r="F13" i="2"/>
  <c r="F16" i="2" s="1"/>
  <c r="F34" i="2" s="1"/>
  <c r="G1" i="2"/>
  <c r="H1" i="2" s="1"/>
  <c r="I1" i="2" s="1"/>
  <c r="J1" i="2" s="1"/>
  <c r="K1" i="2" s="1"/>
  <c r="L1" i="2" s="1"/>
  <c r="M1" i="2" s="1"/>
  <c r="D6" i="1"/>
  <c r="D4" i="1"/>
  <c r="I32" i="2" l="1"/>
  <c r="I31" i="2"/>
  <c r="I13" i="2"/>
  <c r="H36" i="2"/>
  <c r="I36" i="2" s="1"/>
  <c r="J36" i="2" s="1"/>
  <c r="K36" i="2" s="1"/>
  <c r="L36" i="2" s="1"/>
  <c r="M36" i="2" s="1"/>
  <c r="J31" i="2"/>
  <c r="J13" i="2"/>
  <c r="J32" i="2"/>
  <c r="K13" i="2"/>
  <c r="G36" i="2"/>
  <c r="K32" i="2"/>
  <c r="I15" i="2"/>
  <c r="I16" i="2" s="1"/>
  <c r="F36" i="2"/>
  <c r="G20" i="2"/>
  <c r="G23" i="2" s="1"/>
  <c r="G29" i="2"/>
  <c r="H20" i="2"/>
  <c r="H34" i="2"/>
  <c r="G34" i="2"/>
  <c r="H29" i="2"/>
  <c r="H23" i="2"/>
  <c r="H35" i="2"/>
  <c r="F20" i="2"/>
  <c r="M27" i="2"/>
  <c r="I29" i="2" l="1"/>
  <c r="I21" i="2" s="1"/>
  <c r="I19" i="2"/>
  <c r="K29" i="2"/>
  <c r="K19" i="2"/>
  <c r="J29" i="2"/>
  <c r="J19" i="2"/>
  <c r="K31" i="2"/>
  <c r="M32" i="2"/>
  <c r="L32" i="2"/>
  <c r="J14" i="2"/>
  <c r="J15" i="2"/>
  <c r="G35" i="2"/>
  <c r="I20" i="2"/>
  <c r="I35" i="2" s="1"/>
  <c r="I34" i="2"/>
  <c r="F23" i="2"/>
  <c r="F35" i="2"/>
  <c r="G25" i="2"/>
  <c r="G26" i="2" s="1"/>
  <c r="G30" i="2"/>
  <c r="H25" i="2"/>
  <c r="H26" i="2" s="1"/>
  <c r="H30" i="2"/>
  <c r="I23" i="2" l="1"/>
  <c r="I24" i="2"/>
  <c r="I25" i="2" s="1"/>
  <c r="L13" i="2"/>
  <c r="L31" i="2"/>
  <c r="K14" i="2"/>
  <c r="K15" i="2"/>
  <c r="J16" i="2"/>
  <c r="F30" i="2"/>
  <c r="F25" i="2"/>
  <c r="F26" i="2" s="1"/>
  <c r="I26" i="2" l="1"/>
  <c r="I41" i="2"/>
  <c r="J22" i="2" s="1"/>
  <c r="L29" i="2"/>
  <c r="L19" i="2"/>
  <c r="M31" i="2"/>
  <c r="M13" i="2"/>
  <c r="J20" i="2"/>
  <c r="J34" i="2"/>
  <c r="M15" i="2"/>
  <c r="L15" i="2"/>
  <c r="K16" i="2"/>
  <c r="M14" i="2"/>
  <c r="L14" i="2"/>
  <c r="L16" i="2" l="1"/>
  <c r="L20" i="2" s="1"/>
  <c r="M16" i="2"/>
  <c r="M29" i="2"/>
  <c r="M19" i="2"/>
  <c r="K20" i="2"/>
  <c r="K34" i="2"/>
  <c r="J23" i="2"/>
  <c r="J35" i="2"/>
  <c r="L34" i="2" l="1"/>
  <c r="M20" i="2"/>
  <c r="M35" i="2" s="1"/>
  <c r="M34" i="2"/>
  <c r="J24" i="2"/>
  <c r="J25" i="2" s="1"/>
  <c r="J47" i="2" s="1"/>
  <c r="L35" i="2"/>
  <c r="K35" i="2"/>
  <c r="J26" i="2" l="1"/>
  <c r="J41" i="2"/>
  <c r="K22" i="2" s="1"/>
  <c r="K23" i="2" s="1"/>
  <c r="K24" i="2" s="1"/>
  <c r="K25" i="2" s="1"/>
  <c r="K47" i="2" s="1"/>
  <c r="K26" i="2" l="1"/>
  <c r="K41" i="2"/>
  <c r="L22" i="2" s="1"/>
  <c r="L23" i="2" s="1"/>
  <c r="L24" i="2" l="1"/>
  <c r="L25" i="2" s="1"/>
  <c r="L47" i="2" s="1"/>
  <c r="L26" i="2" l="1"/>
  <c r="L41" i="2"/>
  <c r="M22" i="2" s="1"/>
  <c r="M23" i="2" s="1"/>
  <c r="M24" i="2" l="1"/>
  <c r="M25" i="2" s="1"/>
  <c r="M47" i="2" s="1"/>
  <c r="N47" i="2" l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DI47" i="2" s="1"/>
  <c r="DJ47" i="2" s="1"/>
  <c r="DK47" i="2" s="1"/>
  <c r="P30" i="2" s="1"/>
  <c r="M26" i="2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M41" i="2"/>
  <c r="P31" i="2" l="1"/>
  <c r="P32" i="2" s="1"/>
</calcChain>
</file>

<file path=xl/sharedStrings.xml><?xml version="1.0" encoding="utf-8"?>
<sst xmlns="http://schemas.openxmlformats.org/spreadsheetml/2006/main" count="59" uniqueCount="53">
  <si>
    <t>RTX</t>
  </si>
  <si>
    <t>Price</t>
  </si>
  <si>
    <t>Cash</t>
  </si>
  <si>
    <t>Debt</t>
  </si>
  <si>
    <t>MC</t>
  </si>
  <si>
    <t>EV</t>
  </si>
  <si>
    <t>Shares</t>
  </si>
  <si>
    <t>Q125</t>
  </si>
  <si>
    <t>Main</t>
  </si>
  <si>
    <t>Revenue</t>
  </si>
  <si>
    <t>Product Sales</t>
  </si>
  <si>
    <t>Services Sales</t>
  </si>
  <si>
    <t>Product COGS</t>
  </si>
  <si>
    <t>Service COGS</t>
  </si>
  <si>
    <t>Gross Profit</t>
  </si>
  <si>
    <t>R&amp;D</t>
  </si>
  <si>
    <t>SG&amp;A</t>
  </si>
  <si>
    <t>Operating Expenses</t>
  </si>
  <si>
    <t>Operating Income</t>
  </si>
  <si>
    <t>Interest Income</t>
  </si>
  <si>
    <t>Non-service Pension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</si>
  <si>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</si>
  <si>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</si>
  <si>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</si>
  <si>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</si>
  <si>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</si>
  <si>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</si>
  <si>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</si>
  <si>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</si>
  <si>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</si>
  <si>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CX</t>
  </si>
  <si>
    <t>FCF</t>
  </si>
  <si>
    <t>Net Cash</t>
  </si>
  <si>
    <t>OPEX Margin</t>
  </si>
  <si>
    <t>Product GM</t>
  </si>
  <si>
    <t>Service GM</t>
  </si>
  <si>
    <t>Product y/y</t>
  </si>
  <si>
    <t>Services y/y</t>
  </si>
  <si>
    <t>ROIC</t>
  </si>
  <si>
    <t>Maturity</t>
  </si>
  <si>
    <t>Discount</t>
  </si>
  <si>
    <t>NPV</t>
  </si>
  <si>
    <t>Diff</t>
  </si>
  <si>
    <t>Raytheon</t>
  </si>
  <si>
    <t>Pratt &amp; Whitney</t>
  </si>
  <si>
    <t>Collins Aerospace</t>
  </si>
  <si>
    <t>Commericial</t>
  </si>
  <si>
    <t>Defense</t>
  </si>
  <si>
    <t>US</t>
  </si>
  <si>
    <t>Europe</t>
  </si>
  <si>
    <t>Asia</t>
  </si>
  <si>
    <t>Middle East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</si>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</sst>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28575</xdr:rowOff>
    </xdr:from>
    <xdr:to>
      <xdr:col>8</xdr:col>
      <xdr:colOff>19050</xdr:colOff>
      <xdr:row>56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8E6E57-C80B-86A2-3DAF-7BD65DEDA20A}"/>
            </a:ext>
          </a:extLst>
        </xdr:cNvPr>
        <xdr:cNvCxnSpPr/>
      </xdr:nvCxnSpPr>
      <xdr:spPr>
        <a:xfrm>
          <a:off x="5781675" y="28575"/>
          <a:ext cx="9525" cy="10334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93D5-6CE6-4695-A73A-C549E5DB3950}">
  <dimension ref="A1:E7"/>
  <sheetViews>
    <sheetView zoomScale="205" zoomScaleNormal="205" workbookViewId="0">
      <selection activeCell="A7" sqref="A7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135</v>
      </c>
    </row>
    <row r="3" spans="1:5" x14ac:dyDescent="0.2">
      <c r="C3" t="s">
        <v>6</v>
      </c>
      <c r="D3" s="2">
        <v>1335.953</v>
      </c>
      <c r="E3" t="s">
        <v>7</v>
      </c>
    </row>
    <row r="4" spans="1:5" x14ac:dyDescent="0.2">
      <c r="A4" t="s">
        <v>43</v>
      </c>
      <c r="C4" t="s">
        <v>4</v>
      </c>
      <c r="D4" s="2">
        <f>D3*D2</f>
        <v>180353.655</v>
      </c>
    </row>
    <row r="5" spans="1:5" x14ac:dyDescent="0.2">
      <c r="A5" t="s">
        <v>44</v>
      </c>
      <c r="C5" t="s">
        <v>2</v>
      </c>
      <c r="D5" s="2">
        <v>5157</v>
      </c>
      <c r="E5" t="s">
        <v>7</v>
      </c>
    </row>
    <row r="6" spans="1:5" x14ac:dyDescent="0.2">
      <c r="A6" t="s">
        <v>45</v>
      </c>
      <c r="C6" t="s">
        <v>3</v>
      </c>
      <c r="D6" s="2">
        <f>38244+1646+2060+6946</f>
        <v>48896</v>
      </c>
      <c r="E6" t="s">
        <v>7</v>
      </c>
    </row>
    <row r="7" spans="1:5" x14ac:dyDescent="0.2">
      <c r="C7" t="s">
        <v>5</v>
      </c>
      <c r="D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C717-7470-43B5-9B25-D5EA9BF10CBD}">
  <dimension ref="A1:DK48"/>
  <sheetViews>
    <sheetView tabSelected="1" zoomScaleNormal="100" workbookViewId="0">
      <pane xSplit="2" ySplit="1" topLeftCell="F13" activePane="bottomRight" state="frozen"/>
      <selection pane="topRight" activeCell="C1" sqref="C1"/>
      <selection pane="bottomLeft" activeCell="A2" sqref="A2"/>
      <selection pane="bottomRight" activeCell="P28" sqref="P28"/>
    </sheetView>
  </sheetViews>
  <sheetFormatPr defaultRowHeight="14.25" x14ac:dyDescent="0.2"/>
  <cols>
    <col min="1" max="1" width="4.25" style="2" customWidth="1"/>
    <col min="2" max="2" width="17.5" style="2" customWidth="1"/>
    <col min="3" max="7" width="9" style="2"/>
    <col min="8" max="8" width="9" style="2" customWidth="1"/>
    <col min="9" max="16384" width="9" style="2"/>
  </cols>
  <sheetData>
    <row r="1" spans="1:13" x14ac:dyDescent="0.2">
      <c r="A1" s="3" t="s">
        <v>8</v>
      </c>
      <c r="F1" s="5">
        <v>2022</v>
      </c>
      <c r="G1" s="5">
        <f>F1+1</f>
        <v>2023</v>
      </c>
      <c r="H1" s="5">
        <f t="shared" ref="H1:M1" si="0">G1+1</f>
        <v>2024</v>
      </c>
      <c r="I1" s="5">
        <f t="shared" si="0"/>
        <v>2025</v>
      </c>
      <c r="J1" s="5">
        <f t="shared" si="0"/>
        <v>2026</v>
      </c>
      <c r="K1" s="5">
        <f t="shared" si="0"/>
        <v>2027</v>
      </c>
      <c r="L1" s="5">
        <f t="shared" si="0"/>
        <v>2028</v>
      </c>
      <c r="M1" s="5">
        <f t="shared" si="0"/>
        <v>2029</v>
      </c>
    </row>
    <row r="2" spans="1:13" x14ac:dyDescent="0.2">
      <c r="A2" s="3"/>
      <c r="B2" s="2" t="s">
        <v>48</v>
      </c>
      <c r="F2" s="5"/>
      <c r="G2" s="5"/>
      <c r="H2" s="5"/>
      <c r="I2" s="5"/>
      <c r="J2" s="5"/>
      <c r="K2" s="5"/>
      <c r="L2" s="5"/>
      <c r="M2" s="5"/>
    </row>
    <row r="3" spans="1:13" x14ac:dyDescent="0.2">
      <c r="A3" s="3"/>
      <c r="B3" s="2" t="s">
        <v>49</v>
      </c>
      <c r="F3" s="5"/>
      <c r="G3" s="5"/>
      <c r="H3" s="5"/>
      <c r="I3" s="5"/>
      <c r="J3" s="5"/>
      <c r="K3" s="5"/>
      <c r="L3" s="5"/>
      <c r="M3" s="5"/>
    </row>
    <row r="4" spans="1:13" x14ac:dyDescent="0.2">
      <c r="A4" s="3"/>
      <c r="B4" s="2" t="s">
        <v>50</v>
      </c>
      <c r="F4" s="5"/>
      <c r="G4" s="5"/>
      <c r="H4" s="5"/>
      <c r="I4" s="5"/>
      <c r="J4" s="5"/>
      <c r="K4" s="5"/>
      <c r="L4" s="5"/>
      <c r="M4" s="5"/>
    </row>
    <row r="5" spans="1:13" x14ac:dyDescent="0.2">
      <c r="A5" s="3"/>
      <c r="B5" s="2" t="s">
        <v>51</v>
      </c>
      <c r="F5" s="5"/>
      <c r="G5" s="5"/>
      <c r="H5" s="5"/>
      <c r="I5" s="5"/>
      <c r="J5" s="5"/>
      <c r="K5" s="5"/>
      <c r="L5" s="5"/>
      <c r="M5" s="5"/>
    </row>
    <row r="6" spans="1:13" x14ac:dyDescent="0.2">
      <c r="A6" s="3"/>
      <c r="B6" s="2" t="s">
        <v>52</v>
      </c>
      <c r="F6" s="5"/>
      <c r="G6" s="5"/>
      <c r="H6" s="5"/>
      <c r="I6" s="5"/>
      <c r="J6" s="5"/>
      <c r="K6" s="5"/>
      <c r="L6" s="5"/>
      <c r="M6" s="5"/>
    </row>
    <row r="7" spans="1:13" x14ac:dyDescent="0.2">
      <c r="A7" s="3"/>
      <c r="F7" s="5"/>
      <c r="G7" s="5"/>
      <c r="H7" s="5"/>
      <c r="I7" s="5"/>
      <c r="J7" s="5"/>
      <c r="K7" s="5"/>
      <c r="L7" s="5"/>
      <c r="M7" s="5"/>
    </row>
    <row r="8" spans="1:13" x14ac:dyDescent="0.2">
      <c r="A8" s="3"/>
      <c r="B8" s="2" t="s">
        <v>46</v>
      </c>
      <c r="F8" s="5"/>
      <c r="G8" s="5"/>
      <c r="H8" s="5"/>
      <c r="I8" s="5"/>
      <c r="J8" s="5"/>
      <c r="K8" s="5"/>
      <c r="L8" s="5"/>
      <c r="M8" s="5"/>
    </row>
    <row r="9" spans="1:13" x14ac:dyDescent="0.2">
      <c r="A9" s="3"/>
      <c r="B9" s="2" t="s">
        <v>47</v>
      </c>
      <c r="F9" s="5"/>
      <c r="G9" s="5"/>
      <c r="H9" s="5"/>
      <c r="I9" s="5"/>
      <c r="J9" s="5"/>
      <c r="K9" s="5"/>
      <c r="L9" s="5"/>
      <c r="M9" s="5"/>
    </row>
    <row r="10" spans="1:13" x14ac:dyDescent="0.2">
      <c r="A10" s="3"/>
      <c r="F10" s="5"/>
      <c r="G10" s="5"/>
      <c r="H10" s="5"/>
      <c r="I10" s="5"/>
      <c r="J10" s="5"/>
      <c r="K10" s="5"/>
      <c r="L10" s="5"/>
      <c r="M10" s="5"/>
    </row>
    <row r="11" spans="1:13" x14ac:dyDescent="0.2">
      <c r="B11" s="2" t="s">
        <v>10</v>
      </c>
      <c r="F11" s="2">
        <v>50773</v>
      </c>
      <c r="G11" s="2">
        <v>49571</v>
      </c>
      <c r="H11" s="2">
        <v>59612</v>
      </c>
      <c r="I11" s="2">
        <f>H11*1.05</f>
        <v>62592.600000000006</v>
      </c>
      <c r="J11" s="2">
        <f t="shared" ref="J11:M11" si="1">I11*1.05</f>
        <v>65722.23000000001</v>
      </c>
      <c r="K11" s="2">
        <f t="shared" si="1"/>
        <v>69008.34150000001</v>
      </c>
      <c r="L11" s="2">
        <f t="shared" si="1"/>
        <v>72458.758575000014</v>
      </c>
      <c r="M11" s="2">
        <f t="shared" si="1"/>
        <v>76081.696503750019</v>
      </c>
    </row>
    <row r="12" spans="1:13" x14ac:dyDescent="0.2">
      <c r="B12" s="2" t="s">
        <v>11</v>
      </c>
      <c r="F12" s="2">
        <v>16301</v>
      </c>
      <c r="G12" s="2">
        <v>19349</v>
      </c>
      <c r="H12" s="2">
        <v>21126</v>
      </c>
      <c r="I12" s="2">
        <f>H12*1.1</f>
        <v>23238.600000000002</v>
      </c>
      <c r="J12" s="2">
        <f t="shared" ref="J12:M12" si="2">I12*1.1</f>
        <v>25562.460000000003</v>
      </c>
      <c r="K12" s="2">
        <f t="shared" si="2"/>
        <v>28118.706000000006</v>
      </c>
      <c r="L12" s="2">
        <f t="shared" si="2"/>
        <v>30930.576600000008</v>
      </c>
      <c r="M12" s="2">
        <f t="shared" si="2"/>
        <v>34023.634260000013</v>
      </c>
    </row>
    <row r="13" spans="1:13" s="4" customFormat="1" ht="15" x14ac:dyDescent="0.25">
      <c r="A13" s="2"/>
      <c r="B13" s="4" t="s">
        <v>9</v>
      </c>
      <c r="F13" s="4">
        <f>SUM(F11:F12)</f>
        <v>67074</v>
      </c>
      <c r="G13" s="4">
        <f t="shared" ref="G13:H13" si="3">SUM(G11:G12)</f>
        <v>68920</v>
      </c>
      <c r="H13" s="4">
        <f t="shared" si="3"/>
        <v>80738</v>
      </c>
      <c r="I13" s="4">
        <f t="shared" ref="I13" si="4">SUM(I11:I12)</f>
        <v>85831.200000000012</v>
      </c>
      <c r="J13" s="4">
        <f t="shared" ref="J13" si="5">SUM(J11:J12)</f>
        <v>91284.690000000017</v>
      </c>
      <c r="K13" s="4">
        <f t="shared" ref="K13" si="6">SUM(K11:K12)</f>
        <v>97127.047500000015</v>
      </c>
      <c r="L13" s="4">
        <f t="shared" ref="L13" si="7">SUM(L11:L12)</f>
        <v>103389.33517500001</v>
      </c>
      <c r="M13" s="4">
        <f t="shared" ref="M13" si="8">SUM(M11:M12)</f>
        <v>110105.33076375004</v>
      </c>
    </row>
    <row r="14" spans="1:13" x14ac:dyDescent="0.2">
      <c r="B14" s="2" t="s">
        <v>12</v>
      </c>
      <c r="F14" s="2">
        <v>41927</v>
      </c>
      <c r="G14" s="2">
        <v>43425</v>
      </c>
      <c r="H14" s="2">
        <v>50768</v>
      </c>
      <c r="I14" s="2">
        <f>I11*(1-I38)</f>
        <v>53120.676000000007</v>
      </c>
      <c r="J14" s="2">
        <f t="shared" ref="J14:M14" si="9">J11*(1-J38)</f>
        <v>55577.799396000009</v>
      </c>
      <c r="K14" s="2">
        <f t="shared" si="9"/>
        <v>58143.656323116011</v>
      </c>
      <c r="L14" s="2">
        <f t="shared" si="9"/>
        <v>60822.680750557243</v>
      </c>
      <c r="M14" s="2">
        <f t="shared" si="9"/>
        <v>63619.457153771815</v>
      </c>
    </row>
    <row r="15" spans="1:13" x14ac:dyDescent="0.2">
      <c r="B15" s="2" t="s">
        <v>13</v>
      </c>
      <c r="F15" s="2">
        <v>11479</v>
      </c>
      <c r="G15" s="2">
        <v>13406</v>
      </c>
      <c r="H15" s="2">
        <v>14560</v>
      </c>
      <c r="I15" s="2">
        <f>I12*(1-I39)</f>
        <v>15871.548000000003</v>
      </c>
      <c r="J15" s="2">
        <f t="shared" ref="J15:M15" si="10">J12*(1-J39)</f>
        <v>17296.627656000001</v>
      </c>
      <c r="K15" s="2">
        <f t="shared" si="10"/>
        <v>18844.442110032003</v>
      </c>
      <c r="L15" s="2">
        <f t="shared" si="10"/>
        <v>20524.852515455903</v>
      </c>
      <c r="M15" s="2">
        <f t="shared" si="10"/>
        <v>22348.411837141528</v>
      </c>
    </row>
    <row r="16" spans="1:13" x14ac:dyDescent="0.2">
      <c r="B16" s="2" t="s">
        <v>14</v>
      </c>
      <c r="F16" s="2">
        <f>F13-SUM(F14:F15)</f>
        <v>13668</v>
      </c>
      <c r="G16" s="2">
        <f t="shared" ref="G16:M16" si="11">G13-SUM(G14:G15)</f>
        <v>12089</v>
      </c>
      <c r="H16" s="2">
        <f t="shared" si="11"/>
        <v>15410</v>
      </c>
      <c r="I16" s="2">
        <f t="shared" si="11"/>
        <v>16838.975999999995</v>
      </c>
      <c r="J16" s="2">
        <f t="shared" si="11"/>
        <v>18410.262948000003</v>
      </c>
      <c r="K16" s="2">
        <f t="shared" si="11"/>
        <v>20138.949066852001</v>
      </c>
      <c r="L16" s="2">
        <f t="shared" si="11"/>
        <v>22041.801908986876</v>
      </c>
      <c r="M16" s="2">
        <f t="shared" si="11"/>
        <v>24137.461772836701</v>
      </c>
    </row>
    <row r="17" spans="1:109" x14ac:dyDescent="0.2">
      <c r="B17" s="2" t="s">
        <v>15</v>
      </c>
      <c r="F17" s="2">
        <v>2711</v>
      </c>
      <c r="G17" s="2">
        <v>2805</v>
      </c>
      <c r="H17" s="2">
        <v>2934</v>
      </c>
    </row>
    <row r="18" spans="1:109" x14ac:dyDescent="0.2">
      <c r="B18" s="2" t="s">
        <v>16</v>
      </c>
      <c r="F18" s="2">
        <v>5573</v>
      </c>
      <c r="G18" s="2">
        <v>5809</v>
      </c>
      <c r="H18" s="2">
        <v>5806</v>
      </c>
    </row>
    <row r="19" spans="1:109" x14ac:dyDescent="0.2">
      <c r="B19" s="2" t="s">
        <v>17</v>
      </c>
      <c r="F19" s="2">
        <f>SUM(F17:F18)</f>
        <v>8284</v>
      </c>
      <c r="G19" s="2">
        <f t="shared" ref="G19:H19" si="12">SUM(G17:G18)</f>
        <v>8614</v>
      </c>
      <c r="H19" s="2">
        <f t="shared" si="12"/>
        <v>8740</v>
      </c>
      <c r="I19" s="2">
        <f>I13*I36</f>
        <v>9198.4324744234455</v>
      </c>
      <c r="J19" s="2">
        <f t="shared" ref="J19:M19" si="13">J13*J36</f>
        <v>9685.0480518103031</v>
      </c>
      <c r="K19" s="2">
        <f t="shared" si="13"/>
        <v>10201.856641527533</v>
      </c>
      <c r="L19" s="2">
        <f t="shared" si="13"/>
        <v>10751.02734859729</v>
      </c>
      <c r="M19" s="2">
        <f t="shared" si="13"/>
        <v>11334.901864502222</v>
      </c>
    </row>
    <row r="20" spans="1:109" x14ac:dyDescent="0.2">
      <c r="B20" s="2" t="s">
        <v>18</v>
      </c>
      <c r="F20" s="2">
        <f>F16-F19</f>
        <v>5384</v>
      </c>
      <c r="G20" s="2">
        <f t="shared" ref="G20:M20" si="14">G16-G19</f>
        <v>3475</v>
      </c>
      <c r="H20" s="2">
        <f t="shared" si="14"/>
        <v>6670</v>
      </c>
      <c r="I20" s="2">
        <f t="shared" si="14"/>
        <v>7640.5435255765497</v>
      </c>
      <c r="J20" s="2">
        <f t="shared" si="14"/>
        <v>8725.2148961897001</v>
      </c>
      <c r="K20" s="2">
        <f t="shared" si="14"/>
        <v>9937.0924253244684</v>
      </c>
      <c r="L20" s="2">
        <f t="shared" si="14"/>
        <v>11290.774560389586</v>
      </c>
      <c r="M20" s="2">
        <f t="shared" si="14"/>
        <v>12802.559908334479</v>
      </c>
    </row>
    <row r="21" spans="1:109" x14ac:dyDescent="0.2">
      <c r="B21" s="2" t="s">
        <v>20</v>
      </c>
      <c r="F21" s="2">
        <v>1889</v>
      </c>
      <c r="G21" s="2">
        <v>1780</v>
      </c>
      <c r="H21" s="2">
        <v>1518</v>
      </c>
      <c r="I21" s="2">
        <f>H21*(1+I29)</f>
        <v>1613.7600832321834</v>
      </c>
      <c r="J21" s="2">
        <f t="shared" ref="J21:M21" si="15">I21*(1+J29)</f>
        <v>1716.2941789491942</v>
      </c>
      <c r="K21" s="2">
        <f t="shared" si="15"/>
        <v>1826.1395886075954</v>
      </c>
      <c r="L21" s="2">
        <f t="shared" si="15"/>
        <v>1943.880338820011</v>
      </c>
      <c r="M21" s="2">
        <f t="shared" si="15"/>
        <v>2070.1515036212513</v>
      </c>
    </row>
    <row r="22" spans="1:109" x14ac:dyDescent="0.2">
      <c r="B22" s="2" t="s">
        <v>19</v>
      </c>
      <c r="F22" s="2">
        <v>-1276</v>
      </c>
      <c r="G22" s="2">
        <v>-1505</v>
      </c>
      <c r="H22" s="2">
        <v>-1862</v>
      </c>
      <c r="I22" s="2">
        <f>H41*$P$27</f>
        <v>-2624.3399999999997</v>
      </c>
      <c r="J22" s="2">
        <f t="shared" ref="J22:M22" si="16">I41*$P$27</f>
        <v>-2278.2558996201838</v>
      </c>
      <c r="K22" s="2">
        <f t="shared" si="16"/>
        <v>-1852.134083858107</v>
      </c>
      <c r="L22" s="2">
        <f t="shared" si="16"/>
        <v>-1334.7747719082465</v>
      </c>
      <c r="M22" s="2">
        <f t="shared" si="16"/>
        <v>-713.60102926311617</v>
      </c>
    </row>
    <row r="23" spans="1:109" x14ac:dyDescent="0.2">
      <c r="B23" s="2" t="s">
        <v>21</v>
      </c>
      <c r="F23" s="2">
        <f>SUM(F20:F22)</f>
        <v>5997</v>
      </c>
      <c r="G23" s="2">
        <f t="shared" ref="G23:H23" si="17">SUM(G20:G22)</f>
        <v>3750</v>
      </c>
      <c r="H23" s="2">
        <f t="shared" si="17"/>
        <v>6326</v>
      </c>
      <c r="I23" s="2">
        <f t="shared" ref="I23" si="18">SUM(I20:I22)</f>
        <v>6629.9636088087336</v>
      </c>
      <c r="J23" s="2">
        <f t="shared" ref="J23" si="19">SUM(J20:J22)</f>
        <v>8163.2531755187101</v>
      </c>
      <c r="K23" s="2">
        <f t="shared" ref="K23" si="20">SUM(K20:K22)</f>
        <v>9911.0979300739564</v>
      </c>
      <c r="L23" s="2">
        <f t="shared" ref="L23" si="21">SUM(L20:L22)</f>
        <v>11899.880127301349</v>
      </c>
      <c r="M23" s="2">
        <f t="shared" ref="M23" si="22">SUM(M20:M22)</f>
        <v>14159.110382692614</v>
      </c>
    </row>
    <row r="24" spans="1:109" x14ac:dyDescent="0.2">
      <c r="B24" s="2" t="s">
        <v>22</v>
      </c>
      <c r="F24" s="2">
        <v>790</v>
      </c>
      <c r="G24" s="2">
        <v>456</v>
      </c>
      <c r="H24" s="2">
        <v>1181</v>
      </c>
      <c r="I24" s="2">
        <f>I23*I30</f>
        <v>861.89526914513544</v>
      </c>
      <c r="J24" s="2">
        <f t="shared" ref="J24:M24" si="23">J23*J30</f>
        <v>1061.2229128174324</v>
      </c>
      <c r="K24" s="2">
        <f t="shared" si="23"/>
        <v>1288.4427309096143</v>
      </c>
      <c r="L24" s="2">
        <f t="shared" si="23"/>
        <v>1546.9844165491754</v>
      </c>
      <c r="M24" s="2">
        <f t="shared" si="23"/>
        <v>1840.6843497500399</v>
      </c>
    </row>
    <row r="25" spans="1:109" s="4" customFormat="1" ht="15" x14ac:dyDescent="0.25">
      <c r="A25" s="2"/>
      <c r="B25" s="4" t="s">
        <v>23</v>
      </c>
      <c r="F25" s="4">
        <f>F23-F24</f>
        <v>5207</v>
      </c>
      <c r="G25" s="4">
        <f t="shared" ref="G25:M25" si="24">G23-G24</f>
        <v>3294</v>
      </c>
      <c r="H25" s="4">
        <f t="shared" si="24"/>
        <v>5145</v>
      </c>
      <c r="I25" s="4">
        <f t="shared" si="24"/>
        <v>5768.0683396635977</v>
      </c>
      <c r="J25" s="4">
        <f t="shared" si="24"/>
        <v>7102.0302627012779</v>
      </c>
      <c r="K25" s="4">
        <f t="shared" si="24"/>
        <v>8622.6551991643428</v>
      </c>
      <c r="L25" s="4">
        <f t="shared" si="24"/>
        <v>10352.895710752173</v>
      </c>
      <c r="M25" s="4">
        <f t="shared" si="24"/>
        <v>12318.426032942574</v>
      </c>
      <c r="N25" s="4">
        <f>M25*(1+$P$28)</f>
        <v>12318.426032942574</v>
      </c>
      <c r="O25" s="4">
        <f t="shared" ref="O25:BZ25" si="25">N25*(1+$P$28)</f>
        <v>12318.426032942574</v>
      </c>
      <c r="P25" s="4">
        <f t="shared" si="25"/>
        <v>12318.426032942574</v>
      </c>
      <c r="Q25" s="4">
        <f t="shared" si="25"/>
        <v>12318.426032942574</v>
      </c>
      <c r="R25" s="4">
        <f t="shared" si="25"/>
        <v>12318.426032942574</v>
      </c>
      <c r="S25" s="4">
        <f t="shared" si="25"/>
        <v>12318.426032942574</v>
      </c>
      <c r="T25" s="4">
        <f t="shared" si="25"/>
        <v>12318.426032942574</v>
      </c>
      <c r="U25" s="4">
        <f t="shared" si="25"/>
        <v>12318.426032942574</v>
      </c>
      <c r="V25" s="4">
        <f t="shared" si="25"/>
        <v>12318.426032942574</v>
      </c>
      <c r="W25" s="4">
        <f t="shared" si="25"/>
        <v>12318.426032942574</v>
      </c>
      <c r="X25" s="4">
        <f t="shared" si="25"/>
        <v>12318.426032942574</v>
      </c>
      <c r="Y25" s="4">
        <f t="shared" si="25"/>
        <v>12318.426032942574</v>
      </c>
      <c r="Z25" s="4">
        <f t="shared" si="25"/>
        <v>12318.426032942574</v>
      </c>
      <c r="AA25" s="4">
        <f t="shared" si="25"/>
        <v>12318.426032942574</v>
      </c>
      <c r="AB25" s="4">
        <f t="shared" si="25"/>
        <v>12318.426032942574</v>
      </c>
      <c r="AC25" s="4">
        <f t="shared" si="25"/>
        <v>12318.426032942574</v>
      </c>
      <c r="AD25" s="4">
        <f t="shared" si="25"/>
        <v>12318.426032942574</v>
      </c>
      <c r="AE25" s="4">
        <f t="shared" si="25"/>
        <v>12318.426032942574</v>
      </c>
      <c r="AF25" s="4">
        <f t="shared" si="25"/>
        <v>12318.426032942574</v>
      </c>
      <c r="AG25" s="4">
        <f t="shared" si="25"/>
        <v>12318.426032942574</v>
      </c>
      <c r="AH25" s="4">
        <f t="shared" si="25"/>
        <v>12318.426032942574</v>
      </c>
      <c r="AI25" s="4">
        <f t="shared" si="25"/>
        <v>12318.426032942574</v>
      </c>
      <c r="AJ25" s="4">
        <f t="shared" si="25"/>
        <v>12318.426032942574</v>
      </c>
      <c r="AK25" s="4">
        <f t="shared" si="25"/>
        <v>12318.426032942574</v>
      </c>
      <c r="AL25" s="4">
        <f t="shared" si="25"/>
        <v>12318.426032942574</v>
      </c>
      <c r="AM25" s="4">
        <f t="shared" si="25"/>
        <v>12318.426032942574</v>
      </c>
      <c r="AN25" s="4">
        <f t="shared" si="25"/>
        <v>12318.426032942574</v>
      </c>
      <c r="AO25" s="4">
        <f t="shared" si="25"/>
        <v>12318.426032942574</v>
      </c>
      <c r="AP25" s="4">
        <f t="shared" si="25"/>
        <v>12318.426032942574</v>
      </c>
      <c r="AQ25" s="4">
        <f t="shared" si="25"/>
        <v>12318.426032942574</v>
      </c>
      <c r="AR25" s="4">
        <f t="shared" si="25"/>
        <v>12318.426032942574</v>
      </c>
      <c r="AS25" s="4">
        <f t="shared" si="25"/>
        <v>12318.426032942574</v>
      </c>
      <c r="AT25" s="4">
        <f t="shared" si="25"/>
        <v>12318.426032942574</v>
      </c>
      <c r="AU25" s="4">
        <f t="shared" si="25"/>
        <v>12318.426032942574</v>
      </c>
      <c r="AV25" s="4">
        <f t="shared" si="25"/>
        <v>12318.426032942574</v>
      </c>
      <c r="AW25" s="4">
        <f t="shared" si="25"/>
        <v>12318.426032942574</v>
      </c>
      <c r="AX25" s="4">
        <f t="shared" si="25"/>
        <v>12318.426032942574</v>
      </c>
      <c r="AY25" s="4">
        <f t="shared" si="25"/>
        <v>12318.426032942574</v>
      </c>
      <c r="AZ25" s="4">
        <f t="shared" si="25"/>
        <v>12318.426032942574</v>
      </c>
      <c r="BA25" s="4">
        <f t="shared" si="25"/>
        <v>12318.426032942574</v>
      </c>
      <c r="BB25" s="4">
        <f t="shared" si="25"/>
        <v>12318.426032942574</v>
      </c>
      <c r="BC25" s="4">
        <f t="shared" si="25"/>
        <v>12318.426032942574</v>
      </c>
      <c r="BD25" s="4">
        <f t="shared" si="25"/>
        <v>12318.426032942574</v>
      </c>
      <c r="BE25" s="4">
        <f t="shared" si="25"/>
        <v>12318.426032942574</v>
      </c>
      <c r="BF25" s="4">
        <f t="shared" si="25"/>
        <v>12318.426032942574</v>
      </c>
      <c r="BG25" s="4">
        <f t="shared" si="25"/>
        <v>12318.426032942574</v>
      </c>
      <c r="BH25" s="4">
        <f t="shared" si="25"/>
        <v>12318.426032942574</v>
      </c>
      <c r="BI25" s="4">
        <f t="shared" si="25"/>
        <v>12318.426032942574</v>
      </c>
      <c r="BJ25" s="4">
        <f t="shared" si="25"/>
        <v>12318.426032942574</v>
      </c>
      <c r="BK25" s="4">
        <f t="shared" si="25"/>
        <v>12318.426032942574</v>
      </c>
      <c r="BL25" s="4">
        <f t="shared" si="25"/>
        <v>12318.426032942574</v>
      </c>
      <c r="BM25" s="4">
        <f t="shared" si="25"/>
        <v>12318.426032942574</v>
      </c>
      <c r="BN25" s="4">
        <f t="shared" si="25"/>
        <v>12318.426032942574</v>
      </c>
      <c r="BO25" s="4">
        <f t="shared" si="25"/>
        <v>12318.426032942574</v>
      </c>
      <c r="BP25" s="4">
        <f t="shared" si="25"/>
        <v>12318.426032942574</v>
      </c>
      <c r="BQ25" s="4">
        <f t="shared" si="25"/>
        <v>12318.426032942574</v>
      </c>
      <c r="BR25" s="4">
        <f t="shared" si="25"/>
        <v>12318.426032942574</v>
      </c>
      <c r="BS25" s="4">
        <f t="shared" si="25"/>
        <v>12318.426032942574</v>
      </c>
      <c r="BT25" s="4">
        <f t="shared" si="25"/>
        <v>12318.426032942574</v>
      </c>
      <c r="BU25" s="4">
        <f t="shared" si="25"/>
        <v>12318.426032942574</v>
      </c>
      <c r="BV25" s="4">
        <f t="shared" si="25"/>
        <v>12318.426032942574</v>
      </c>
      <c r="BW25" s="4">
        <f t="shared" si="25"/>
        <v>12318.426032942574</v>
      </c>
      <c r="BX25" s="4">
        <f t="shared" si="25"/>
        <v>12318.426032942574</v>
      </c>
      <c r="BY25" s="4">
        <f t="shared" si="25"/>
        <v>12318.426032942574</v>
      </c>
      <c r="BZ25" s="4">
        <f t="shared" si="25"/>
        <v>12318.426032942574</v>
      </c>
      <c r="CA25" s="4">
        <f t="shared" ref="CA25:DE25" si="26">BZ25*(1+$P$28)</f>
        <v>12318.426032942574</v>
      </c>
      <c r="CB25" s="4">
        <f t="shared" si="26"/>
        <v>12318.426032942574</v>
      </c>
      <c r="CC25" s="4">
        <f t="shared" si="26"/>
        <v>12318.426032942574</v>
      </c>
      <c r="CD25" s="4">
        <f t="shared" si="26"/>
        <v>12318.426032942574</v>
      </c>
      <c r="CE25" s="4">
        <f t="shared" si="26"/>
        <v>12318.426032942574</v>
      </c>
      <c r="CF25" s="4">
        <f t="shared" si="26"/>
        <v>12318.426032942574</v>
      </c>
      <c r="CG25" s="4">
        <f t="shared" si="26"/>
        <v>12318.426032942574</v>
      </c>
      <c r="CH25" s="4">
        <f t="shared" si="26"/>
        <v>12318.426032942574</v>
      </c>
      <c r="CI25" s="4">
        <f t="shared" si="26"/>
        <v>12318.426032942574</v>
      </c>
      <c r="CJ25" s="4">
        <f t="shared" si="26"/>
        <v>12318.426032942574</v>
      </c>
      <c r="CK25" s="4">
        <f t="shared" si="26"/>
        <v>12318.426032942574</v>
      </c>
      <c r="CL25" s="4">
        <f t="shared" si="26"/>
        <v>12318.426032942574</v>
      </c>
      <c r="CM25" s="4">
        <f t="shared" si="26"/>
        <v>12318.426032942574</v>
      </c>
      <c r="CN25" s="4">
        <f t="shared" si="26"/>
        <v>12318.426032942574</v>
      </c>
      <c r="CO25" s="4">
        <f t="shared" si="26"/>
        <v>12318.426032942574</v>
      </c>
      <c r="CP25" s="4">
        <f t="shared" si="26"/>
        <v>12318.426032942574</v>
      </c>
      <c r="CQ25" s="4">
        <f t="shared" si="26"/>
        <v>12318.426032942574</v>
      </c>
      <c r="CR25" s="4">
        <f t="shared" si="26"/>
        <v>12318.426032942574</v>
      </c>
      <c r="CS25" s="4">
        <f t="shared" si="26"/>
        <v>12318.426032942574</v>
      </c>
      <c r="CT25" s="4">
        <f t="shared" si="26"/>
        <v>12318.426032942574</v>
      </c>
      <c r="CU25" s="4">
        <f t="shared" si="26"/>
        <v>12318.426032942574</v>
      </c>
      <c r="CV25" s="4">
        <f t="shared" si="26"/>
        <v>12318.426032942574</v>
      </c>
      <c r="CW25" s="4">
        <f t="shared" si="26"/>
        <v>12318.426032942574</v>
      </c>
      <c r="CX25" s="4">
        <f t="shared" si="26"/>
        <v>12318.426032942574</v>
      </c>
      <c r="CY25" s="4">
        <f t="shared" si="26"/>
        <v>12318.426032942574</v>
      </c>
      <c r="CZ25" s="4">
        <f t="shared" si="26"/>
        <v>12318.426032942574</v>
      </c>
      <c r="DA25" s="4">
        <f t="shared" si="26"/>
        <v>12318.426032942574</v>
      </c>
      <c r="DB25" s="4">
        <f t="shared" si="26"/>
        <v>12318.426032942574</v>
      </c>
      <c r="DC25" s="4">
        <f t="shared" si="26"/>
        <v>12318.426032942574</v>
      </c>
      <c r="DD25" s="4">
        <f t="shared" si="26"/>
        <v>12318.426032942574</v>
      </c>
      <c r="DE25" s="4">
        <f t="shared" si="26"/>
        <v>12318.426032942574</v>
      </c>
    </row>
    <row r="26" spans="1:109" x14ac:dyDescent="0.2">
      <c r="B26" s="2" t="s">
        <v>24</v>
      </c>
      <c r="F26" s="6">
        <f>F25/F27</f>
        <v>3.5040376850605655</v>
      </c>
      <c r="G26" s="6">
        <f t="shared" ref="G26:M26" si="27">G25/G27</f>
        <v>2.2954703832752612</v>
      </c>
      <c r="H26" s="6">
        <f t="shared" si="27"/>
        <v>3.8292646621018163</v>
      </c>
      <c r="I26" s="6">
        <f t="shared" si="27"/>
        <v>4.5189423071274337</v>
      </c>
      <c r="J26" s="6">
        <f t="shared" si="27"/>
        <v>5.8568663364403895</v>
      </c>
      <c r="K26" s="6">
        <f t="shared" si="27"/>
        <v>7.4851448475671676</v>
      </c>
      <c r="L26" s="6">
        <f t="shared" si="27"/>
        <v>9.4601369356984915</v>
      </c>
      <c r="M26" s="6">
        <f t="shared" si="27"/>
        <v>11.848604371155647</v>
      </c>
    </row>
    <row r="27" spans="1:109" x14ac:dyDescent="0.2">
      <c r="B27" s="2" t="s">
        <v>6</v>
      </c>
      <c r="F27" s="2">
        <v>1486</v>
      </c>
      <c r="G27" s="2">
        <v>1435</v>
      </c>
      <c r="H27" s="2">
        <v>1343.6</v>
      </c>
      <c r="I27" s="2">
        <f>H27*0.95</f>
        <v>1276.4199999999998</v>
      </c>
      <c r="J27" s="2">
        <f t="shared" ref="J27:M27" si="28">I27*0.95</f>
        <v>1212.5989999999997</v>
      </c>
      <c r="K27" s="2">
        <f t="shared" si="28"/>
        <v>1151.9690499999997</v>
      </c>
      <c r="L27" s="2">
        <f t="shared" si="28"/>
        <v>1094.3705974999996</v>
      </c>
      <c r="M27" s="2">
        <f t="shared" si="28"/>
        <v>1039.6520676249995</v>
      </c>
      <c r="O27" s="2" t="s">
        <v>38</v>
      </c>
      <c r="P27" s="9">
        <v>0.06</v>
      </c>
    </row>
    <row r="28" spans="1:109" x14ac:dyDescent="0.2">
      <c r="O28" s="2" t="s">
        <v>39</v>
      </c>
      <c r="P28" s="9">
        <v>0</v>
      </c>
    </row>
    <row r="29" spans="1:109" s="4" customFormat="1" ht="15" x14ac:dyDescent="0.25">
      <c r="A29" s="2"/>
      <c r="B29" s="4" t="s">
        <v>25</v>
      </c>
      <c r="G29" s="7">
        <f>G13/F13-1</f>
        <v>2.7521841548140857E-2</v>
      </c>
      <c r="H29" s="7">
        <f>H13/G13-1</f>
        <v>0.17147417295414979</v>
      </c>
      <c r="I29" s="7">
        <f t="shared" ref="I29:M29" si="29">I13/H13-1</f>
        <v>6.3083058782729573E-2</v>
      </c>
      <c r="J29" s="7">
        <f t="shared" si="29"/>
        <v>6.3537385006850799E-2</v>
      </c>
      <c r="K29" s="7">
        <f t="shared" si="29"/>
        <v>6.4001504523923947E-2</v>
      </c>
      <c r="L29" s="7">
        <f t="shared" si="29"/>
        <v>6.4475219171055365E-2</v>
      </c>
      <c r="M29" s="7">
        <f t="shared" si="29"/>
        <v>6.4958301331392798E-2</v>
      </c>
      <c r="O29" s="2" t="s">
        <v>40</v>
      </c>
      <c r="P29" s="9">
        <v>0.08</v>
      </c>
    </row>
    <row r="30" spans="1:109" ht="15" x14ac:dyDescent="0.25">
      <c r="B30" s="2" t="s">
        <v>26</v>
      </c>
      <c r="F30" s="8">
        <f>F24/F23</f>
        <v>0.13173253293313322</v>
      </c>
      <c r="G30" s="8">
        <f t="shared" ref="G30:H30" si="30">G24/G23</f>
        <v>0.1216</v>
      </c>
      <c r="H30" s="8">
        <f t="shared" si="30"/>
        <v>0.1866898514068922</v>
      </c>
      <c r="I30" s="8">
        <v>0.13</v>
      </c>
      <c r="J30" s="8">
        <v>0.13</v>
      </c>
      <c r="K30" s="8">
        <v>0.13</v>
      </c>
      <c r="L30" s="8">
        <v>0.13</v>
      </c>
      <c r="M30" s="8">
        <v>0.13</v>
      </c>
      <c r="O30" s="4" t="s">
        <v>41</v>
      </c>
      <c r="P30" s="4">
        <f>NPV(P29,I47:XFD47)+main!D5-main!D6</f>
        <v>123557.29237736721</v>
      </c>
    </row>
    <row r="31" spans="1:109" x14ac:dyDescent="0.2">
      <c r="B31" s="2" t="s">
        <v>36</v>
      </c>
      <c r="F31" s="8"/>
      <c r="G31" s="8">
        <f>G11/F11-1</f>
        <v>-2.3673999960609038E-2</v>
      </c>
      <c r="H31" s="8">
        <f>H11/G11-1</f>
        <v>0.20255794718686326</v>
      </c>
      <c r="I31" s="8">
        <f t="shared" ref="I31:M31" si="31">I11/H11-1</f>
        <v>5.0000000000000044E-2</v>
      </c>
      <c r="J31" s="8">
        <f t="shared" si="31"/>
        <v>5.0000000000000044E-2</v>
      </c>
      <c r="K31" s="8">
        <f t="shared" si="31"/>
        <v>5.0000000000000044E-2</v>
      </c>
      <c r="L31" s="8">
        <f t="shared" si="31"/>
        <v>5.0000000000000044E-2</v>
      </c>
      <c r="M31" s="8">
        <f t="shared" si="31"/>
        <v>5.0000000000000044E-2</v>
      </c>
      <c r="O31" s="2" t="s">
        <v>1</v>
      </c>
      <c r="P31" s="2">
        <f>P30/main!D3</f>
        <v>92.486256909761948</v>
      </c>
    </row>
    <row r="32" spans="1:109" x14ac:dyDescent="0.2">
      <c r="B32" s="2" t="s">
        <v>37</v>
      </c>
      <c r="F32" s="8"/>
      <c r="G32" s="8">
        <f>G12/F12-1</f>
        <v>0.18698239371817671</v>
      </c>
      <c r="H32" s="8">
        <f>H12/G12-1</f>
        <v>9.1839371543749104E-2</v>
      </c>
      <c r="I32" s="8">
        <f t="shared" ref="I32:M32" si="32">I12/H12-1</f>
        <v>0.10000000000000009</v>
      </c>
      <c r="J32" s="8">
        <f t="shared" si="32"/>
        <v>0.10000000000000009</v>
      </c>
      <c r="K32" s="8">
        <f t="shared" si="32"/>
        <v>0.10000000000000009</v>
      </c>
      <c r="L32" s="8">
        <f t="shared" si="32"/>
        <v>0.10000000000000009</v>
      </c>
      <c r="M32" s="8">
        <f t="shared" si="32"/>
        <v>0.10000000000000009</v>
      </c>
      <c r="O32" s="2" t="s">
        <v>42</v>
      </c>
      <c r="P32" s="8">
        <f>P31/main!D2-1</f>
        <v>-0.31491661548324479</v>
      </c>
    </row>
    <row r="34" spans="1:115" s="4" customFormat="1" ht="15" x14ac:dyDescent="0.25">
      <c r="A34" s="2"/>
      <c r="B34" s="4" t="s">
        <v>27</v>
      </c>
      <c r="F34" s="7">
        <f t="shared" ref="F34:M34" si="33">F16/F13</f>
        <v>0.20377493514625639</v>
      </c>
      <c r="G34" s="7">
        <f t="shared" si="33"/>
        <v>0.17540626813697041</v>
      </c>
      <c r="H34" s="7">
        <f t="shared" si="33"/>
        <v>0.19086427704426664</v>
      </c>
      <c r="I34" s="7">
        <f t="shared" si="33"/>
        <v>0.19618712076727335</v>
      </c>
      <c r="J34" s="7">
        <f t="shared" si="33"/>
        <v>0.20167963486538651</v>
      </c>
      <c r="K34" s="7">
        <f t="shared" si="33"/>
        <v>0.20734645585568734</v>
      </c>
      <c r="L34" s="7">
        <f t="shared" si="33"/>
        <v>0.21319222018091358</v>
      </c>
      <c r="M34" s="7">
        <f t="shared" si="33"/>
        <v>0.21922155453697137</v>
      </c>
    </row>
    <row r="35" spans="1:115" x14ac:dyDescent="0.2">
      <c r="B35" s="2" t="s">
        <v>28</v>
      </c>
      <c r="F35" s="8">
        <f>F20/F13</f>
        <v>8.0269553030980711E-2</v>
      </c>
      <c r="G35" s="8">
        <f t="shared" ref="G35:M35" si="34">G20/G13</f>
        <v>5.0420777713290774E-2</v>
      </c>
      <c r="H35" s="8">
        <f t="shared" si="34"/>
        <v>8.2612896034085559E-2</v>
      </c>
      <c r="I35" s="8">
        <f t="shared" si="34"/>
        <v>8.9018253567194075E-2</v>
      </c>
      <c r="J35" s="8">
        <f t="shared" si="34"/>
        <v>9.5582456337308025E-2</v>
      </c>
      <c r="K35" s="8">
        <f t="shared" si="34"/>
        <v>0.10231024911288966</v>
      </c>
      <c r="L35" s="8">
        <f t="shared" si="34"/>
        <v>0.10920637550554385</v>
      </c>
      <c r="M35" s="8">
        <f t="shared" si="34"/>
        <v>0.11627556830835536</v>
      </c>
    </row>
    <row r="36" spans="1:115" x14ac:dyDescent="0.2">
      <c r="B36" s="2" t="s">
        <v>33</v>
      </c>
      <c r="F36" s="8">
        <f>F19/F13</f>
        <v>0.12350538211527566</v>
      </c>
      <c r="G36" s="8">
        <f>G19/G13</f>
        <v>0.12498549042367962</v>
      </c>
      <c r="H36" s="8">
        <f>H19/H13</f>
        <v>0.10825138101018109</v>
      </c>
      <c r="I36" s="8">
        <f>H36*0.99</f>
        <v>0.10716886720007927</v>
      </c>
      <c r="J36" s="8">
        <f t="shared" ref="J36:M36" si="35">I36*0.99</f>
        <v>0.10609717852807848</v>
      </c>
      <c r="K36" s="8">
        <f t="shared" si="35"/>
        <v>0.10503620674279769</v>
      </c>
      <c r="L36" s="8">
        <f t="shared" si="35"/>
        <v>0.10398584467536971</v>
      </c>
      <c r="M36" s="8">
        <f t="shared" si="35"/>
        <v>0.10294598622861602</v>
      </c>
    </row>
    <row r="37" spans="1:115" x14ac:dyDescent="0.2">
      <c r="F37" s="8"/>
      <c r="G37" s="8"/>
      <c r="H37" s="8"/>
      <c r="I37" s="8"/>
      <c r="J37" s="8"/>
      <c r="K37" s="8"/>
      <c r="L37" s="8"/>
      <c r="M37" s="8"/>
    </row>
    <row r="38" spans="1:115" x14ac:dyDescent="0.2">
      <c r="B38" s="2" t="s">
        <v>34</v>
      </c>
      <c r="F38" s="8">
        <f>(F11-F14)/F11</f>
        <v>0.17422645894471472</v>
      </c>
      <c r="G38" s="8">
        <f t="shared" ref="G38:H38" si="36">(G11-G14)/G11</f>
        <v>0.1239837808396038</v>
      </c>
      <c r="H38" s="8">
        <f t="shared" si="36"/>
        <v>0.14835939072669932</v>
      </c>
      <c r="I38" s="8">
        <f>H38*1.02</f>
        <v>0.1513265785412333</v>
      </c>
      <c r="J38" s="8">
        <f t="shared" ref="J38:M38" si="37">I38*1.02</f>
        <v>0.15435311011205796</v>
      </c>
      <c r="K38" s="8">
        <f t="shared" si="37"/>
        <v>0.15744017231429913</v>
      </c>
      <c r="L38" s="8">
        <f t="shared" si="37"/>
        <v>0.16058897576058512</v>
      </c>
      <c r="M38" s="8">
        <f t="shared" si="37"/>
        <v>0.16380075527579682</v>
      </c>
    </row>
    <row r="39" spans="1:115" x14ac:dyDescent="0.2">
      <c r="B39" s="2" t="s">
        <v>35</v>
      </c>
      <c r="F39" s="8">
        <f>(F12-F15)/F12</f>
        <v>0.29581007300165635</v>
      </c>
      <c r="G39" s="8">
        <f t="shared" ref="G39:H39" si="38">(G12-G15)/G12</f>
        <v>0.30714765620962325</v>
      </c>
      <c r="H39" s="8">
        <f t="shared" si="38"/>
        <v>0.3108018555334659</v>
      </c>
      <c r="I39" s="8">
        <f>H39*1.02</f>
        <v>0.31701789264413521</v>
      </c>
      <c r="J39" s="8">
        <f t="shared" ref="J39:M39" si="39">I39*1.02</f>
        <v>0.32335825049701794</v>
      </c>
      <c r="K39" s="8">
        <f t="shared" si="39"/>
        <v>0.32982541550695832</v>
      </c>
      <c r="L39" s="8">
        <f t="shared" si="39"/>
        <v>0.33642192381709751</v>
      </c>
      <c r="M39" s="8">
        <f t="shared" si="39"/>
        <v>0.34315036229343948</v>
      </c>
    </row>
    <row r="41" spans="1:115" s="4" customFormat="1" ht="15" x14ac:dyDescent="0.25">
      <c r="A41" s="2"/>
      <c r="B41" s="4" t="s">
        <v>32</v>
      </c>
      <c r="H41" s="4">
        <f>H42-H43</f>
        <v>-43739</v>
      </c>
      <c r="I41" s="4">
        <f>H41+I25</f>
        <v>-37970.931660336399</v>
      </c>
      <c r="J41" s="4">
        <f t="shared" ref="J41:M41" si="40">I41+J25</f>
        <v>-30868.90139763512</v>
      </c>
      <c r="K41" s="4">
        <f t="shared" si="40"/>
        <v>-22246.246198470777</v>
      </c>
      <c r="L41" s="4">
        <f t="shared" si="40"/>
        <v>-11893.350487718604</v>
      </c>
      <c r="M41" s="4">
        <f t="shared" si="40"/>
        <v>425.07554522397004</v>
      </c>
    </row>
    <row r="42" spans="1:115" x14ac:dyDescent="0.2">
      <c r="B42" s="2" t="s">
        <v>2</v>
      </c>
      <c r="H42" s="2">
        <v>5157</v>
      </c>
    </row>
    <row r="43" spans="1:115" x14ac:dyDescent="0.2">
      <c r="B43" s="2" t="s">
        <v>3</v>
      </c>
      <c r="H43" s="2">
        <f>38244+1646+2060+6946</f>
        <v>48896</v>
      </c>
    </row>
    <row r="44" spans="1:115" x14ac:dyDescent="0.2">
      <c r="F44" s="8"/>
      <c r="G44" s="8"/>
      <c r="H44" s="8"/>
    </row>
    <row r="45" spans="1:115" x14ac:dyDescent="0.2">
      <c r="B45" s="2" t="s">
        <v>29</v>
      </c>
      <c r="F45" s="2">
        <v>7168</v>
      </c>
      <c r="G45" s="2">
        <v>7883</v>
      </c>
      <c r="H45" s="2">
        <v>7159</v>
      </c>
      <c r="I45" s="2">
        <f>I25*1.7</f>
        <v>9805.7161774281158</v>
      </c>
      <c r="J45" s="2">
        <f>J25*1.5</f>
        <v>10653.045394051916</v>
      </c>
      <c r="K45" s="2">
        <f t="shared" ref="K45:M45" si="41">K25*1.5</f>
        <v>12933.982798746514</v>
      </c>
      <c r="L45" s="2">
        <f t="shared" si="41"/>
        <v>15529.34356612826</v>
      </c>
      <c r="M45" s="2">
        <f t="shared" si="41"/>
        <v>18477.639049413861</v>
      </c>
    </row>
    <row r="46" spans="1:115" x14ac:dyDescent="0.2">
      <c r="B46" s="2" t="s">
        <v>30</v>
      </c>
      <c r="F46" s="2">
        <v>2288</v>
      </c>
      <c r="G46" s="2">
        <v>2415</v>
      </c>
      <c r="H46" s="2">
        <v>2625</v>
      </c>
      <c r="I46" s="2">
        <f>I13*0.032</f>
        <v>2746.5984000000003</v>
      </c>
      <c r="J46" s="2">
        <f t="shared" ref="J46:M46" si="42">J13*0.032</f>
        <v>2921.1100800000004</v>
      </c>
      <c r="K46" s="2">
        <f t="shared" si="42"/>
        <v>3108.0655200000006</v>
      </c>
      <c r="L46" s="2">
        <f t="shared" si="42"/>
        <v>3308.4587256000004</v>
      </c>
      <c r="M46" s="2">
        <f t="shared" si="42"/>
        <v>3523.3705844400015</v>
      </c>
    </row>
    <row r="47" spans="1:115" s="4" customFormat="1" ht="15" x14ac:dyDescent="0.25">
      <c r="A47" s="2"/>
      <c r="B47" s="4" t="s">
        <v>31</v>
      </c>
      <c r="F47" s="4">
        <f>F45-F46</f>
        <v>4880</v>
      </c>
      <c r="G47" s="4">
        <f t="shared" ref="G47:H47" si="43">G45-G46</f>
        <v>5468</v>
      </c>
      <c r="H47" s="4">
        <f t="shared" si="43"/>
        <v>4534</v>
      </c>
      <c r="I47" s="4">
        <f t="shared" ref="I47:M47" si="44">I45-I46</f>
        <v>7059.117777428115</v>
      </c>
      <c r="J47" s="4">
        <f t="shared" si="44"/>
        <v>7731.9353140519161</v>
      </c>
      <c r="K47" s="4">
        <f t="shared" si="44"/>
        <v>9825.9172787465141</v>
      </c>
      <c r="L47" s="4">
        <f t="shared" si="44"/>
        <v>12220.884840528259</v>
      </c>
      <c r="M47" s="4">
        <f t="shared" si="44"/>
        <v>14954.26846497386</v>
      </c>
      <c r="N47" s="4">
        <f>M47*(1+$P$28)</f>
        <v>14954.26846497386</v>
      </c>
      <c r="O47" s="4">
        <f t="shared" ref="O47:BZ47" si="45">N47*(1+$P$28)</f>
        <v>14954.26846497386</v>
      </c>
      <c r="P47" s="4">
        <f t="shared" si="45"/>
        <v>14954.26846497386</v>
      </c>
      <c r="Q47" s="4">
        <f t="shared" si="45"/>
        <v>14954.26846497386</v>
      </c>
      <c r="R47" s="4">
        <f t="shared" si="45"/>
        <v>14954.26846497386</v>
      </c>
      <c r="S47" s="4">
        <f t="shared" si="45"/>
        <v>14954.26846497386</v>
      </c>
      <c r="T47" s="4">
        <f t="shared" si="45"/>
        <v>14954.26846497386</v>
      </c>
      <c r="U47" s="4">
        <f t="shared" si="45"/>
        <v>14954.26846497386</v>
      </c>
      <c r="V47" s="4">
        <f t="shared" si="45"/>
        <v>14954.26846497386</v>
      </c>
      <c r="W47" s="4">
        <f t="shared" si="45"/>
        <v>14954.26846497386</v>
      </c>
      <c r="X47" s="4">
        <f t="shared" si="45"/>
        <v>14954.26846497386</v>
      </c>
      <c r="Y47" s="4">
        <f t="shared" si="45"/>
        <v>14954.26846497386</v>
      </c>
      <c r="Z47" s="4">
        <f t="shared" si="45"/>
        <v>14954.26846497386</v>
      </c>
      <c r="AA47" s="4">
        <f t="shared" si="45"/>
        <v>14954.26846497386</v>
      </c>
      <c r="AB47" s="4">
        <f t="shared" si="45"/>
        <v>14954.26846497386</v>
      </c>
      <c r="AC47" s="4">
        <f t="shared" si="45"/>
        <v>14954.26846497386</v>
      </c>
      <c r="AD47" s="4">
        <f t="shared" si="45"/>
        <v>14954.26846497386</v>
      </c>
      <c r="AE47" s="4">
        <f t="shared" si="45"/>
        <v>14954.26846497386</v>
      </c>
      <c r="AF47" s="4">
        <f t="shared" si="45"/>
        <v>14954.26846497386</v>
      </c>
      <c r="AG47" s="4">
        <f t="shared" si="45"/>
        <v>14954.26846497386</v>
      </c>
      <c r="AH47" s="4">
        <f t="shared" si="45"/>
        <v>14954.26846497386</v>
      </c>
      <c r="AI47" s="4">
        <f t="shared" si="45"/>
        <v>14954.26846497386</v>
      </c>
      <c r="AJ47" s="4">
        <f t="shared" si="45"/>
        <v>14954.26846497386</v>
      </c>
      <c r="AK47" s="4">
        <f t="shared" si="45"/>
        <v>14954.26846497386</v>
      </c>
      <c r="AL47" s="4">
        <f t="shared" si="45"/>
        <v>14954.26846497386</v>
      </c>
      <c r="AM47" s="4">
        <f t="shared" si="45"/>
        <v>14954.26846497386</v>
      </c>
      <c r="AN47" s="4">
        <f t="shared" si="45"/>
        <v>14954.26846497386</v>
      </c>
      <c r="AO47" s="4">
        <f t="shared" si="45"/>
        <v>14954.26846497386</v>
      </c>
      <c r="AP47" s="4">
        <f t="shared" si="45"/>
        <v>14954.26846497386</v>
      </c>
      <c r="AQ47" s="4">
        <f t="shared" si="45"/>
        <v>14954.26846497386</v>
      </c>
      <c r="AR47" s="4">
        <f t="shared" si="45"/>
        <v>14954.26846497386</v>
      </c>
      <c r="AS47" s="4">
        <f t="shared" si="45"/>
        <v>14954.26846497386</v>
      </c>
      <c r="AT47" s="4">
        <f t="shared" si="45"/>
        <v>14954.26846497386</v>
      </c>
      <c r="AU47" s="4">
        <f t="shared" si="45"/>
        <v>14954.26846497386</v>
      </c>
      <c r="AV47" s="4">
        <f t="shared" si="45"/>
        <v>14954.26846497386</v>
      </c>
      <c r="AW47" s="4">
        <f t="shared" si="45"/>
        <v>14954.26846497386</v>
      </c>
      <c r="AX47" s="4">
        <f t="shared" si="45"/>
        <v>14954.26846497386</v>
      </c>
      <c r="AY47" s="4">
        <f t="shared" si="45"/>
        <v>14954.26846497386</v>
      </c>
      <c r="AZ47" s="4">
        <f t="shared" si="45"/>
        <v>14954.26846497386</v>
      </c>
      <c r="BA47" s="4">
        <f t="shared" si="45"/>
        <v>14954.26846497386</v>
      </c>
      <c r="BB47" s="4">
        <f t="shared" si="45"/>
        <v>14954.26846497386</v>
      </c>
      <c r="BC47" s="4">
        <f t="shared" si="45"/>
        <v>14954.26846497386</v>
      </c>
      <c r="BD47" s="4">
        <f t="shared" si="45"/>
        <v>14954.26846497386</v>
      </c>
      <c r="BE47" s="4">
        <f t="shared" si="45"/>
        <v>14954.26846497386</v>
      </c>
      <c r="BF47" s="4">
        <f t="shared" si="45"/>
        <v>14954.26846497386</v>
      </c>
      <c r="BG47" s="4">
        <f t="shared" si="45"/>
        <v>14954.26846497386</v>
      </c>
      <c r="BH47" s="4">
        <f t="shared" si="45"/>
        <v>14954.26846497386</v>
      </c>
      <c r="BI47" s="4">
        <f t="shared" si="45"/>
        <v>14954.26846497386</v>
      </c>
      <c r="BJ47" s="4">
        <f t="shared" si="45"/>
        <v>14954.26846497386</v>
      </c>
      <c r="BK47" s="4">
        <f t="shared" si="45"/>
        <v>14954.26846497386</v>
      </c>
      <c r="BL47" s="4">
        <f t="shared" si="45"/>
        <v>14954.26846497386</v>
      </c>
      <c r="BM47" s="4">
        <f t="shared" si="45"/>
        <v>14954.26846497386</v>
      </c>
      <c r="BN47" s="4">
        <f t="shared" si="45"/>
        <v>14954.26846497386</v>
      </c>
      <c r="BO47" s="4">
        <f t="shared" si="45"/>
        <v>14954.26846497386</v>
      </c>
      <c r="BP47" s="4">
        <f t="shared" si="45"/>
        <v>14954.26846497386</v>
      </c>
      <c r="BQ47" s="4">
        <f t="shared" si="45"/>
        <v>14954.26846497386</v>
      </c>
      <c r="BR47" s="4">
        <f t="shared" si="45"/>
        <v>14954.26846497386</v>
      </c>
      <c r="BS47" s="4">
        <f t="shared" si="45"/>
        <v>14954.26846497386</v>
      </c>
      <c r="BT47" s="4">
        <f t="shared" si="45"/>
        <v>14954.26846497386</v>
      </c>
      <c r="BU47" s="4">
        <f t="shared" si="45"/>
        <v>14954.26846497386</v>
      </c>
      <c r="BV47" s="4">
        <f t="shared" si="45"/>
        <v>14954.26846497386</v>
      </c>
      <c r="BW47" s="4">
        <f t="shared" si="45"/>
        <v>14954.26846497386</v>
      </c>
      <c r="BX47" s="4">
        <f t="shared" si="45"/>
        <v>14954.26846497386</v>
      </c>
      <c r="BY47" s="4">
        <f t="shared" si="45"/>
        <v>14954.26846497386</v>
      </c>
      <c r="BZ47" s="4">
        <f t="shared" si="45"/>
        <v>14954.26846497386</v>
      </c>
      <c r="CA47" s="4">
        <f t="shared" ref="CA47:DK47" si="46">BZ47*(1+$P$28)</f>
        <v>14954.26846497386</v>
      </c>
      <c r="CB47" s="4">
        <f t="shared" si="46"/>
        <v>14954.26846497386</v>
      </c>
      <c r="CC47" s="4">
        <f t="shared" si="46"/>
        <v>14954.26846497386</v>
      </c>
      <c r="CD47" s="4">
        <f t="shared" si="46"/>
        <v>14954.26846497386</v>
      </c>
      <c r="CE47" s="4">
        <f t="shared" si="46"/>
        <v>14954.26846497386</v>
      </c>
      <c r="CF47" s="4">
        <f t="shared" si="46"/>
        <v>14954.26846497386</v>
      </c>
      <c r="CG47" s="4">
        <f t="shared" si="46"/>
        <v>14954.26846497386</v>
      </c>
      <c r="CH47" s="4">
        <f t="shared" si="46"/>
        <v>14954.26846497386</v>
      </c>
      <c r="CI47" s="4">
        <f t="shared" si="46"/>
        <v>14954.26846497386</v>
      </c>
      <c r="CJ47" s="4">
        <f t="shared" si="46"/>
        <v>14954.26846497386</v>
      </c>
      <c r="CK47" s="4">
        <f t="shared" si="46"/>
        <v>14954.26846497386</v>
      </c>
      <c r="CL47" s="4">
        <f t="shared" si="46"/>
        <v>14954.26846497386</v>
      </c>
      <c r="CM47" s="4">
        <f t="shared" si="46"/>
        <v>14954.26846497386</v>
      </c>
      <c r="CN47" s="4">
        <f t="shared" si="46"/>
        <v>14954.26846497386</v>
      </c>
      <c r="CO47" s="4">
        <f t="shared" si="46"/>
        <v>14954.26846497386</v>
      </c>
      <c r="CP47" s="4">
        <f t="shared" si="46"/>
        <v>14954.26846497386</v>
      </c>
      <c r="CQ47" s="4">
        <f t="shared" si="46"/>
        <v>14954.26846497386</v>
      </c>
      <c r="CR47" s="4">
        <f t="shared" si="46"/>
        <v>14954.26846497386</v>
      </c>
      <c r="CS47" s="4">
        <f t="shared" si="46"/>
        <v>14954.26846497386</v>
      </c>
      <c r="CT47" s="4">
        <f t="shared" si="46"/>
        <v>14954.26846497386</v>
      </c>
      <c r="CU47" s="4">
        <f t="shared" si="46"/>
        <v>14954.26846497386</v>
      </c>
      <c r="CV47" s="4">
        <f t="shared" si="46"/>
        <v>14954.26846497386</v>
      </c>
      <c r="CW47" s="4">
        <f t="shared" si="46"/>
        <v>14954.26846497386</v>
      </c>
      <c r="CX47" s="4">
        <f t="shared" si="46"/>
        <v>14954.26846497386</v>
      </c>
      <c r="CY47" s="4">
        <f t="shared" si="46"/>
        <v>14954.26846497386</v>
      </c>
      <c r="CZ47" s="4">
        <f t="shared" si="46"/>
        <v>14954.26846497386</v>
      </c>
      <c r="DA47" s="4">
        <f t="shared" si="46"/>
        <v>14954.26846497386</v>
      </c>
      <c r="DB47" s="4">
        <f t="shared" si="46"/>
        <v>14954.26846497386</v>
      </c>
      <c r="DC47" s="4">
        <f t="shared" si="46"/>
        <v>14954.26846497386</v>
      </c>
      <c r="DD47" s="4">
        <f t="shared" si="46"/>
        <v>14954.26846497386</v>
      </c>
      <c r="DE47" s="4">
        <f t="shared" si="46"/>
        <v>14954.26846497386</v>
      </c>
      <c r="DF47" s="4">
        <f t="shared" si="46"/>
        <v>14954.26846497386</v>
      </c>
      <c r="DG47" s="4">
        <f t="shared" si="46"/>
        <v>14954.26846497386</v>
      </c>
      <c r="DH47" s="4">
        <f t="shared" si="46"/>
        <v>14954.26846497386</v>
      </c>
      <c r="DI47" s="4">
        <f t="shared" si="46"/>
        <v>14954.26846497386</v>
      </c>
      <c r="DJ47" s="4">
        <f t="shared" si="46"/>
        <v>14954.26846497386</v>
      </c>
      <c r="DK47" s="4">
        <f t="shared" si="46"/>
        <v>14954.26846497386</v>
      </c>
    </row>
    <row r="48" spans="1:115" x14ac:dyDescent="0.2">
      <c r="F48" s="9"/>
      <c r="G48" s="9"/>
      <c r="H48" s="9"/>
    </row>
  </sheetData>
  <hyperlinks>
    <hyperlink ref="A1" location="main!A1" display="Main" xr:uid="{637BF619-71A4-4B20-AB1E-127EE587CD4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2025-05-22T07:07:55Z</dcterms:created>
  <dcterms:modified xsi:type="dcterms:W3CDTF">2025-05-25T07:14:01Z</dcterms:modified>
</cp:coreProperties>
</file>