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9398923-C775-476D-A0D0-2219B5C1590A}" xr6:coauthVersionLast="47" xr6:coauthVersionMax="47" xr10:uidLastSave="{00000000-0000-0000-0000-000000000000}"/>
  <bookViews>
    <workbookView xWindow="2460" yWindow="300" windowWidth="23340" windowHeight="14895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9" i="2" l="1"/>
  <c r="Y59" i="2"/>
  <c r="Z40" i="2"/>
  <c r="V31" i="2"/>
  <c r="U31" i="2"/>
  <c r="Q60" i="2"/>
  <c r="P60" i="2"/>
  <c r="X55" i="2"/>
  <c r="Y55" i="2"/>
  <c r="Z55" i="2"/>
  <c r="V40" i="2"/>
  <c r="V41" i="2" s="1"/>
  <c r="V36" i="2"/>
  <c r="V37" i="2" s="1"/>
  <c r="V32" i="2" s="1"/>
  <c r="U36" i="2"/>
  <c r="U37" i="2" s="1"/>
  <c r="U32" i="2" s="1"/>
  <c r="T63" i="2"/>
  <c r="S63" i="2"/>
  <c r="I63" i="2"/>
  <c r="T77" i="2"/>
  <c r="S77" i="2"/>
  <c r="W39" i="2"/>
  <c r="X39" i="2" s="1"/>
  <c r="Y39" i="2" s="1"/>
  <c r="Z39" i="2" s="1"/>
  <c r="W20" i="2"/>
  <c r="X20" i="2" s="1"/>
  <c r="Y20" i="2" s="1"/>
  <c r="Z20" i="2" s="1"/>
  <c r="W98" i="2"/>
  <c r="X98" i="2" s="1"/>
  <c r="Y98" i="2" s="1"/>
  <c r="Z98" i="2" s="1"/>
  <c r="W95" i="2"/>
  <c r="X95" i="2" s="1"/>
  <c r="Y95" i="2" s="1"/>
  <c r="Z95" i="2" s="1"/>
  <c r="G107" i="2"/>
  <c r="H107" i="2"/>
  <c r="U106" i="2"/>
  <c r="U105" i="2"/>
  <c r="U104" i="2"/>
  <c r="W96" i="2"/>
  <c r="X96" i="2" s="1"/>
  <c r="Y96" i="2" s="1"/>
  <c r="Z96" i="2" s="1"/>
  <c r="W97" i="2"/>
  <c r="X97" i="2" s="1"/>
  <c r="Y97" i="2" s="1"/>
  <c r="Z97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W40" i="2" l="1"/>
  <c r="W41" i="2" s="1"/>
  <c r="Z41" i="2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4" i="2"/>
  <c r="U75" i="2"/>
  <c r="U76" i="2"/>
  <c r="U77" i="2"/>
  <c r="U78" i="2"/>
  <c r="U79" i="2"/>
  <c r="U80" i="2"/>
  <c r="U73" i="2"/>
  <c r="U65" i="2"/>
  <c r="U66" i="2"/>
  <c r="U67" i="2"/>
  <c r="U68" i="2"/>
  <c r="U69" i="2"/>
  <c r="U70" i="2"/>
  <c r="U64" i="2"/>
  <c r="U47" i="2"/>
  <c r="D61" i="2"/>
  <c r="E61" i="2"/>
  <c r="F61" i="2"/>
  <c r="C61" i="2"/>
  <c r="I60" i="2"/>
  <c r="I56" i="2"/>
  <c r="F17" i="1"/>
  <c r="F15" i="1"/>
  <c r="E29" i="2"/>
  <c r="H29" i="2"/>
  <c r="E107" i="2"/>
  <c r="F107" i="2"/>
  <c r="I107" i="2"/>
  <c r="K107" i="2"/>
  <c r="L107" i="2"/>
  <c r="M107" i="2"/>
  <c r="N107" i="2"/>
  <c r="D103" i="2"/>
  <c r="E103" i="2"/>
  <c r="F103" i="2"/>
  <c r="G103" i="2"/>
  <c r="H103" i="2"/>
  <c r="C103" i="2"/>
  <c r="I103" i="2"/>
  <c r="D85" i="2"/>
  <c r="E85" i="2"/>
  <c r="F85" i="2"/>
  <c r="G85" i="2"/>
  <c r="H85" i="2"/>
  <c r="I85" i="2"/>
  <c r="J85" i="2"/>
  <c r="C85" i="2"/>
  <c r="S107" i="2"/>
  <c r="T107" i="2"/>
  <c r="R107" i="2"/>
  <c r="S103" i="2"/>
  <c r="T103" i="2"/>
  <c r="R103" i="2"/>
  <c r="Q85" i="2"/>
  <c r="R85" i="2"/>
  <c r="P85" i="2"/>
  <c r="T85" i="2"/>
  <c r="S85" i="2"/>
  <c r="Q71" i="2"/>
  <c r="R71" i="2"/>
  <c r="S71" i="2"/>
  <c r="T71" i="2"/>
  <c r="V71" i="2"/>
  <c r="W71" i="2"/>
  <c r="X71" i="2"/>
  <c r="Y71" i="2"/>
  <c r="Z71" i="2"/>
  <c r="Q81" i="2"/>
  <c r="R81" i="2"/>
  <c r="S81" i="2"/>
  <c r="T81" i="2"/>
  <c r="V81" i="2"/>
  <c r="W81" i="2"/>
  <c r="X81" i="2"/>
  <c r="Y81" i="2"/>
  <c r="Z81" i="2"/>
  <c r="P81" i="2"/>
  <c r="P71" i="2"/>
  <c r="D71" i="2"/>
  <c r="E71" i="2"/>
  <c r="F71" i="2"/>
  <c r="G71" i="2"/>
  <c r="H71" i="2"/>
  <c r="I71" i="2"/>
  <c r="J71" i="2"/>
  <c r="K71" i="2"/>
  <c r="L71" i="2"/>
  <c r="M71" i="2"/>
  <c r="N71" i="2"/>
  <c r="D81" i="2"/>
  <c r="E81" i="2"/>
  <c r="F81" i="2"/>
  <c r="G81" i="2"/>
  <c r="H81" i="2"/>
  <c r="I81" i="2"/>
  <c r="J81" i="2"/>
  <c r="K81" i="2"/>
  <c r="L81" i="2"/>
  <c r="M81" i="2"/>
  <c r="N81" i="2"/>
  <c r="C71" i="2"/>
  <c r="C81" i="2"/>
  <c r="U39" i="2"/>
  <c r="V55" i="2" s="1"/>
  <c r="J40" i="2"/>
  <c r="U40" i="2" s="1"/>
  <c r="Q41" i="2"/>
  <c r="R41" i="2"/>
  <c r="Q45" i="2"/>
  <c r="Q61" i="2" s="1"/>
  <c r="R45" i="2"/>
  <c r="R61" i="2" s="1"/>
  <c r="P45" i="2"/>
  <c r="P61" i="2" s="1"/>
  <c r="P41" i="2"/>
  <c r="P59" i="2" s="1"/>
  <c r="R55" i="2"/>
  <c r="S55" i="2"/>
  <c r="Q55" i="2"/>
  <c r="C60" i="2"/>
  <c r="D60" i="2"/>
  <c r="E60" i="2"/>
  <c r="F60" i="2"/>
  <c r="C59" i="2"/>
  <c r="D59" i="2"/>
  <c r="E59" i="2"/>
  <c r="F59" i="2"/>
  <c r="D56" i="2"/>
  <c r="E56" i="2"/>
  <c r="F56" i="2"/>
  <c r="G56" i="2"/>
  <c r="G55" i="2"/>
  <c r="H55" i="2"/>
  <c r="I55" i="2"/>
  <c r="J55" i="2"/>
  <c r="H56" i="2"/>
  <c r="T55" i="2"/>
  <c r="S45" i="2"/>
  <c r="S61" i="2" s="1"/>
  <c r="S41" i="2"/>
  <c r="S59" i="2" s="1"/>
  <c r="T41" i="2"/>
  <c r="T59" i="2" s="1"/>
  <c r="T45" i="2"/>
  <c r="T61" i="2" s="1"/>
  <c r="G60" i="2"/>
  <c r="G45" i="2"/>
  <c r="G61" i="2" s="1"/>
  <c r="G41" i="2"/>
  <c r="G59" i="2" s="1"/>
  <c r="H60" i="2"/>
  <c r="H45" i="2"/>
  <c r="H61" i="2" s="1"/>
  <c r="H41" i="2"/>
  <c r="H59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41" i="2" l="1"/>
  <c r="U24" i="2"/>
  <c r="C57" i="2"/>
  <c r="F57" i="2"/>
  <c r="D57" i="2"/>
  <c r="C87" i="2"/>
  <c r="F87" i="2"/>
  <c r="D87" i="2"/>
  <c r="E87" i="2"/>
  <c r="E57" i="2"/>
  <c r="L85" i="2"/>
  <c r="U22" i="2"/>
  <c r="F18" i="1"/>
  <c r="F108" i="2"/>
  <c r="E108" i="2"/>
  <c r="D108" i="2"/>
  <c r="P82" i="2"/>
  <c r="P83" i="2" s="1"/>
  <c r="U81" i="2"/>
  <c r="U71" i="2"/>
  <c r="U59" i="2"/>
  <c r="U85" i="2"/>
  <c r="G108" i="2"/>
  <c r="H108" i="2"/>
  <c r="N82" i="2"/>
  <c r="N83" i="2" s="1"/>
  <c r="M82" i="2"/>
  <c r="M83" i="2" s="1"/>
  <c r="I108" i="2"/>
  <c r="C108" i="2"/>
  <c r="L82" i="2"/>
  <c r="L83" i="2" s="1"/>
  <c r="Z82" i="2"/>
  <c r="Z83" i="2" s="1"/>
  <c r="K85" i="2"/>
  <c r="K82" i="2"/>
  <c r="K83" i="2" s="1"/>
  <c r="Y82" i="2"/>
  <c r="Y83" i="2" s="1"/>
  <c r="Q82" i="2"/>
  <c r="Q83" i="2" s="1"/>
  <c r="S108" i="2"/>
  <c r="S60" i="2" s="1"/>
  <c r="J82" i="2"/>
  <c r="J83" i="2" s="1"/>
  <c r="X82" i="2"/>
  <c r="X83" i="2" s="1"/>
  <c r="R108" i="2"/>
  <c r="R60" i="2" s="1"/>
  <c r="T108" i="2"/>
  <c r="T60" i="2" s="1"/>
  <c r="W82" i="2"/>
  <c r="W83" i="2" s="1"/>
  <c r="I82" i="2"/>
  <c r="I83" i="2" s="1"/>
  <c r="E82" i="2"/>
  <c r="E83" i="2" s="1"/>
  <c r="R82" i="2"/>
  <c r="R83" i="2" s="1"/>
  <c r="C82" i="2"/>
  <c r="C83" i="2" s="1"/>
  <c r="T82" i="2"/>
  <c r="T83" i="2" s="1"/>
  <c r="S82" i="2"/>
  <c r="S83" i="2" s="1"/>
  <c r="V82" i="2"/>
  <c r="V83" i="2" s="1"/>
  <c r="H82" i="2"/>
  <c r="H83" i="2" s="1"/>
  <c r="G82" i="2"/>
  <c r="G83" i="2" s="1"/>
  <c r="F82" i="2"/>
  <c r="F83" i="2" s="1"/>
  <c r="D82" i="2"/>
  <c r="D83" i="2" s="1"/>
  <c r="L40" i="2"/>
  <c r="R46" i="2"/>
  <c r="R49" i="2" s="1"/>
  <c r="R51" i="2" s="1"/>
  <c r="Q46" i="2"/>
  <c r="Q49" i="2" s="1"/>
  <c r="Q51" i="2" s="1"/>
  <c r="Q59" i="2"/>
  <c r="R59" i="2"/>
  <c r="K40" i="2"/>
  <c r="P46" i="2"/>
  <c r="S46" i="2"/>
  <c r="G46" i="2"/>
  <c r="T46" i="2"/>
  <c r="H46" i="2"/>
  <c r="U82" i="2" l="1"/>
  <c r="U83" i="2" s="1"/>
  <c r="M85" i="2"/>
  <c r="O39" i="2"/>
  <c r="Q57" i="2"/>
  <c r="R57" i="2"/>
  <c r="V85" i="2"/>
  <c r="R87" i="2"/>
  <c r="M40" i="2"/>
  <c r="M41" i="2" s="1"/>
  <c r="M55" i="2"/>
  <c r="M56" i="2"/>
  <c r="N85" i="2"/>
  <c r="Q52" i="2"/>
  <c r="R52" i="2"/>
  <c r="P49" i="2"/>
  <c r="P51" i="2" s="1"/>
  <c r="P52" i="2" s="1"/>
  <c r="P57" i="2"/>
  <c r="I41" i="2"/>
  <c r="I59" i="2" s="1"/>
  <c r="H49" i="2"/>
  <c r="H51" i="2" s="1"/>
  <c r="H87" i="2" s="1"/>
  <c r="H57" i="2"/>
  <c r="G49" i="2"/>
  <c r="G51" i="2" s="1"/>
  <c r="G57" i="2"/>
  <c r="S49" i="2"/>
  <c r="S51" i="2" s="1"/>
  <c r="S57" i="2"/>
  <c r="J56" i="2"/>
  <c r="T49" i="2"/>
  <c r="T51" i="2" s="1"/>
  <c r="T87" i="2" s="1"/>
  <c r="T57" i="2"/>
  <c r="J42" i="2" l="1"/>
  <c r="U42" i="2" s="1"/>
  <c r="V42" i="2" s="1"/>
  <c r="W42" i="2" s="1"/>
  <c r="X42" i="2" s="1"/>
  <c r="Y42" i="2" s="1"/>
  <c r="Z42" i="2" s="1"/>
  <c r="J94" i="2"/>
  <c r="U94" i="2" s="1"/>
  <c r="V94" i="2" s="1"/>
  <c r="J93" i="2"/>
  <c r="U93" i="2" s="1"/>
  <c r="V93" i="2" s="1"/>
  <c r="W93" i="2" s="1"/>
  <c r="X93" i="2" s="1"/>
  <c r="Y93" i="2" s="1"/>
  <c r="Z93" i="2" s="1"/>
  <c r="J100" i="2"/>
  <c r="U100" i="2" s="1"/>
  <c r="W100" i="2" s="1"/>
  <c r="X100" i="2" s="1"/>
  <c r="Y100" i="2" s="1"/>
  <c r="Z100" i="2" s="1"/>
  <c r="J97" i="2"/>
  <c r="U97" i="2" s="1"/>
  <c r="J92" i="2"/>
  <c r="U92" i="2" s="1"/>
  <c r="V92" i="2" s="1"/>
  <c r="W92" i="2" s="1"/>
  <c r="X92" i="2" s="1"/>
  <c r="Y92" i="2" s="1"/>
  <c r="Z92" i="2" s="1"/>
  <c r="J89" i="2"/>
  <c r="U89" i="2" s="1"/>
  <c r="V89" i="2" s="1"/>
  <c r="W89" i="2" s="1"/>
  <c r="X89" i="2" s="1"/>
  <c r="Y89" i="2" s="1"/>
  <c r="Z89" i="2" s="1"/>
  <c r="J102" i="2"/>
  <c r="U102" i="2" s="1"/>
  <c r="V102" i="2" s="1"/>
  <c r="W102" i="2" s="1"/>
  <c r="X102" i="2" s="1"/>
  <c r="Y102" i="2" s="1"/>
  <c r="Z102" i="2" s="1"/>
  <c r="J101" i="2"/>
  <c r="U101" i="2" s="1"/>
  <c r="W101" i="2" s="1"/>
  <c r="X101" i="2" s="1"/>
  <c r="Y101" i="2" s="1"/>
  <c r="Z101" i="2" s="1"/>
  <c r="J98" i="2"/>
  <c r="U98" i="2" s="1"/>
  <c r="J96" i="2"/>
  <c r="U96" i="2" s="1"/>
  <c r="J91" i="2"/>
  <c r="U91" i="2" s="1"/>
  <c r="V91" i="2" s="1"/>
  <c r="W91" i="2" s="1"/>
  <c r="X91" i="2" s="1"/>
  <c r="Y91" i="2" s="1"/>
  <c r="Z91" i="2" s="1"/>
  <c r="J90" i="2"/>
  <c r="U90" i="2" s="1"/>
  <c r="V90" i="2" s="1"/>
  <c r="W90" i="2" s="1"/>
  <c r="X90" i="2" s="1"/>
  <c r="Y90" i="2" s="1"/>
  <c r="Z90" i="2" s="1"/>
  <c r="J99" i="2"/>
  <c r="U99" i="2" s="1"/>
  <c r="V99" i="2" s="1"/>
  <c r="W99" i="2" s="1"/>
  <c r="X99" i="2" s="1"/>
  <c r="Y99" i="2" s="1"/>
  <c r="Z99" i="2" s="1"/>
  <c r="J95" i="2"/>
  <c r="U95" i="2" s="1"/>
  <c r="K42" i="2"/>
  <c r="L42" i="2" s="1"/>
  <c r="M42" i="2" s="1"/>
  <c r="N42" i="2" s="1"/>
  <c r="G52" i="2"/>
  <c r="G87" i="2"/>
  <c r="S52" i="2"/>
  <c r="S87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I46" i="2" l="1"/>
  <c r="I57" i="2" s="1"/>
  <c r="I61" i="2"/>
  <c r="U45" i="2"/>
  <c r="U55" i="2"/>
  <c r="K43" i="2"/>
  <c r="J45" i="2"/>
  <c r="J61" i="2" s="1"/>
  <c r="K41" i="2"/>
  <c r="K44" i="2"/>
  <c r="L55" i="2"/>
  <c r="L56" i="2"/>
  <c r="V104" i="2" l="1"/>
  <c r="U107" i="2"/>
  <c r="J46" i="2"/>
  <c r="I49" i="2"/>
  <c r="I51" i="2" s="1"/>
  <c r="I52" i="2" s="1"/>
  <c r="U61" i="2"/>
  <c r="U46" i="2"/>
  <c r="V44" i="2"/>
  <c r="V43" i="2"/>
  <c r="L44" i="2"/>
  <c r="M44" i="2" s="1"/>
  <c r="N44" i="2" s="1"/>
  <c r="L43" i="2"/>
  <c r="M43" i="2" s="1"/>
  <c r="K45" i="2"/>
  <c r="L41" i="2"/>
  <c r="W104" i="2" l="1"/>
  <c r="V107" i="2"/>
  <c r="K46" i="2"/>
  <c r="K61" i="2"/>
  <c r="J48" i="2"/>
  <c r="U48" i="2" s="1"/>
  <c r="U49" i="2" s="1"/>
  <c r="I87" i="2"/>
  <c r="N43" i="2"/>
  <c r="N45" i="2" s="1"/>
  <c r="M45" i="2"/>
  <c r="L45" i="2"/>
  <c r="J49" i="2" l="1"/>
  <c r="J50" i="2" s="1"/>
  <c r="U50" i="2" s="1"/>
  <c r="U57" i="2" s="1"/>
  <c r="X104" i="2"/>
  <c r="W107" i="2"/>
  <c r="L46" i="2"/>
  <c r="L61" i="2"/>
  <c r="M46" i="2"/>
  <c r="M61" i="2"/>
  <c r="N46" i="2"/>
  <c r="N61" i="2"/>
  <c r="V45" i="2"/>
  <c r="V61" i="2" s="1"/>
  <c r="U51" i="2" l="1"/>
  <c r="Y104" i="2"/>
  <c r="X107" i="2"/>
  <c r="J51" i="2"/>
  <c r="U52" i="2" l="1"/>
  <c r="Z104" i="2"/>
  <c r="Z107" i="2" s="1"/>
  <c r="Y107" i="2"/>
  <c r="J87" i="2"/>
  <c r="J52" i="2"/>
  <c r="J63" i="2"/>
  <c r="J103" i="2" l="1"/>
  <c r="J108" i="2" s="1"/>
  <c r="U88" i="2"/>
  <c r="U103" i="2" s="1"/>
  <c r="U63" i="2"/>
  <c r="K48" i="2"/>
  <c r="K49" i="2" s="1"/>
  <c r="K50" i="2" s="1"/>
  <c r="K51" i="2" s="1"/>
  <c r="K87" i="2" s="1"/>
  <c r="K103" i="2" s="1"/>
  <c r="K108" i="2" s="1"/>
  <c r="K63" i="2" l="1"/>
  <c r="L48" i="2" s="1"/>
  <c r="L49" i="2" s="1"/>
  <c r="L50" i="2" s="1"/>
  <c r="L51" i="2" s="1"/>
  <c r="K52" i="2"/>
  <c r="U87" i="2"/>
  <c r="U108" i="2" s="1"/>
  <c r="U60" i="2" s="1"/>
  <c r="V46" i="2"/>
  <c r="V50" i="2" s="1"/>
  <c r="L87" i="2" l="1"/>
  <c r="L103" i="2" s="1"/>
  <c r="L108" i="2" s="1"/>
  <c r="L63" i="2"/>
  <c r="M48" i="2" s="1"/>
  <c r="M49" i="2" s="1"/>
  <c r="L52" i="2"/>
  <c r="V48" i="2"/>
  <c r="V49" i="2" s="1"/>
  <c r="V51" i="2" s="1"/>
  <c r="M50" i="2" l="1"/>
  <c r="M51" i="2" s="1"/>
  <c r="V87" i="2"/>
  <c r="V52" i="2"/>
  <c r="V63" i="2"/>
  <c r="M87" i="2" l="1"/>
  <c r="M103" i="2" s="1"/>
  <c r="M108" i="2" s="1"/>
  <c r="M63" i="2"/>
  <c r="N48" i="2" s="1"/>
  <c r="N49" i="2" s="1"/>
  <c r="M52" i="2"/>
  <c r="W48" i="2"/>
  <c r="N50" i="2" l="1"/>
  <c r="N51" i="2" s="1"/>
  <c r="N87" i="2" l="1"/>
  <c r="N103" i="2" s="1"/>
  <c r="N108" i="2" s="1"/>
  <c r="N63" i="2"/>
  <c r="N52" i="2"/>
  <c r="W43" i="2"/>
  <c r="W22" i="2"/>
  <c r="W85" i="2"/>
  <c r="W24" i="2"/>
  <c r="X85" i="2"/>
  <c r="X22" i="2" l="1"/>
  <c r="Y24" i="2"/>
  <c r="Y85" i="2"/>
  <c r="W44" i="2"/>
  <c r="Y22" i="2"/>
  <c r="X43" i="2"/>
  <c r="Y43" i="2" s="1"/>
  <c r="X24" i="2"/>
  <c r="Z22" i="2" l="1"/>
  <c r="Z85" i="2"/>
  <c r="Z24" i="2"/>
  <c r="Z43" i="2"/>
  <c r="X44" i="2"/>
  <c r="Y44" i="2" s="1"/>
  <c r="Z44" i="2" s="1"/>
  <c r="W45" i="2"/>
  <c r="W46" i="2" l="1"/>
  <c r="W61" i="2"/>
  <c r="X45" i="2"/>
  <c r="X61" i="2" l="1"/>
  <c r="X46" i="2"/>
  <c r="Z45" i="2"/>
  <c r="Y45" i="2"/>
  <c r="W49" i="2"/>
  <c r="W50" i="2"/>
  <c r="W51" i="2" l="1"/>
  <c r="Y61" i="2"/>
  <c r="Y46" i="2"/>
  <c r="Z61" i="2"/>
  <c r="Z46" i="2"/>
  <c r="X50" i="2"/>
  <c r="Z50" i="2" l="1"/>
  <c r="Y50" i="2"/>
  <c r="W52" i="2"/>
  <c r="W63" i="2"/>
  <c r="W87" i="2"/>
  <c r="X48" i="2" l="1"/>
  <c r="X49" i="2" s="1"/>
  <c r="X51" i="2" s="1"/>
  <c r="X52" i="2" l="1"/>
  <c r="X87" i="2"/>
  <c r="X63" i="2"/>
  <c r="Y48" i="2" l="1"/>
  <c r="Y49" i="2" s="1"/>
  <c r="Y51" i="2" s="1"/>
  <c r="Y63" i="2" s="1"/>
  <c r="Z48" i="2" l="1"/>
  <c r="Z49" i="2" s="1"/>
  <c r="Z51" i="2" s="1"/>
  <c r="Y87" i="2"/>
  <c r="Y52" i="2"/>
  <c r="Z52" i="2" l="1"/>
  <c r="AA51" i="2"/>
  <c r="Z87" i="2"/>
  <c r="Z63" i="2"/>
  <c r="AB51" i="2" l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AC58" i="2" l="1"/>
  <c r="AC59" i="2" s="1"/>
  <c r="AC60" i="2" s="1"/>
  <c r="V103" i="2"/>
  <c r="V108" i="2" s="1"/>
  <c r="V60" i="2" s="1"/>
  <c r="W94" i="2"/>
  <c r="X94" i="2" s="1"/>
  <c r="Y94" i="2" l="1"/>
  <c r="X103" i="2"/>
  <c r="X108" i="2" s="1"/>
  <c r="X60" i="2" s="1"/>
  <c r="W103" i="2"/>
  <c r="W108" i="2" s="1"/>
  <c r="W60" i="2" s="1"/>
  <c r="Y103" i="2" l="1"/>
  <c r="Y108" i="2" s="1"/>
  <c r="Y60" i="2" s="1"/>
  <c r="Z94" i="2"/>
  <c r="Z103" i="2" s="1"/>
  <c r="Z108" i="2" s="1"/>
  <c r="Z60" i="2" s="1"/>
  <c r="AA108" i="2" l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DI108" i="2" s="1"/>
  <c r="DJ108" i="2" s="1"/>
  <c r="DK108" i="2" s="1"/>
  <c r="DL108" i="2" s="1"/>
  <c r="DM108" i="2" s="1"/>
  <c r="DN108" i="2" s="1"/>
  <c r="DO108" i="2" s="1"/>
  <c r="DP108" i="2" s="1"/>
  <c r="DQ108" i="2" s="1"/>
  <c r="DR10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57" authorId="7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107" authorId="8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<sst xmlns="http://schemas.openxmlformats.org/spreadsheetml/2006/main" count="150" uniqueCount="136">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</sst>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3" fontId="11" fillId="0" borderId="0" xfId="1" applyNumberFormat="1" applyFont="1"/>
    <xf numFmtId="3" fontId="12" fillId="0" borderId="0" xfId="0" applyNumberFormat="1" applyFont="1"/>
    <xf numFmtId="9" fontId="12" fillId="0" borderId="0" xfId="0" applyNumberFormat="1" applyFont="1"/>
    <xf numFmtId="3" fontId="9" fillId="0" borderId="0" xfId="0" applyNumberFormat="1" applyFont="1"/>
    <xf numFmtId="4" fontId="9" fillId="0" borderId="0" xfId="0" applyNumberFormat="1" applyFont="1"/>
    <xf numFmtId="0" fontId="12" fillId="0" borderId="0" xfId="0" applyFont="1"/>
    <xf numFmtId="0" fontId="9" fillId="0" borderId="0" xfId="0" applyFont="1"/>
    <xf numFmtId="3" fontId="8" fillId="0" borderId="0" xfId="0" applyNumberFormat="1" applyFont="1"/>
    <xf numFmtId="1" fontId="8" fillId="0" borderId="0" xfId="0" applyNumberFormat="1" applyFont="1"/>
    <xf numFmtId="1" fontId="8" fillId="0" borderId="1" xfId="0" applyNumberFormat="1" applyFont="1" applyBorder="1"/>
    <xf numFmtId="4" fontId="8" fillId="0" borderId="0" xfId="0" applyNumberFormat="1" applyFont="1"/>
    <xf numFmtId="10" fontId="8" fillId="0" borderId="0" xfId="0" applyNumberFormat="1" applyFont="1"/>
    <xf numFmtId="9" fontId="8" fillId="0" borderId="0" xfId="0" applyNumberFormat="1" applyFont="1"/>
    <xf numFmtId="164" fontId="8" fillId="0" borderId="0" xfId="0" applyNumberFormat="1" applyFont="1"/>
    <xf numFmtId="8" fontId="8" fillId="0" borderId="0" xfId="0" applyNumberFormat="1" applyFont="1"/>
    <xf numFmtId="0" fontId="8" fillId="0" borderId="0" xfId="0" applyFont="1"/>
    <xf numFmtId="164" fontId="12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0" fontId="3" fillId="0" borderId="0" xfId="0" applyFont="1"/>
    <xf numFmtId="3" fontId="2" fillId="0" borderId="0" xfId="0" applyNumberFormat="1" applyFont="1"/>
    <xf numFmtId="3" fontId="1" fillId="0" borderId="0" xfId="0" applyNumberFormat="1" applyFont="1"/>
    <xf numFmtId="1" fontId="9" fillId="0" borderId="0" xfId="0" applyNumberFormat="1" applyFont="1"/>
    <xf numFmtId="0" fontId="1" fillId="0" borderId="0" xfId="0" applyFont="1"/>
    <xf numFmtId="165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57" dT="2025-05-13T05:05:00.83" personId="{9FB83736-EE26-422E-AD1E-D65440F32024}" id="{F447A70C-BFD1-47B1-8F98-8C7CAE49EF2E}">
    <text>“expect 14.9% GAAP tax rate”</text>
  </threadedComment>
  <threadedComment ref="J107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31"/>
  <sheetViews>
    <sheetView topLeftCell="A15" zoomScale="205" zoomScaleNormal="205" workbookViewId="0">
      <selection activeCell="D26" sqref="D26"/>
    </sheetView>
  </sheetViews>
  <sheetFormatPr defaultRowHeight="14.25" x14ac:dyDescent="0.2"/>
  <cols>
    <col min="1" max="1" width="9.140625" style="7"/>
    <col min="2" max="2" width="12.7109375" style="7" bestFit="1" customWidth="1"/>
    <col min="3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86</v>
      </c>
    </row>
    <row r="4" spans="1:10" x14ac:dyDescent="0.2">
      <c r="B4" s="16" t="s">
        <v>75</v>
      </c>
    </row>
    <row r="5" spans="1:10" x14ac:dyDescent="0.2">
      <c r="B5" s="7" t="s">
        <v>39</v>
      </c>
    </row>
    <row r="6" spans="1:10" x14ac:dyDescent="0.2">
      <c r="B6" s="16" t="s">
        <v>88</v>
      </c>
    </row>
    <row r="7" spans="1:10" x14ac:dyDescent="0.2">
      <c r="B7" s="16" t="s">
        <v>77</v>
      </c>
    </row>
    <row r="8" spans="1:10" x14ac:dyDescent="0.2">
      <c r="B8" s="16" t="s">
        <v>79</v>
      </c>
      <c r="E8" s="5"/>
    </row>
    <row r="9" spans="1:10" x14ac:dyDescent="0.2">
      <c r="B9" s="16" t="s">
        <v>83</v>
      </c>
    </row>
    <row r="10" spans="1:10" x14ac:dyDescent="0.2">
      <c r="B10" s="16" t="s">
        <v>84</v>
      </c>
      <c r="I10" s="20"/>
      <c r="J10" s="5"/>
    </row>
    <row r="11" spans="1:10" x14ac:dyDescent="0.2">
      <c r="B11" s="16" t="s">
        <v>85</v>
      </c>
      <c r="I11" s="20"/>
      <c r="J11" s="5"/>
    </row>
    <row r="12" spans="1:10" x14ac:dyDescent="0.2">
      <c r="B12" s="16" t="s">
        <v>87</v>
      </c>
      <c r="J12" s="5"/>
    </row>
    <row r="13" spans="1:10" x14ac:dyDescent="0.2">
      <c r="B13" s="16" t="s">
        <v>89</v>
      </c>
      <c r="E13" s="7" t="s">
        <v>1</v>
      </c>
      <c r="F13" s="4">
        <v>45</v>
      </c>
    </row>
    <row r="14" spans="1:10" x14ac:dyDescent="0.2">
      <c r="B14" s="16" t="s">
        <v>90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91</v>
      </c>
      <c r="E15" s="7" t="s">
        <v>3</v>
      </c>
      <c r="F15" s="4">
        <f>F14*F13</f>
        <v>26856.9</v>
      </c>
    </row>
    <row r="16" spans="1:10" x14ac:dyDescent="0.2">
      <c r="B16" s="16" t="s">
        <v>92</v>
      </c>
      <c r="E16" s="7" t="s">
        <v>4</v>
      </c>
      <c r="F16" s="4">
        <v>1430</v>
      </c>
      <c r="G16" s="16" t="s">
        <v>19</v>
      </c>
    </row>
    <row r="17" spans="2:7" x14ac:dyDescent="0.2">
      <c r="B17" s="18" t="s">
        <v>102</v>
      </c>
      <c r="E17" s="7" t="s">
        <v>5</v>
      </c>
      <c r="F17" s="4">
        <f>1700+53+289</f>
        <v>2042</v>
      </c>
      <c r="G17" s="16" t="s">
        <v>19</v>
      </c>
    </row>
    <row r="18" spans="2:7" x14ac:dyDescent="0.2">
      <c r="B18" s="25" t="s">
        <v>112</v>
      </c>
      <c r="E18" s="7" t="s">
        <v>6</v>
      </c>
      <c r="F18" s="4">
        <f>F15+F17-F16</f>
        <v>27468.9</v>
      </c>
    </row>
    <row r="20" spans="2:7" x14ac:dyDescent="0.2">
      <c r="B20" s="16" t="s">
        <v>100</v>
      </c>
    </row>
    <row r="21" spans="2:7" x14ac:dyDescent="0.2">
      <c r="B21" s="25" t="s">
        <v>113</v>
      </c>
    </row>
    <row r="22" spans="2:7" x14ac:dyDescent="0.2">
      <c r="B22" s="25" t="s">
        <v>114</v>
      </c>
    </row>
    <row r="23" spans="2:7" x14ac:dyDescent="0.2">
      <c r="B23" s="25" t="s">
        <v>115</v>
      </c>
    </row>
    <row r="25" spans="2:7" x14ac:dyDescent="0.2">
      <c r="B25" s="28">
        <v>2020</v>
      </c>
      <c r="C25" s="29" t="s">
        <v>128</v>
      </c>
    </row>
    <row r="26" spans="2:7" x14ac:dyDescent="0.2">
      <c r="B26" s="7">
        <v>2022</v>
      </c>
      <c r="C26" s="29" t="s">
        <v>125</v>
      </c>
    </row>
    <row r="27" spans="2:7" x14ac:dyDescent="0.2">
      <c r="B27" s="7">
        <v>2025</v>
      </c>
      <c r="C27" s="29" t="s">
        <v>126</v>
      </c>
    </row>
    <row r="28" spans="2:7" x14ac:dyDescent="0.2">
      <c r="B28" s="7">
        <v>2025.5</v>
      </c>
      <c r="C28" s="29" t="s">
        <v>127</v>
      </c>
    </row>
    <row r="29" spans="2:7" x14ac:dyDescent="0.2">
      <c r="B29" s="7">
        <v>2026</v>
      </c>
      <c r="C29" s="29" t="s">
        <v>129</v>
      </c>
    </row>
    <row r="30" spans="2:7" x14ac:dyDescent="0.2">
      <c r="B30" s="7">
        <v>2027</v>
      </c>
      <c r="C30" s="29" t="s">
        <v>131</v>
      </c>
    </row>
    <row r="31" spans="2:7" x14ac:dyDescent="0.2">
      <c r="B31" s="7">
        <v>2028</v>
      </c>
      <c r="C31" s="29" t="s">
        <v>130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8"/>
  <sheetViews>
    <sheetView tabSelected="1" zoomScaleNormal="100" workbookViewId="0">
      <pane xSplit="2" ySplit="1" topLeftCell="N35" activePane="bottomRight" state="frozen"/>
      <selection pane="topRight" activeCell="B1" sqref="B1"/>
      <selection pane="bottomLeft" activeCell="A2" sqref="A2"/>
      <selection pane="bottomRight" activeCell="AA59" sqref="AA59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10.85546875" style="8" bestFit="1" customWidth="1"/>
    <col min="22" max="22" width="10.85546875" style="8" customWidth="1"/>
    <col min="23" max="25" width="9.140625" style="8"/>
    <col min="26" max="26" width="11" style="8" customWidth="1"/>
    <col min="27" max="29" width="9.140625" style="8"/>
    <col min="30" max="30" width="9.140625" style="8" customWidth="1"/>
    <col min="31" max="16384" width="9.140625" style="8"/>
  </cols>
  <sheetData>
    <row r="1" spans="1:31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  <c r="AA1" s="9">
        <f t="shared" ref="AA1" si="1">Z1+1</f>
        <v>2031</v>
      </c>
      <c r="AB1" s="9">
        <f t="shared" ref="AB1" si="2">AA1+1</f>
        <v>2032</v>
      </c>
      <c r="AC1" s="9">
        <f t="shared" ref="AC1" si="3">AB1+1</f>
        <v>2033</v>
      </c>
      <c r="AD1" s="9">
        <f t="shared" ref="AD1" si="4">AC1+1</f>
        <v>2034</v>
      </c>
      <c r="AE1" s="9">
        <f t="shared" ref="AE1" si="5">AD1+1</f>
        <v>2035</v>
      </c>
    </row>
    <row r="2" spans="1:31" x14ac:dyDescent="0.2">
      <c r="A2" s="1"/>
      <c r="B2" s="8" t="s">
        <v>80</v>
      </c>
      <c r="C2" s="13">
        <v>0.76</v>
      </c>
      <c r="I2" s="13">
        <v>0.6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x14ac:dyDescent="0.2">
      <c r="A3" s="1"/>
      <c r="B3" s="8" t="s">
        <v>81</v>
      </c>
      <c r="C3" s="13">
        <v>0.11</v>
      </c>
      <c r="I3" s="13">
        <v>0.3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31" x14ac:dyDescent="0.2">
      <c r="A4" s="1"/>
      <c r="B4" s="8" t="s">
        <v>82</v>
      </c>
      <c r="C4" s="13">
        <v>0.13</v>
      </c>
      <c r="I4" s="13">
        <v>0.1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1" x14ac:dyDescent="0.2">
      <c r="A5" s="1"/>
      <c r="E5" s="13"/>
      <c r="I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31" x14ac:dyDescent="0.2">
      <c r="A6" s="1"/>
      <c r="B6" s="22" t="s">
        <v>107</v>
      </c>
      <c r="E6" s="13"/>
      <c r="I6" s="13"/>
      <c r="P6" s="9"/>
      <c r="Q6" s="9"/>
      <c r="R6" s="9"/>
      <c r="S6" s="9"/>
      <c r="T6" s="8">
        <v>14593</v>
      </c>
      <c r="U6" s="8">
        <v>14020</v>
      </c>
      <c r="V6" s="9"/>
      <c r="W6" s="9"/>
      <c r="X6" s="9"/>
      <c r="Y6" s="9"/>
      <c r="Z6" s="9"/>
    </row>
    <row r="7" spans="1:31" x14ac:dyDescent="0.2">
      <c r="A7" s="1"/>
      <c r="B7" s="21" t="s">
        <v>103</v>
      </c>
      <c r="E7" s="13"/>
      <c r="I7" s="13"/>
      <c r="P7" s="9"/>
      <c r="Q7" s="9"/>
      <c r="R7" s="9"/>
      <c r="S7" s="9"/>
      <c r="T7" s="8">
        <v>17624</v>
      </c>
      <c r="U7" s="8">
        <v>27136</v>
      </c>
      <c r="V7" s="8">
        <f>U7+6000</f>
        <v>33136</v>
      </c>
      <c r="W7" s="9"/>
      <c r="X7" s="9"/>
      <c r="Y7" s="9"/>
      <c r="Z7" s="9"/>
    </row>
    <row r="8" spans="1:31" x14ac:dyDescent="0.2">
      <c r="A8" s="1"/>
      <c r="B8" s="21" t="s">
        <v>104</v>
      </c>
      <c r="E8" s="13"/>
      <c r="I8" s="13"/>
      <c r="P8" s="9"/>
      <c r="Q8" s="9"/>
      <c r="R8" s="9"/>
      <c r="S8" s="8">
        <v>15137</v>
      </c>
      <c r="T8" s="8">
        <v>13926</v>
      </c>
      <c r="U8" s="8">
        <v>15931</v>
      </c>
      <c r="V8" s="8">
        <f>U8*1.2</f>
        <v>19117.2</v>
      </c>
      <c r="W8" s="9"/>
      <c r="X8" s="9"/>
      <c r="Y8" s="9"/>
      <c r="Z8" s="9"/>
    </row>
    <row r="9" spans="1:31" x14ac:dyDescent="0.2">
      <c r="A9" s="1"/>
      <c r="B9" s="22" t="s">
        <v>109</v>
      </c>
      <c r="E9" s="13"/>
      <c r="I9" s="13"/>
      <c r="P9" s="9"/>
      <c r="Q9" s="9"/>
      <c r="R9" s="9"/>
      <c r="S9" s="8">
        <v>7100</v>
      </c>
      <c r="T9" s="8">
        <v>9800</v>
      </c>
      <c r="U9" s="8">
        <v>10000</v>
      </c>
      <c r="W9" s="9"/>
      <c r="X9" s="9"/>
      <c r="Y9" s="9"/>
      <c r="Z9" s="9"/>
    </row>
    <row r="10" spans="1:31" x14ac:dyDescent="0.2">
      <c r="A10" s="1"/>
      <c r="B10" s="22"/>
      <c r="E10" s="13"/>
      <c r="I10" s="13"/>
      <c r="P10" s="9"/>
      <c r="Q10" s="9"/>
      <c r="R10" s="9"/>
      <c r="W10" s="9"/>
      <c r="X10" s="9"/>
      <c r="Y10" s="9"/>
      <c r="Z10" s="9"/>
    </row>
    <row r="11" spans="1:31" x14ac:dyDescent="0.2">
      <c r="A11" s="1"/>
      <c r="B11" s="22" t="s">
        <v>108</v>
      </c>
      <c r="E11" s="13"/>
      <c r="I11" s="13"/>
      <c r="P11" s="9"/>
      <c r="Q11" s="9"/>
      <c r="R11" s="9"/>
      <c r="S11" s="13"/>
      <c r="T11" s="14"/>
      <c r="U11" s="14">
        <v>0.10100000000000001</v>
      </c>
      <c r="V11" s="9"/>
      <c r="W11" s="9"/>
      <c r="X11" s="9"/>
      <c r="Y11" s="9"/>
      <c r="Z11" s="9"/>
    </row>
    <row r="12" spans="1:31" x14ac:dyDescent="0.2">
      <c r="A12" s="1"/>
      <c r="B12" s="22" t="s">
        <v>105</v>
      </c>
      <c r="E12" s="13"/>
      <c r="I12" s="13"/>
      <c r="P12" s="9"/>
      <c r="Q12" s="9"/>
      <c r="R12" s="9"/>
      <c r="S12" s="9"/>
      <c r="T12" s="14">
        <v>0.126</v>
      </c>
      <c r="U12" s="14">
        <v>0.128</v>
      </c>
      <c r="V12" s="14">
        <v>0.11799999999999999</v>
      </c>
      <c r="W12" s="9"/>
      <c r="X12" s="9"/>
      <c r="Y12" s="9"/>
      <c r="Z12" s="9"/>
    </row>
    <row r="13" spans="1:31" x14ac:dyDescent="0.2">
      <c r="A13" s="1"/>
      <c r="B13" s="22" t="s">
        <v>106</v>
      </c>
      <c r="E13" s="13"/>
      <c r="I13" s="13"/>
      <c r="P13" s="9"/>
      <c r="Q13" s="9"/>
      <c r="R13" s="9"/>
      <c r="S13" s="14">
        <v>0.125</v>
      </c>
      <c r="T13" s="14">
        <v>0.124</v>
      </c>
      <c r="U13" s="14">
        <v>0.112</v>
      </c>
      <c r="V13" s="14">
        <v>0.11</v>
      </c>
      <c r="W13" s="9"/>
      <c r="X13" s="9"/>
      <c r="Y13" s="9"/>
      <c r="Z13" s="9"/>
    </row>
    <row r="14" spans="1:31" x14ac:dyDescent="0.2">
      <c r="A14" s="1"/>
      <c r="B14" s="22" t="s">
        <v>110</v>
      </c>
      <c r="E14" s="13"/>
      <c r="I14" s="13"/>
      <c r="P14" s="9"/>
      <c r="Q14" s="9"/>
      <c r="R14" s="9"/>
      <c r="S14" s="14">
        <v>0.17</v>
      </c>
      <c r="T14" s="14">
        <v>0.17</v>
      </c>
      <c r="U14" s="14">
        <v>0.16700000000000001</v>
      </c>
      <c r="V14" s="14">
        <v>0.15</v>
      </c>
      <c r="W14" s="9"/>
      <c r="X14" s="9"/>
      <c r="Y14" s="9"/>
      <c r="Z14" s="9"/>
    </row>
    <row r="15" spans="1:31" x14ac:dyDescent="0.2">
      <c r="A15" s="1"/>
      <c r="E15" s="13"/>
      <c r="I15" s="13"/>
      <c r="P15" s="9"/>
      <c r="Q15" s="9"/>
      <c r="R15" s="9"/>
      <c r="S15" s="9"/>
      <c r="T15" s="13"/>
      <c r="U15" s="13"/>
      <c r="V15" s="9"/>
      <c r="W15" s="9"/>
      <c r="X15" s="9"/>
      <c r="Y15" s="9"/>
      <c r="Z15" s="9"/>
    </row>
    <row r="16" spans="1:31" x14ac:dyDescent="0.2">
      <c r="A16" s="1"/>
      <c r="B16" s="8" t="s">
        <v>93</v>
      </c>
      <c r="I16" s="13"/>
      <c r="P16" s="9"/>
      <c r="Q16" s="9"/>
      <c r="R16" s="9"/>
      <c r="S16" s="9"/>
      <c r="T16" s="9"/>
      <c r="U16" s="9"/>
      <c r="V16" s="8">
        <f>SUM(V17:V21)</f>
        <v>336000</v>
      </c>
      <c r="W16" s="8">
        <f t="shared" ref="W16:Z16" si="6">SUM(W17:W21)</f>
        <v>352800</v>
      </c>
      <c r="X16" s="8">
        <f t="shared" si="6"/>
        <v>370440</v>
      </c>
      <c r="Y16" s="8">
        <f t="shared" si="6"/>
        <v>388962</v>
      </c>
      <c r="Z16" s="8">
        <f t="shared" si="6"/>
        <v>408410.1</v>
      </c>
    </row>
    <row r="17" spans="1:26" x14ac:dyDescent="0.2">
      <c r="A17" s="1"/>
      <c r="B17" s="8" t="s">
        <v>98</v>
      </c>
      <c r="V17" s="8">
        <v>75000</v>
      </c>
      <c r="W17" s="8">
        <f>V17*1.05</f>
        <v>78750</v>
      </c>
      <c r="X17" s="8">
        <f t="shared" ref="X17:Z17" si="7">W17*1.05</f>
        <v>82687.5</v>
      </c>
      <c r="Y17" s="8">
        <f t="shared" si="7"/>
        <v>86821.875</v>
      </c>
      <c r="Z17" s="8">
        <f t="shared" si="7"/>
        <v>91162.96875</v>
      </c>
    </row>
    <row r="18" spans="1:26" x14ac:dyDescent="0.2">
      <c r="A18" s="1"/>
      <c r="B18" s="8" t="s">
        <v>97</v>
      </c>
      <c r="V18" s="8">
        <v>80000</v>
      </c>
      <c r="W18" s="8">
        <f t="shared" ref="W18:Z21" si="8">V18*1.05</f>
        <v>84000</v>
      </c>
      <c r="X18" s="8">
        <f t="shared" si="8"/>
        <v>88200</v>
      </c>
      <c r="Y18" s="8">
        <f t="shared" si="8"/>
        <v>92610</v>
      </c>
      <c r="Z18" s="8">
        <f t="shared" si="8"/>
        <v>97240.5</v>
      </c>
    </row>
    <row r="19" spans="1:26" x14ac:dyDescent="0.2">
      <c r="A19" s="1"/>
      <c r="B19" s="8" t="s">
        <v>96</v>
      </c>
      <c r="V19" s="8">
        <v>100000</v>
      </c>
      <c r="W19" s="8">
        <f t="shared" si="8"/>
        <v>105000</v>
      </c>
      <c r="X19" s="8">
        <f t="shared" si="8"/>
        <v>110250</v>
      </c>
      <c r="Y19" s="8">
        <f t="shared" si="8"/>
        <v>115762.5</v>
      </c>
      <c r="Z19" s="8">
        <f t="shared" si="8"/>
        <v>121550.625</v>
      </c>
    </row>
    <row r="20" spans="1:26" x14ac:dyDescent="0.2">
      <c r="A20" s="1"/>
      <c r="B20" s="26" t="s">
        <v>116</v>
      </c>
      <c r="V20" s="8">
        <v>65000</v>
      </c>
      <c r="W20" s="8">
        <f t="shared" si="8"/>
        <v>68250</v>
      </c>
      <c r="X20" s="8">
        <f t="shared" ref="X20" si="9">W20*1.05</f>
        <v>71662.5</v>
      </c>
      <c r="Y20" s="8">
        <f t="shared" ref="Y20" si="10">X20*1.05</f>
        <v>75245.625</v>
      </c>
      <c r="Z20" s="8">
        <f t="shared" ref="Z20" si="11">Y20*1.05</f>
        <v>79007.90625</v>
      </c>
    </row>
    <row r="21" spans="1:26" x14ac:dyDescent="0.2">
      <c r="A21" s="1"/>
      <c r="B21" s="8" t="s">
        <v>95</v>
      </c>
      <c r="V21" s="8">
        <v>16000</v>
      </c>
      <c r="W21" s="8">
        <f t="shared" si="8"/>
        <v>16800</v>
      </c>
      <c r="X21" s="8">
        <f t="shared" si="8"/>
        <v>17640</v>
      </c>
      <c r="Y21" s="8">
        <f t="shared" si="8"/>
        <v>18522</v>
      </c>
      <c r="Z21" s="8">
        <f t="shared" si="8"/>
        <v>19448.100000000002</v>
      </c>
    </row>
    <row r="22" spans="1:26" x14ac:dyDescent="0.2">
      <c r="A22" s="1"/>
      <c r="B22" s="8" t="s">
        <v>94</v>
      </c>
      <c r="J22" s="8">
        <v>500</v>
      </c>
      <c r="S22" s="13" t="e">
        <f t="shared" ref="S22:Z22" si="12">S39/S16</f>
        <v>#DIV/0!</v>
      </c>
      <c r="T22" s="13" t="e">
        <f t="shared" si="12"/>
        <v>#DIV/0!</v>
      </c>
      <c r="U22" s="13" t="e">
        <f t="shared" si="12"/>
        <v>#DIV/0!</v>
      </c>
      <c r="V22" s="13">
        <f t="shared" si="12"/>
        <v>0.10714285714285714</v>
      </c>
      <c r="W22" s="13">
        <f t="shared" si="12"/>
        <v>0.11224489795918367</v>
      </c>
      <c r="X22" s="13">
        <f t="shared" si="12"/>
        <v>0.11758989310009718</v>
      </c>
      <c r="Y22" s="13">
        <f t="shared" si="12"/>
        <v>0.12318941181914944</v>
      </c>
      <c r="Z22" s="13">
        <f t="shared" si="12"/>
        <v>0.12905557428672801</v>
      </c>
    </row>
    <row r="23" spans="1:26" x14ac:dyDescent="0.2">
      <c r="A23" s="1"/>
      <c r="J23" s="13">
        <f>J22/I26</f>
        <v>4.3859649122807015E-2</v>
      </c>
    </row>
    <row r="24" spans="1:26" x14ac:dyDescent="0.2">
      <c r="A24" s="1"/>
      <c r="B24" s="8" t="s">
        <v>99</v>
      </c>
      <c r="I24" s="13">
        <f>I39/I26</f>
        <v>0.40350877192982454</v>
      </c>
      <c r="S24" s="13">
        <f t="shared" ref="S24:Z24" si="13">S39/S25</f>
        <v>0.26382962962962964</v>
      </c>
      <c r="T24" s="13">
        <f t="shared" si="13"/>
        <v>0.24572459016393444</v>
      </c>
      <c r="U24" s="13">
        <f t="shared" si="13"/>
        <v>0.17088461538461538</v>
      </c>
      <c r="V24" s="13">
        <f t="shared" si="13"/>
        <v>0.18</v>
      </c>
      <c r="W24" s="13">
        <f t="shared" si="13"/>
        <v>0.14887218045112782</v>
      </c>
      <c r="X24" s="13">
        <f t="shared" si="13"/>
        <v>0.12305084745762712</v>
      </c>
      <c r="Y24" s="13">
        <f t="shared" si="13"/>
        <v>0.10194893617021278</v>
      </c>
      <c r="Z24" s="13">
        <f t="shared" si="13"/>
        <v>8.4332160000000017E-2</v>
      </c>
    </row>
    <row r="25" spans="1:26" x14ac:dyDescent="0.2">
      <c r="A25" s="1"/>
      <c r="B25" s="8" t="s">
        <v>73</v>
      </c>
      <c r="I25" s="13"/>
      <c r="S25" s="8">
        <v>27000</v>
      </c>
      <c r="T25" s="8">
        <v>61000</v>
      </c>
      <c r="U25" s="8">
        <v>130000</v>
      </c>
      <c r="V25" s="8">
        <v>200000</v>
      </c>
      <c r="W25" s="8">
        <v>266000</v>
      </c>
      <c r="X25" s="8">
        <v>354000</v>
      </c>
      <c r="Y25" s="8">
        <v>470000</v>
      </c>
      <c r="Z25" s="8">
        <v>625000</v>
      </c>
    </row>
    <row r="26" spans="1:26" x14ac:dyDescent="0.2">
      <c r="A26" s="1"/>
      <c r="B26" s="8" t="s">
        <v>74</v>
      </c>
      <c r="I26" s="8">
        <v>11400</v>
      </c>
    </row>
    <row r="27" spans="1:26" x14ac:dyDescent="0.2">
      <c r="A27" s="1"/>
      <c r="B27" s="8" t="s">
        <v>76</v>
      </c>
    </row>
    <row r="28" spans="1:26" x14ac:dyDescent="0.2">
      <c r="A28" s="1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"/>
      <c r="B29" s="8" t="s">
        <v>78</v>
      </c>
      <c r="E29" s="8">
        <f>I29*0.97</f>
        <v>1843</v>
      </c>
      <c r="H29" s="8">
        <f>H39*0.25</f>
        <v>1419.5</v>
      </c>
      <c r="I29" s="8">
        <v>1900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"/>
      <c r="B31" s="27" t="s">
        <v>134</v>
      </c>
      <c r="P31" s="9"/>
      <c r="Q31" s="9"/>
      <c r="R31" s="9"/>
      <c r="S31" s="9"/>
      <c r="T31" s="9"/>
      <c r="U31" s="8">
        <f>U33/0.15-U33</f>
        <v>22666.666666666668</v>
      </c>
      <c r="V31" s="8">
        <f>V33/0.3-V33</f>
        <v>21000</v>
      </c>
    </row>
    <row r="32" spans="1:26" x14ac:dyDescent="0.2">
      <c r="A32" s="1"/>
      <c r="B32" s="27" t="s">
        <v>135</v>
      </c>
      <c r="P32" s="9"/>
      <c r="Q32" s="9"/>
      <c r="R32" s="9"/>
      <c r="S32" s="9"/>
      <c r="T32" s="9"/>
      <c r="U32" s="30">
        <f>U37/U31</f>
        <v>0.36242647058823529</v>
      </c>
      <c r="V32" s="30">
        <f>V37/V31</f>
        <v>0.42857142857142855</v>
      </c>
      <c r="W32" s="30"/>
      <c r="X32" s="30"/>
      <c r="Y32" s="30"/>
      <c r="Z32" s="30"/>
    </row>
    <row r="33" spans="1:26" x14ac:dyDescent="0.2">
      <c r="A33" s="1"/>
      <c r="B33" s="24" t="s">
        <v>111</v>
      </c>
      <c r="P33" s="9"/>
      <c r="Q33" s="9"/>
      <c r="R33" s="9"/>
      <c r="S33" s="9"/>
      <c r="T33" s="9"/>
      <c r="U33" s="8">
        <v>4000</v>
      </c>
      <c r="V33" s="8">
        <v>9000</v>
      </c>
    </row>
    <row r="34" spans="1:26" x14ac:dyDescent="0.2">
      <c r="A34" s="1"/>
      <c r="B34" s="27" t="s">
        <v>133</v>
      </c>
      <c r="P34" s="9"/>
      <c r="Q34" s="9"/>
      <c r="R34" s="9"/>
      <c r="S34" s="9"/>
      <c r="T34" s="9"/>
      <c r="U34" s="30">
        <v>3.5</v>
      </c>
      <c r="V34" s="30">
        <v>3</v>
      </c>
      <c r="W34" s="30"/>
      <c r="X34" s="30"/>
      <c r="Y34" s="30"/>
      <c r="Z34" s="30"/>
    </row>
    <row r="35" spans="1:26" x14ac:dyDescent="0.2">
      <c r="A35" s="1"/>
      <c r="B35" s="24"/>
      <c r="P35" s="9"/>
      <c r="Q35" s="9"/>
      <c r="R35" s="9"/>
      <c r="S35" s="9"/>
      <c r="T35" s="9"/>
    </row>
    <row r="36" spans="1:26" x14ac:dyDescent="0.2">
      <c r="A36" s="1"/>
      <c r="B36" s="27" t="s">
        <v>132</v>
      </c>
      <c r="I36" s="13"/>
      <c r="P36" s="9"/>
      <c r="Q36" s="9"/>
      <c r="R36" s="9"/>
      <c r="S36" s="9"/>
      <c r="T36" s="9"/>
      <c r="U36" s="8">
        <f>U34*U33</f>
        <v>14000</v>
      </c>
      <c r="V36" s="8">
        <f>V34*V33</f>
        <v>27000</v>
      </c>
    </row>
    <row r="37" spans="1:26" s="19" customFormat="1" ht="15" x14ac:dyDescent="0.25">
      <c r="A37" s="2"/>
      <c r="B37" s="27" t="s">
        <v>101</v>
      </c>
      <c r="U37" s="19">
        <f>U39-U36</f>
        <v>8215</v>
      </c>
      <c r="V37" s="19">
        <f>V39-V36</f>
        <v>9000</v>
      </c>
    </row>
    <row r="38" spans="1:26" s="2" customFormat="1" ht="15" x14ac:dyDescent="0.25">
      <c r="B38" s="19"/>
      <c r="V38" s="19"/>
      <c r="W38" s="19"/>
      <c r="X38" s="19"/>
      <c r="Y38" s="19"/>
      <c r="Z38" s="19"/>
    </row>
    <row r="39" spans="1:26" s="2" customFormat="1" ht="15" x14ac:dyDescent="0.25">
      <c r="B39" s="2" t="s">
        <v>7</v>
      </c>
      <c r="C39" s="19">
        <v>2119.6</v>
      </c>
      <c r="D39" s="19">
        <v>3664.9</v>
      </c>
      <c r="E39" s="19">
        <v>3850</v>
      </c>
      <c r="F39" s="19">
        <v>5308.2</v>
      </c>
      <c r="G39" s="19">
        <v>5937</v>
      </c>
      <c r="H39" s="19">
        <v>5678</v>
      </c>
      <c r="I39" s="19">
        <v>4600</v>
      </c>
      <c r="J39" s="19">
        <v>6000</v>
      </c>
      <c r="K39" s="19">
        <f>J39*1.2</f>
        <v>7200</v>
      </c>
      <c r="L39" s="19">
        <f>K39*1.03</f>
        <v>7416</v>
      </c>
      <c r="M39" s="19">
        <f>L39*1.03</f>
        <v>7638.4800000000005</v>
      </c>
      <c r="N39" s="19">
        <f>M39*1.4</f>
        <v>10693.871999999999</v>
      </c>
      <c r="O39" s="19">
        <f>SUM(K39:N39)</f>
        <v>32948.351999999999</v>
      </c>
      <c r="P39" s="19">
        <v>3339.3</v>
      </c>
      <c r="Q39" s="19">
        <v>3557.4</v>
      </c>
      <c r="R39" s="19">
        <v>5196.1000000000004</v>
      </c>
      <c r="S39" s="19">
        <v>7123.4</v>
      </c>
      <c r="T39" s="19">
        <v>14989.2</v>
      </c>
      <c r="U39" s="19">
        <f>SUM(G39:J39)</f>
        <v>22215</v>
      </c>
      <c r="V39" s="19">
        <v>36000</v>
      </c>
      <c r="W39" s="19">
        <f>V39*1.1</f>
        <v>39600</v>
      </c>
      <c r="X39" s="19">
        <f t="shared" ref="X39:Z39" si="14">W39*1.1</f>
        <v>43560</v>
      </c>
      <c r="Y39" s="19">
        <f t="shared" si="14"/>
        <v>47916.000000000007</v>
      </c>
      <c r="Z39" s="19">
        <f t="shared" si="14"/>
        <v>52707.600000000013</v>
      </c>
    </row>
    <row r="40" spans="1:26" x14ac:dyDescent="0.2">
      <c r="B40" s="8" t="s">
        <v>21</v>
      </c>
      <c r="C40" s="8">
        <v>353.6</v>
      </c>
      <c r="D40" s="8">
        <v>3100.6</v>
      </c>
      <c r="E40" s="8">
        <v>3252.7</v>
      </c>
      <c r="F40" s="8">
        <v>4711.8999999999996</v>
      </c>
      <c r="G40" s="8">
        <v>5161.6000000000004</v>
      </c>
      <c r="H40" s="8">
        <v>5007.8999999999996</v>
      </c>
      <c r="I40" s="8">
        <v>4159</v>
      </c>
      <c r="J40" s="8">
        <f>J39*(1-J59)</f>
        <v>5280</v>
      </c>
      <c r="K40" s="8">
        <f>K39*(1-K59)</f>
        <v>6336</v>
      </c>
      <c r="L40" s="8">
        <f>L39*(1-L59)</f>
        <v>6526.08</v>
      </c>
      <c r="M40" s="8">
        <f>M39*(1-M59)</f>
        <v>6721.8624000000009</v>
      </c>
      <c r="N40" s="8">
        <f>N39*(1-N59)</f>
        <v>9410.60736</v>
      </c>
      <c r="P40" s="8">
        <v>2813.1</v>
      </c>
      <c r="Q40" s="8">
        <v>3022.9</v>
      </c>
      <c r="R40" s="8">
        <v>4396.1000000000004</v>
      </c>
      <c r="S40" s="8">
        <v>5840.4</v>
      </c>
      <c r="T40" s="8">
        <v>12927.8</v>
      </c>
      <c r="U40" s="8">
        <f>SUM(G40:J40)</f>
        <v>19608.5</v>
      </c>
      <c r="V40" s="8">
        <f>V39*(1-V59)</f>
        <v>31680</v>
      </c>
      <c r="W40" s="8">
        <f t="shared" ref="W40:Z40" si="15">W39*(1-W59)</f>
        <v>34452</v>
      </c>
      <c r="X40" s="8">
        <f t="shared" si="15"/>
        <v>37461.599999999999</v>
      </c>
      <c r="Y40" s="8">
        <f t="shared" si="15"/>
        <v>41073.595200000003</v>
      </c>
      <c r="Z40" s="8">
        <f t="shared" si="15"/>
        <v>45030.421814400011</v>
      </c>
    </row>
    <row r="41" spans="1:26" x14ac:dyDescent="0.2">
      <c r="B41" s="8" t="s">
        <v>22</v>
      </c>
      <c r="C41" s="8">
        <f t="shared" ref="C41:N41" si="16">C39-C40</f>
        <v>1766</v>
      </c>
      <c r="D41" s="8">
        <f t="shared" si="16"/>
        <v>564.30000000000018</v>
      </c>
      <c r="E41" s="8">
        <f t="shared" si="16"/>
        <v>597.30000000000018</v>
      </c>
      <c r="F41" s="8">
        <f t="shared" si="16"/>
        <v>596.30000000000018</v>
      </c>
      <c r="G41" s="8">
        <f t="shared" si="16"/>
        <v>775.39999999999964</v>
      </c>
      <c r="H41" s="8">
        <f t="shared" si="16"/>
        <v>670.10000000000036</v>
      </c>
      <c r="I41" s="8">
        <f t="shared" si="16"/>
        <v>441</v>
      </c>
      <c r="J41" s="8">
        <f t="shared" si="16"/>
        <v>720</v>
      </c>
      <c r="K41" s="8">
        <f t="shared" si="16"/>
        <v>864</v>
      </c>
      <c r="L41" s="8">
        <f t="shared" si="16"/>
        <v>889.92000000000007</v>
      </c>
      <c r="M41" s="8">
        <f t="shared" si="16"/>
        <v>916.61759999999958</v>
      </c>
      <c r="N41" s="8">
        <f t="shared" si="16"/>
        <v>1283.2646399999994</v>
      </c>
      <c r="P41" s="8">
        <f t="shared" ref="P41:V41" si="17">P39-P40</f>
        <v>526.20000000000027</v>
      </c>
      <c r="Q41" s="8">
        <f t="shared" si="17"/>
        <v>534.5</v>
      </c>
      <c r="R41" s="8">
        <f t="shared" si="17"/>
        <v>800</v>
      </c>
      <c r="S41" s="8">
        <f t="shared" si="17"/>
        <v>1283</v>
      </c>
      <c r="T41" s="8">
        <f t="shared" si="17"/>
        <v>2061.4000000000015</v>
      </c>
      <c r="U41" s="8">
        <f t="shared" si="17"/>
        <v>2606.5</v>
      </c>
      <c r="V41" s="8">
        <f t="shared" si="17"/>
        <v>4320</v>
      </c>
      <c r="W41" s="8">
        <f t="shared" ref="W41:Z41" si="18">W39-W40</f>
        <v>5148</v>
      </c>
      <c r="X41" s="8">
        <f t="shared" si="18"/>
        <v>6098.4000000000015</v>
      </c>
      <c r="Y41" s="8">
        <f t="shared" si="18"/>
        <v>6842.4048000000039</v>
      </c>
      <c r="Z41" s="8">
        <f t="shared" si="18"/>
        <v>7677.1781856000016</v>
      </c>
    </row>
    <row r="42" spans="1:26" x14ac:dyDescent="0.2">
      <c r="B42" s="8" t="s">
        <v>11</v>
      </c>
      <c r="C42" s="8">
        <v>111</v>
      </c>
      <c r="D42" s="8">
        <v>108.8</v>
      </c>
      <c r="E42" s="8">
        <v>116.2</v>
      </c>
      <c r="F42" s="8">
        <v>126.9</v>
      </c>
      <c r="G42" s="8">
        <v>132.19999999999999</v>
      </c>
      <c r="H42" s="8">
        <v>158.19999999999999</v>
      </c>
      <c r="I42" s="8">
        <v>162.9</v>
      </c>
      <c r="J42" s="8">
        <f>I42*(1+J56)</f>
        <v>212.47826086956522</v>
      </c>
      <c r="K42" s="8">
        <f t="shared" ref="K42:L42" si="19">J42*1.01</f>
        <v>214.60304347826087</v>
      </c>
      <c r="L42" s="8">
        <f t="shared" si="19"/>
        <v>216.74907391304347</v>
      </c>
      <c r="M42" s="8">
        <f t="shared" ref="M42" si="20">L42*1.01</f>
        <v>218.91656465217392</v>
      </c>
      <c r="N42" s="8">
        <f t="shared" ref="N42" si="21">M42*1.01</f>
        <v>221.10573029869565</v>
      </c>
      <c r="P42" s="8">
        <v>221.5</v>
      </c>
      <c r="Q42" s="8">
        <v>224.4</v>
      </c>
      <c r="R42" s="8">
        <v>272.3</v>
      </c>
      <c r="S42" s="8">
        <v>307.26</v>
      </c>
      <c r="T42" s="8">
        <v>463.5</v>
      </c>
      <c r="U42" s="8">
        <f>SUM(G42:J42)</f>
        <v>665.7782608695652</v>
      </c>
      <c r="V42" s="8">
        <f t="shared" ref="V42:Z42" si="22">U42*(1+V55)</f>
        <v>1078.911428823063</v>
      </c>
      <c r="W42" s="8">
        <f t="shared" si="22"/>
        <v>1186.8025717053695</v>
      </c>
      <c r="X42" s="8">
        <f t="shared" si="22"/>
        <v>1305.4828288759065</v>
      </c>
      <c r="Y42" s="8">
        <f t="shared" si="22"/>
        <v>1436.0311117634974</v>
      </c>
      <c r="Z42" s="8">
        <f t="shared" si="22"/>
        <v>1579.6342229398472</v>
      </c>
    </row>
    <row r="43" spans="1:26" x14ac:dyDescent="0.2">
      <c r="B43" s="8" t="s">
        <v>24</v>
      </c>
      <c r="C43" s="8">
        <v>37.200000000000003</v>
      </c>
      <c r="D43" s="8">
        <v>46.8</v>
      </c>
      <c r="E43" s="8">
        <v>49.7</v>
      </c>
      <c r="F43" s="8">
        <v>55.7</v>
      </c>
      <c r="G43" s="8">
        <v>68.8</v>
      </c>
      <c r="H43" s="8">
        <v>79.5</v>
      </c>
      <c r="I43" s="8">
        <v>60</v>
      </c>
      <c r="J43" s="8">
        <f t="shared" ref="J43:L43" si="23">I43*(1+J56)</f>
        <v>78.260869565217391</v>
      </c>
      <c r="K43" s="8">
        <f t="shared" si="23"/>
        <v>93.91304347826086</v>
      </c>
      <c r="L43" s="8">
        <f t="shared" si="23"/>
        <v>96.730434782608683</v>
      </c>
      <c r="M43" s="8">
        <f t="shared" ref="M43" si="24">L43*(1+M56)</f>
        <v>99.632347826086942</v>
      </c>
      <c r="N43" s="8">
        <f t="shared" ref="N43" si="25">M43*(1+N56)</f>
        <v>139.48528695652172</v>
      </c>
      <c r="P43" s="8">
        <v>85.1</v>
      </c>
      <c r="Q43" s="8">
        <v>85.7</v>
      </c>
      <c r="R43" s="8">
        <v>90.1</v>
      </c>
      <c r="S43" s="8">
        <v>115</v>
      </c>
      <c r="T43" s="8">
        <v>189.7</v>
      </c>
      <c r="U43" s="8">
        <f>SUM(G43:J43)</f>
        <v>286.56086956521739</v>
      </c>
      <c r="V43" s="8">
        <f t="shared" ref="V43:Z43" si="26">U43*(1+V55)</f>
        <v>464.37953204356631</v>
      </c>
      <c r="W43" s="8">
        <f t="shared" si="26"/>
        <v>510.817485247923</v>
      </c>
      <c r="X43" s="8">
        <f t="shared" si="26"/>
        <v>561.89923377271532</v>
      </c>
      <c r="Y43" s="8">
        <f t="shared" si="26"/>
        <v>618.08915714998693</v>
      </c>
      <c r="Z43" s="8">
        <f t="shared" si="26"/>
        <v>679.89807286498569</v>
      </c>
    </row>
    <row r="44" spans="1:26" x14ac:dyDescent="0.2">
      <c r="B44" s="8" t="s">
        <v>25</v>
      </c>
      <c r="C44" s="8">
        <v>33.9</v>
      </c>
      <c r="D44" s="8">
        <v>37.200000000000003</v>
      </c>
      <c r="E44" s="8">
        <v>53.1</v>
      </c>
      <c r="F44" s="8">
        <v>70.400000000000006</v>
      </c>
      <c r="G44" s="8">
        <v>65.2</v>
      </c>
      <c r="H44" s="8">
        <v>63.6</v>
      </c>
      <c r="I44" s="8">
        <v>70.599999999999994</v>
      </c>
      <c r="J44" s="8">
        <f t="shared" ref="J44:L44" si="27">I44*(1+J56)</f>
        <v>92.086956521739125</v>
      </c>
      <c r="K44" s="8">
        <f t="shared" si="27"/>
        <v>110.50434782608694</v>
      </c>
      <c r="L44" s="8">
        <f t="shared" si="27"/>
        <v>113.81947826086956</v>
      </c>
      <c r="M44" s="8">
        <f t="shared" ref="M44" si="28">L44*(1+M56)</f>
        <v>117.23406260869565</v>
      </c>
      <c r="N44" s="8">
        <f t="shared" ref="N44" si="29">M44*(1+N56)</f>
        <v>164.1276876521739</v>
      </c>
      <c r="P44" s="8">
        <v>134</v>
      </c>
      <c r="Q44" s="8">
        <v>100.5</v>
      </c>
      <c r="R44" s="8">
        <v>102.4</v>
      </c>
      <c r="S44" s="8">
        <v>99.5</v>
      </c>
      <c r="T44" s="8">
        <v>197.3</v>
      </c>
      <c r="U44" s="8">
        <f>SUM(G44:J44)</f>
        <v>291.4869565217391</v>
      </c>
      <c r="V44" s="8">
        <f t="shared" ref="V44:Z44" si="30">U44*(1+V55)</f>
        <v>472.36238734110322</v>
      </c>
      <c r="W44" s="8">
        <f t="shared" si="30"/>
        <v>519.59862607521359</v>
      </c>
      <c r="X44" s="8">
        <f t="shared" si="30"/>
        <v>571.55848868273495</v>
      </c>
      <c r="Y44" s="8">
        <f t="shared" si="30"/>
        <v>628.7143375510085</v>
      </c>
      <c r="Z44" s="8">
        <f t="shared" si="30"/>
        <v>691.58577130610945</v>
      </c>
    </row>
    <row r="45" spans="1:26" x14ac:dyDescent="0.2">
      <c r="B45" s="8" t="s">
        <v>26</v>
      </c>
      <c r="C45" s="8">
        <f>SUM(C42:C44)</f>
        <v>182.1</v>
      </c>
      <c r="D45" s="8">
        <f t="shared" ref="D45:F45" si="31">SUM(D42:D44)</f>
        <v>192.8</v>
      </c>
      <c r="E45" s="8">
        <f t="shared" si="31"/>
        <v>219</v>
      </c>
      <c r="F45" s="8">
        <f t="shared" si="31"/>
        <v>253.00000000000003</v>
      </c>
      <c r="G45" s="8">
        <f>SUM(G42:G44)</f>
        <v>266.2</v>
      </c>
      <c r="H45" s="8">
        <f>SUM(H42:H44)</f>
        <v>301.3</v>
      </c>
      <c r="I45" s="8">
        <f t="shared" ref="I45:L45" si="32">SUM(I42:I44)</f>
        <v>293.5</v>
      </c>
      <c r="J45" s="8">
        <f t="shared" si="32"/>
        <v>382.82608695652175</v>
      </c>
      <c r="K45" s="8">
        <f t="shared" si="32"/>
        <v>419.02043478260867</v>
      </c>
      <c r="L45" s="8">
        <f t="shared" si="32"/>
        <v>427.29898695652173</v>
      </c>
      <c r="M45" s="8">
        <f t="shared" ref="M45:N45" si="33">SUM(M42:M44)</f>
        <v>435.78297508695647</v>
      </c>
      <c r="N45" s="8">
        <f t="shared" si="33"/>
        <v>524.71870490739127</v>
      </c>
      <c r="P45" s="8">
        <f t="shared" ref="P45:R45" si="34">SUM(P42:P44)</f>
        <v>440.6</v>
      </c>
      <c r="Q45" s="8">
        <f t="shared" si="34"/>
        <v>410.6</v>
      </c>
      <c r="R45" s="8">
        <f t="shared" si="34"/>
        <v>464.79999999999995</v>
      </c>
      <c r="S45" s="8">
        <f t="shared" ref="S45:T45" si="35">SUM(S42:S44)</f>
        <v>521.76</v>
      </c>
      <c r="T45" s="8">
        <f t="shared" si="35"/>
        <v>850.5</v>
      </c>
      <c r="U45" s="8">
        <f t="shared" ref="U45:Y45" si="36">SUM(U42:U44)</f>
        <v>1243.8260869565217</v>
      </c>
      <c r="V45" s="8">
        <f t="shared" si="36"/>
        <v>2015.6533482077325</v>
      </c>
      <c r="W45" s="8">
        <f t="shared" si="36"/>
        <v>2217.2186830285063</v>
      </c>
      <c r="X45" s="8">
        <f t="shared" si="36"/>
        <v>2438.9405513313568</v>
      </c>
      <c r="Y45" s="8">
        <f t="shared" si="36"/>
        <v>2682.8346064644929</v>
      </c>
      <c r="Z45" s="8">
        <f t="shared" ref="Z45" si="37">SUM(Z42:Z44)</f>
        <v>2951.1180671109423</v>
      </c>
    </row>
    <row r="46" spans="1:26" s="2" customFormat="1" ht="15" x14ac:dyDescent="0.25">
      <c r="B46" s="2" t="s">
        <v>27</v>
      </c>
      <c r="C46" s="2">
        <f>C41-C45</f>
        <v>1583.9</v>
      </c>
      <c r="D46" s="2">
        <f t="shared" ref="D46:F46" si="38">D41-D45</f>
        <v>371.50000000000017</v>
      </c>
      <c r="E46" s="2">
        <f t="shared" si="38"/>
        <v>378.30000000000018</v>
      </c>
      <c r="F46" s="2">
        <f t="shared" si="38"/>
        <v>343.30000000000018</v>
      </c>
      <c r="G46" s="2">
        <f>G41-G45</f>
        <v>509.19999999999965</v>
      </c>
      <c r="H46" s="2">
        <f>H41-H45</f>
        <v>368.80000000000035</v>
      </c>
      <c r="I46" s="2">
        <f t="shared" ref="I46:L46" si="39">I41-I45</f>
        <v>147.5</v>
      </c>
      <c r="J46" s="2">
        <f t="shared" si="39"/>
        <v>337.17391304347825</v>
      </c>
      <c r="K46" s="2">
        <f t="shared" si="39"/>
        <v>444.97956521739133</v>
      </c>
      <c r="L46" s="2">
        <f t="shared" si="39"/>
        <v>462.62101304347834</v>
      </c>
      <c r="M46" s="2">
        <f t="shared" ref="M46:N46" si="40">M41-M45</f>
        <v>480.83462491304311</v>
      </c>
      <c r="N46" s="2">
        <f t="shared" si="40"/>
        <v>758.54593509260815</v>
      </c>
      <c r="P46" s="2">
        <f t="shared" ref="P46:R46" si="41">P41-P45</f>
        <v>85.60000000000025</v>
      </c>
      <c r="Q46" s="2">
        <f t="shared" si="41"/>
        <v>123.89999999999998</v>
      </c>
      <c r="R46" s="2">
        <f t="shared" si="41"/>
        <v>335.20000000000005</v>
      </c>
      <c r="S46" s="2">
        <f t="shared" ref="S46:T46" si="42">S41-S45</f>
        <v>761.24</v>
      </c>
      <c r="T46" s="2">
        <f t="shared" si="42"/>
        <v>1210.9000000000015</v>
      </c>
      <c r="U46" s="2">
        <f t="shared" ref="U46:V46" si="43">U41-U45</f>
        <v>1362.6739130434783</v>
      </c>
      <c r="V46" s="2">
        <f t="shared" si="43"/>
        <v>2304.3466517922675</v>
      </c>
      <c r="W46" s="2">
        <f t="shared" ref="W46" si="44">W41-W45</f>
        <v>2930.7813169714937</v>
      </c>
      <c r="X46" s="2">
        <f t="shared" ref="X46" si="45">X41-X45</f>
        <v>3659.4594486686447</v>
      </c>
      <c r="Y46" s="2">
        <f t="shared" ref="Y46:Z46" si="46">Y41-Y45</f>
        <v>4159.570193535511</v>
      </c>
      <c r="Z46" s="2">
        <f t="shared" si="46"/>
        <v>4726.0601184890593</v>
      </c>
    </row>
    <row r="47" spans="1:26" x14ac:dyDescent="0.2">
      <c r="B47" s="8" t="s">
        <v>32</v>
      </c>
      <c r="C47" s="8">
        <v>6.6</v>
      </c>
      <c r="D47" s="8">
        <v>-8</v>
      </c>
      <c r="E47" s="8">
        <v>10</v>
      </c>
      <c r="F47" s="8">
        <v>14</v>
      </c>
      <c r="G47" s="8">
        <v>7.2</v>
      </c>
      <c r="H47" s="8">
        <v>12.9</v>
      </c>
      <c r="I47" s="8">
        <v>-18.3</v>
      </c>
      <c r="P47" s="8">
        <v>1.4</v>
      </c>
      <c r="Q47" s="8">
        <v>-2.8</v>
      </c>
      <c r="R47" s="8">
        <v>8.1</v>
      </c>
      <c r="T47" s="8">
        <v>22.7</v>
      </c>
      <c r="U47" s="8">
        <f>SUM(G47:J47)</f>
        <v>1.8000000000000007</v>
      </c>
    </row>
    <row r="48" spans="1:26" x14ac:dyDescent="0.2">
      <c r="B48" s="8" t="s">
        <v>28</v>
      </c>
      <c r="C48" s="8">
        <v>-1.8</v>
      </c>
      <c r="D48" s="8">
        <v>-8</v>
      </c>
      <c r="E48" s="8">
        <v>-6.3</v>
      </c>
      <c r="F48" s="8">
        <v>-3.1</v>
      </c>
      <c r="G48" s="8">
        <v>-17.3</v>
      </c>
      <c r="H48" s="8">
        <v>-6.5</v>
      </c>
      <c r="I48" s="8">
        <v>-13.4</v>
      </c>
      <c r="J48" s="8">
        <f>I63*$AC$55/4</f>
        <v>-1.2270000000000028</v>
      </c>
      <c r="K48" s="8">
        <f>J63*$AC$55/4</f>
        <v>3.0563231413043455</v>
      </c>
      <c r="L48" s="8">
        <f>K63*$AC$55/4</f>
        <v>8.768780717877716</v>
      </c>
      <c r="M48" s="8">
        <f>L63*$AC$55/4</f>
        <v>14.779000588335006</v>
      </c>
      <c r="N48" s="8">
        <f>M63*$AC$55/4</f>
        <v>21.098074313477575</v>
      </c>
      <c r="P48" s="8">
        <v>-2.2000000000000002</v>
      </c>
      <c r="Q48" s="8">
        <v>-2.5</v>
      </c>
      <c r="R48" s="8">
        <v>-6.4</v>
      </c>
      <c r="T48" s="8">
        <v>-19.350000000000001</v>
      </c>
      <c r="U48" s="8">
        <f>SUM(G48:J48)</f>
        <v>-38.427000000000007</v>
      </c>
      <c r="V48" s="8">
        <f>U63*$AC$55</f>
        <v>12.225292565217382</v>
      </c>
      <c r="W48" s="8">
        <f>V63*$AC$55</f>
        <v>124.95005739623461</v>
      </c>
      <c r="X48" s="8">
        <f>W63*$AC$55</f>
        <v>274.88303284482328</v>
      </c>
      <c r="Y48" s="8">
        <f>X63*$AC$55</f>
        <v>469.2257440208088</v>
      </c>
      <c r="Z48" s="8">
        <f>Y63*$AC$55</f>
        <v>699.53440006788321</v>
      </c>
    </row>
    <row r="49" spans="2:92" x14ac:dyDescent="0.2">
      <c r="B49" s="8" t="s">
        <v>29</v>
      </c>
      <c r="C49" s="8">
        <f>C46+SUM(C47:C48)</f>
        <v>1588.7</v>
      </c>
      <c r="D49" s="8">
        <f t="shared" ref="D49:F49" si="47">D46+SUM(D47:D48)</f>
        <v>355.50000000000017</v>
      </c>
      <c r="E49" s="8">
        <f t="shared" si="47"/>
        <v>382.00000000000017</v>
      </c>
      <c r="F49" s="8">
        <f t="shared" si="47"/>
        <v>354.20000000000016</v>
      </c>
      <c r="G49" s="8">
        <f>G46+SUM(G47:G48)</f>
        <v>499.09999999999962</v>
      </c>
      <c r="H49" s="8">
        <f>H46+SUM(H47:H48)</f>
        <v>375.20000000000033</v>
      </c>
      <c r="I49" s="8">
        <f t="shared" ref="I49:L49" si="48">I46+SUM(I47:I48)</f>
        <v>115.8</v>
      </c>
      <c r="J49" s="8">
        <f t="shared" si="48"/>
        <v>335.94691304347828</v>
      </c>
      <c r="K49" s="8">
        <f t="shared" si="48"/>
        <v>448.03588835869567</v>
      </c>
      <c r="L49" s="8">
        <f t="shared" si="48"/>
        <v>471.38979376135603</v>
      </c>
      <c r="M49" s="8">
        <f t="shared" ref="M49:N49" si="49">M46+SUM(M47:M48)</f>
        <v>495.61362550137812</v>
      </c>
      <c r="N49" s="8">
        <f t="shared" si="49"/>
        <v>779.64400940608573</v>
      </c>
      <c r="P49" s="8">
        <f t="shared" ref="P49:R49" si="50">P46+SUM(P47:P48)</f>
        <v>84.800000000000253</v>
      </c>
      <c r="Q49" s="8">
        <f t="shared" si="50"/>
        <v>118.59999999999998</v>
      </c>
      <c r="R49" s="8">
        <f t="shared" si="50"/>
        <v>336.90000000000003</v>
      </c>
      <c r="S49" s="8">
        <f t="shared" ref="S49:T49" si="51">S46+SUM(S47:S48)</f>
        <v>761.24</v>
      </c>
      <c r="T49" s="8">
        <f t="shared" si="51"/>
        <v>1214.2500000000014</v>
      </c>
      <c r="U49" s="8">
        <f t="shared" ref="U49:V49" si="52">U46+SUM(U47:U48)</f>
        <v>1326.0469130434783</v>
      </c>
      <c r="V49" s="8">
        <f t="shared" si="52"/>
        <v>2316.5719443574849</v>
      </c>
      <c r="W49" s="8">
        <f t="shared" ref="W49" si="53">W46+SUM(W47:W48)</f>
        <v>3055.7313743677282</v>
      </c>
      <c r="X49" s="8">
        <f t="shared" ref="X49" si="54">X46+SUM(X47:X48)</f>
        <v>3934.3424815134681</v>
      </c>
      <c r="Y49" s="8">
        <f t="shared" ref="Y49:Z49" si="55">Y46+SUM(Y47:Y48)</f>
        <v>4628.7959375563196</v>
      </c>
      <c r="Z49" s="8">
        <f t="shared" si="55"/>
        <v>5425.5945185569426</v>
      </c>
    </row>
    <row r="50" spans="2:92" x14ac:dyDescent="0.2">
      <c r="B50" s="8" t="s">
        <v>30</v>
      </c>
      <c r="C50" s="8">
        <v>20.2</v>
      </c>
      <c r="D50" s="8">
        <v>-61.5</v>
      </c>
      <c r="E50" s="8">
        <v>-20</v>
      </c>
      <c r="F50" s="8">
        <v>1</v>
      </c>
      <c r="G50" s="8">
        <v>74.7</v>
      </c>
      <c r="H50" s="8">
        <v>56.9</v>
      </c>
      <c r="I50" s="8">
        <v>5.8</v>
      </c>
      <c r="J50" s="8">
        <f>J49*J57</f>
        <v>50.392036956521743</v>
      </c>
      <c r="K50" s="8">
        <f t="shared" ref="K50:N50" si="56">K49*K57</f>
        <v>67.205383253804342</v>
      </c>
      <c r="L50" s="8">
        <f t="shared" si="56"/>
        <v>70.708469064203399</v>
      </c>
      <c r="M50" s="8">
        <f t="shared" si="56"/>
        <v>74.342043825206716</v>
      </c>
      <c r="N50" s="8">
        <f t="shared" si="56"/>
        <v>116.94660141091285</v>
      </c>
      <c r="P50" s="8">
        <v>2.9</v>
      </c>
      <c r="Q50" s="8">
        <v>6.9</v>
      </c>
      <c r="R50" s="8">
        <v>52.9</v>
      </c>
      <c r="S50" s="8">
        <v>110.6</v>
      </c>
      <c r="T50" s="8">
        <v>63.3</v>
      </c>
      <c r="U50" s="8">
        <f>SUM(G50:J50)</f>
        <v>187.79203695652174</v>
      </c>
      <c r="V50" s="8">
        <f t="shared" ref="V50:Z50" si="57">V57*V46</f>
        <v>437.82586384053081</v>
      </c>
      <c r="W50" s="8">
        <f t="shared" si="57"/>
        <v>556.84845022458376</v>
      </c>
      <c r="X50" s="8">
        <f t="shared" si="57"/>
        <v>695.29729524704248</v>
      </c>
      <c r="Y50" s="8">
        <f t="shared" si="57"/>
        <v>790.31833677174711</v>
      </c>
      <c r="Z50" s="8">
        <f t="shared" si="57"/>
        <v>897.95142251292123</v>
      </c>
    </row>
    <row r="51" spans="2:92" ht="15" x14ac:dyDescent="0.25">
      <c r="B51" s="2" t="s">
        <v>8</v>
      </c>
      <c r="C51" s="2">
        <f>C49-C50</f>
        <v>1568.5</v>
      </c>
      <c r="D51" s="2">
        <f t="shared" ref="D51:F51" si="58">D49-D50</f>
        <v>417.00000000000017</v>
      </c>
      <c r="E51" s="2">
        <f t="shared" si="58"/>
        <v>402.00000000000017</v>
      </c>
      <c r="F51" s="2">
        <f t="shared" si="58"/>
        <v>353.20000000000016</v>
      </c>
      <c r="G51" s="2">
        <f>G49-G50</f>
        <v>424.39999999999964</v>
      </c>
      <c r="H51" s="2">
        <f>H49-H50</f>
        <v>318.30000000000035</v>
      </c>
      <c r="I51" s="2">
        <f>I49-I50</f>
        <v>110</v>
      </c>
      <c r="J51" s="2">
        <f>J49-J50</f>
        <v>285.55487608695654</v>
      </c>
      <c r="K51" s="2">
        <f t="shared" ref="K51:L51" si="59">K49-K50</f>
        <v>380.83050510489136</v>
      </c>
      <c r="L51" s="2">
        <f t="shared" si="59"/>
        <v>400.6813246971526</v>
      </c>
      <c r="M51" s="2">
        <f t="shared" ref="M51:N51" si="60">M49-M50</f>
        <v>421.27158167617142</v>
      </c>
      <c r="N51" s="2">
        <f t="shared" si="60"/>
        <v>662.69740799517285</v>
      </c>
      <c r="O51" s="2"/>
      <c r="P51" s="2">
        <f t="shared" ref="P51:R51" si="61">P49-P50</f>
        <v>81.900000000000247</v>
      </c>
      <c r="Q51" s="2">
        <f t="shared" si="61"/>
        <v>111.69999999999997</v>
      </c>
      <c r="R51" s="2">
        <f t="shared" si="61"/>
        <v>284.00000000000006</v>
      </c>
      <c r="S51" s="2">
        <f t="shared" ref="S51:Y51" si="62">S49-S50</f>
        <v>650.64</v>
      </c>
      <c r="T51" s="2">
        <f t="shared" si="62"/>
        <v>1150.9500000000014</v>
      </c>
      <c r="U51" s="2">
        <f t="shared" si="62"/>
        <v>1138.2548760869565</v>
      </c>
      <c r="V51" s="2">
        <f t="shared" si="62"/>
        <v>1878.746080516954</v>
      </c>
      <c r="W51" s="2">
        <f t="shared" si="62"/>
        <v>2498.8829241431445</v>
      </c>
      <c r="X51" s="2">
        <f t="shared" si="62"/>
        <v>3239.0451862664258</v>
      </c>
      <c r="Y51" s="2">
        <f t="shared" si="62"/>
        <v>3838.4776007845726</v>
      </c>
      <c r="Z51" s="2">
        <f t="shared" ref="Z51" si="63">Z49-Z50</f>
        <v>4527.6430960440211</v>
      </c>
      <c r="AA51" s="2">
        <f t="shared" ref="AA51:BF51" si="64">Z51*(1+$AC$56)</f>
        <v>4618.1959579649019</v>
      </c>
      <c r="AB51" s="2">
        <f t="shared" si="64"/>
        <v>4710.5598771242003</v>
      </c>
      <c r="AC51" s="2">
        <f t="shared" si="64"/>
        <v>4804.7710746666844</v>
      </c>
      <c r="AD51" s="2">
        <f t="shared" si="64"/>
        <v>4900.866496160018</v>
      </c>
      <c r="AE51" s="2">
        <f t="shared" si="64"/>
        <v>4998.8838260832181</v>
      </c>
      <c r="AF51" s="2">
        <f t="shared" si="64"/>
        <v>5098.8615026048828</v>
      </c>
      <c r="AG51" s="2">
        <f t="shared" si="64"/>
        <v>5200.8387326569809</v>
      </c>
      <c r="AH51" s="2">
        <f t="shared" si="64"/>
        <v>5304.8555073101206</v>
      </c>
      <c r="AI51" s="2">
        <f t="shared" si="64"/>
        <v>5410.9526174563234</v>
      </c>
      <c r="AJ51" s="2">
        <f t="shared" si="64"/>
        <v>5519.1716698054497</v>
      </c>
      <c r="AK51" s="2">
        <f t="shared" si="64"/>
        <v>5629.5551032015592</v>
      </c>
      <c r="AL51" s="2">
        <f t="shared" si="64"/>
        <v>5742.1462052655907</v>
      </c>
      <c r="AM51" s="2">
        <f t="shared" si="64"/>
        <v>5856.9891293709024</v>
      </c>
      <c r="AN51" s="2">
        <f t="shared" si="64"/>
        <v>5974.1289119583207</v>
      </c>
      <c r="AO51" s="2">
        <f t="shared" si="64"/>
        <v>6093.611490197487</v>
      </c>
      <c r="AP51" s="2">
        <f t="shared" si="64"/>
        <v>6215.4837200014372</v>
      </c>
      <c r="AQ51" s="2">
        <f t="shared" si="64"/>
        <v>6339.7933944014658</v>
      </c>
      <c r="AR51" s="2">
        <f t="shared" si="64"/>
        <v>6466.5892622894953</v>
      </c>
      <c r="AS51" s="2">
        <f t="shared" si="64"/>
        <v>6595.9210475352857</v>
      </c>
      <c r="AT51" s="2">
        <f t="shared" si="64"/>
        <v>6727.8394684859913</v>
      </c>
      <c r="AU51" s="2">
        <f t="shared" si="64"/>
        <v>6862.3962578557112</v>
      </c>
      <c r="AV51" s="2">
        <f t="shared" si="64"/>
        <v>6999.6441830128251</v>
      </c>
      <c r="AW51" s="2">
        <f t="shared" si="64"/>
        <v>7139.6370666730818</v>
      </c>
      <c r="AX51" s="2">
        <f t="shared" si="64"/>
        <v>7282.4298080065437</v>
      </c>
      <c r="AY51" s="2">
        <f t="shared" si="64"/>
        <v>7428.0784041666748</v>
      </c>
      <c r="AZ51" s="2">
        <f t="shared" si="64"/>
        <v>7576.6399722500082</v>
      </c>
      <c r="BA51" s="2">
        <f t="shared" si="64"/>
        <v>7728.1727716950081</v>
      </c>
      <c r="BB51" s="2">
        <f t="shared" si="64"/>
        <v>7882.7362271289085</v>
      </c>
      <c r="BC51" s="2">
        <f t="shared" si="64"/>
        <v>8040.3909516714866</v>
      </c>
      <c r="BD51" s="2">
        <f t="shared" si="64"/>
        <v>8201.1987707049157</v>
      </c>
      <c r="BE51" s="2">
        <f t="shared" si="64"/>
        <v>8365.2227461190141</v>
      </c>
      <c r="BF51" s="2">
        <f t="shared" si="64"/>
        <v>8532.5272010413937</v>
      </c>
      <c r="BG51" s="2">
        <f t="shared" ref="BG51:CN51" si="65">BF51*(1+$AC$56)</f>
        <v>8703.1777450622212</v>
      </c>
      <c r="BH51" s="2">
        <f t="shared" si="65"/>
        <v>8877.2412999634653</v>
      </c>
      <c r="BI51" s="2">
        <f t="shared" si="65"/>
        <v>9054.7861259627352</v>
      </c>
      <c r="BJ51" s="2">
        <f t="shared" si="65"/>
        <v>9235.8818484819894</v>
      </c>
      <c r="BK51" s="2">
        <f t="shared" si="65"/>
        <v>9420.5994854516302</v>
      </c>
      <c r="BL51" s="2">
        <f t="shared" si="65"/>
        <v>9609.0114751606634</v>
      </c>
      <c r="BM51" s="2">
        <f t="shared" si="65"/>
        <v>9801.1917046638773</v>
      </c>
      <c r="BN51" s="2">
        <f t="shared" si="65"/>
        <v>9997.2155387571547</v>
      </c>
      <c r="BO51" s="2">
        <f t="shared" si="65"/>
        <v>10197.159849532298</v>
      </c>
      <c r="BP51" s="2">
        <f t="shared" si="65"/>
        <v>10401.103046522943</v>
      </c>
      <c r="BQ51" s="2">
        <f t="shared" si="65"/>
        <v>10609.125107453403</v>
      </c>
      <c r="BR51" s="2">
        <f t="shared" si="65"/>
        <v>10821.307609602471</v>
      </c>
      <c r="BS51" s="2">
        <f t="shared" si="65"/>
        <v>11037.73376179452</v>
      </c>
      <c r="BT51" s="2">
        <f t="shared" si="65"/>
        <v>11258.48843703041</v>
      </c>
      <c r="BU51" s="2">
        <f t="shared" si="65"/>
        <v>11483.658205771018</v>
      </c>
      <c r="BV51" s="2">
        <f t="shared" si="65"/>
        <v>11713.331369886439</v>
      </c>
      <c r="BW51" s="2">
        <f t="shared" si="65"/>
        <v>11947.597997284167</v>
      </c>
      <c r="BX51" s="2">
        <f t="shared" si="65"/>
        <v>12186.54995722985</v>
      </c>
      <c r="BY51" s="2">
        <f t="shared" si="65"/>
        <v>12430.280956374447</v>
      </c>
      <c r="BZ51" s="2">
        <f t="shared" si="65"/>
        <v>12678.886575501936</v>
      </c>
      <c r="CA51" s="2">
        <f t="shared" si="65"/>
        <v>12932.464307011975</v>
      </c>
      <c r="CB51" s="2">
        <f t="shared" si="65"/>
        <v>13191.113593152215</v>
      </c>
      <c r="CC51" s="2">
        <f t="shared" si="65"/>
        <v>13454.935865015259</v>
      </c>
      <c r="CD51" s="2">
        <f t="shared" si="65"/>
        <v>13724.034582315564</v>
      </c>
      <c r="CE51" s="2">
        <f t="shared" si="65"/>
        <v>13998.515273961875</v>
      </c>
      <c r="CF51" s="2">
        <f t="shared" si="65"/>
        <v>14278.485579441112</v>
      </c>
      <c r="CG51" s="2">
        <f t="shared" si="65"/>
        <v>14564.055291029936</v>
      </c>
      <c r="CH51" s="2">
        <f t="shared" si="65"/>
        <v>14855.336396850535</v>
      </c>
      <c r="CI51" s="2">
        <f t="shared" si="65"/>
        <v>15152.443124787545</v>
      </c>
      <c r="CJ51" s="2">
        <f t="shared" si="65"/>
        <v>15455.491987283296</v>
      </c>
      <c r="CK51" s="2">
        <f t="shared" si="65"/>
        <v>15764.601827028962</v>
      </c>
      <c r="CL51" s="2">
        <f t="shared" si="65"/>
        <v>16079.893863569541</v>
      </c>
      <c r="CM51" s="2">
        <f t="shared" si="65"/>
        <v>16401.491740840931</v>
      </c>
      <c r="CN51" s="2">
        <f t="shared" si="65"/>
        <v>16729.521575657749</v>
      </c>
    </row>
    <row r="52" spans="2:92" x14ac:dyDescent="0.2">
      <c r="B52" s="8" t="s">
        <v>31</v>
      </c>
      <c r="C52" s="11">
        <f t="shared" ref="C52:N52" si="66">C51/C53</f>
        <v>2.9538606403013183</v>
      </c>
      <c r="D52" s="11">
        <f t="shared" si="66"/>
        <v>0.77079482439926095</v>
      </c>
      <c r="E52" s="11">
        <f t="shared" si="66"/>
        <v>0.71276595744680882</v>
      </c>
      <c r="F52" s="11">
        <f t="shared" si="66"/>
        <v>0.60170357751277714</v>
      </c>
      <c r="G52" s="11">
        <f t="shared" si="66"/>
        <v>0.71510292663118047</v>
      </c>
      <c r="H52" s="11">
        <f t="shared" si="66"/>
        <v>0.53632719497338643</v>
      </c>
      <c r="I52" s="11">
        <f t="shared" si="66"/>
        <v>0.18534712989969351</v>
      </c>
      <c r="J52" s="11">
        <f t="shared" si="66"/>
        <v>0.4547052166989754</v>
      </c>
      <c r="K52" s="11">
        <f t="shared" si="66"/>
        <v>0.6064180017593811</v>
      </c>
      <c r="L52" s="11">
        <f t="shared" si="66"/>
        <v>0.63802758709737672</v>
      </c>
      <c r="M52" s="11">
        <f t="shared" si="66"/>
        <v>0.67081462050345764</v>
      </c>
      <c r="N52" s="11">
        <f t="shared" si="66"/>
        <v>1.0552506496738421</v>
      </c>
      <c r="O52" s="11"/>
      <c r="P52" s="11">
        <f t="shared" ref="P52:Z52" si="67">P51/P53</f>
        <v>0.16058823529411814</v>
      </c>
      <c r="Q52" s="11">
        <f t="shared" si="67"/>
        <v>0.21859099804305279</v>
      </c>
      <c r="R52" s="11">
        <f t="shared" si="67"/>
        <v>0.55252918287937758</v>
      </c>
      <c r="S52" s="11" t="e">
        <f t="shared" si="67"/>
        <v>#DIV/0!</v>
      </c>
      <c r="T52" s="11">
        <f t="shared" si="67"/>
        <v>1.939320719618659</v>
      </c>
      <c r="U52" s="11">
        <f t="shared" si="67"/>
        <v>1.8125077644696761</v>
      </c>
      <c r="V52" s="11">
        <f t="shared" si="67"/>
        <v>2.9916338861734935</v>
      </c>
      <c r="W52" s="11">
        <f t="shared" si="67"/>
        <v>3.9791129365336695</v>
      </c>
      <c r="X52" s="11">
        <f t="shared" si="67"/>
        <v>5.1577152647554554</v>
      </c>
      <c r="Y52" s="11">
        <f t="shared" si="67"/>
        <v>6.1122254789563257</v>
      </c>
      <c r="Z52" s="11">
        <f t="shared" si="67"/>
        <v>7.209622764401308</v>
      </c>
    </row>
    <row r="53" spans="2:92" x14ac:dyDescent="0.2">
      <c r="B53" s="8" t="s">
        <v>2</v>
      </c>
      <c r="C53" s="8">
        <v>531</v>
      </c>
      <c r="D53" s="8">
        <v>541</v>
      </c>
      <c r="E53" s="8">
        <v>564</v>
      </c>
      <c r="F53" s="8">
        <v>587</v>
      </c>
      <c r="G53" s="8">
        <v>593.48099999999999</v>
      </c>
      <c r="H53" s="8">
        <v>593.48099999999999</v>
      </c>
      <c r="I53" s="8">
        <v>593.48099999999999</v>
      </c>
      <c r="J53" s="8">
        <v>628</v>
      </c>
      <c r="K53" s="8">
        <v>628</v>
      </c>
      <c r="L53" s="8">
        <v>628</v>
      </c>
      <c r="M53" s="8">
        <v>628</v>
      </c>
      <c r="N53" s="8">
        <v>628</v>
      </c>
      <c r="P53" s="8">
        <v>510</v>
      </c>
      <c r="Q53" s="8">
        <v>511</v>
      </c>
      <c r="R53" s="8">
        <v>514</v>
      </c>
      <c r="T53" s="8">
        <v>593.48099999999999</v>
      </c>
      <c r="U53" s="8">
        <f>J53</f>
        <v>628</v>
      </c>
      <c r="V53" s="8">
        <v>628</v>
      </c>
      <c r="W53" s="8">
        <v>628</v>
      </c>
      <c r="X53" s="8">
        <v>628</v>
      </c>
      <c r="Y53" s="8">
        <v>628</v>
      </c>
      <c r="Z53" s="8">
        <v>628</v>
      </c>
      <c r="AA53" s="11"/>
      <c r="AB53" s="11"/>
      <c r="AC53" s="13"/>
      <c r="AD53" s="11"/>
      <c r="AE53" s="11"/>
    </row>
    <row r="55" spans="2:92" ht="15" x14ac:dyDescent="0.25">
      <c r="B55" s="2" t="s">
        <v>23</v>
      </c>
      <c r="G55" s="3">
        <f t="shared" ref="G55:N55" si="68">G39/C39-1</f>
        <v>1.8010001887148519</v>
      </c>
      <c r="H55" s="3">
        <f t="shared" si="68"/>
        <v>0.54929193156702771</v>
      </c>
      <c r="I55" s="3">
        <f t="shared" si="68"/>
        <v>0.19480519480519476</v>
      </c>
      <c r="J55" s="3">
        <f t="shared" si="68"/>
        <v>0.13032666440601348</v>
      </c>
      <c r="K55" s="3">
        <f t="shared" si="68"/>
        <v>0.21273370389085389</v>
      </c>
      <c r="L55" s="3">
        <f t="shared" si="68"/>
        <v>0.30609369496301508</v>
      </c>
      <c r="M55" s="3">
        <f t="shared" si="68"/>
        <v>0.66053913043478274</v>
      </c>
      <c r="N55" s="3">
        <f t="shared" si="68"/>
        <v>0.7823119999999999</v>
      </c>
      <c r="O55" s="13"/>
      <c r="P55" s="13"/>
      <c r="Q55" s="3">
        <f t="shared" ref="Q55:V55" si="69">Q39/P39-1</f>
        <v>6.5313089569670302E-2</v>
      </c>
      <c r="R55" s="3">
        <f t="shared" si="69"/>
        <v>0.46064541519086988</v>
      </c>
      <c r="S55" s="3">
        <f t="shared" si="69"/>
        <v>0.37091279998460358</v>
      </c>
      <c r="T55" s="3">
        <f t="shared" si="69"/>
        <v>1.1042198949939639</v>
      </c>
      <c r="U55" s="3">
        <f t="shared" si="69"/>
        <v>0.48206708830357847</v>
      </c>
      <c r="V55" s="3">
        <f t="shared" si="69"/>
        <v>0.62052667116812965</v>
      </c>
      <c r="W55" s="3">
        <f t="shared" ref="W55:Z55" si="70">W39/V39-1</f>
        <v>0.10000000000000009</v>
      </c>
      <c r="X55" s="3">
        <f t="shared" si="70"/>
        <v>0.10000000000000009</v>
      </c>
      <c r="Y55" s="3">
        <f t="shared" si="70"/>
        <v>0.10000000000000009</v>
      </c>
      <c r="Z55" s="3">
        <f t="shared" si="70"/>
        <v>0.10000000000000009</v>
      </c>
      <c r="AA55" s="3"/>
      <c r="AB55" s="8" t="s">
        <v>40</v>
      </c>
      <c r="AC55" s="13">
        <v>0.06</v>
      </c>
      <c r="AD55" s="3"/>
      <c r="AE55" s="3"/>
    </row>
    <row r="56" spans="2:92" x14ac:dyDescent="0.2">
      <c r="B56" s="8" t="s">
        <v>38</v>
      </c>
      <c r="D56" s="13">
        <f t="shared" ref="D56:N56" si="71">D39/C39-1</f>
        <v>0.72905265144366882</v>
      </c>
      <c r="E56" s="13">
        <f t="shared" si="71"/>
        <v>5.0506152964610251E-2</v>
      </c>
      <c r="F56" s="13">
        <f t="shared" si="71"/>
        <v>0.37875324675324662</v>
      </c>
      <c r="G56" s="13">
        <f t="shared" si="71"/>
        <v>0.11845823442975023</v>
      </c>
      <c r="H56" s="13">
        <f t="shared" si="71"/>
        <v>-4.362472629274039E-2</v>
      </c>
      <c r="I56" s="13">
        <f t="shared" si="71"/>
        <v>-0.18985558295174354</v>
      </c>
      <c r="J56" s="13">
        <f t="shared" si="71"/>
        <v>0.30434782608695654</v>
      </c>
      <c r="K56" s="13">
        <f t="shared" si="71"/>
        <v>0.19999999999999996</v>
      </c>
      <c r="L56" s="13">
        <f t="shared" si="71"/>
        <v>3.0000000000000027E-2</v>
      </c>
      <c r="M56" s="13">
        <f t="shared" si="71"/>
        <v>3.0000000000000027E-2</v>
      </c>
      <c r="N56" s="13">
        <f t="shared" si="71"/>
        <v>0.39999999999999991</v>
      </c>
      <c r="O56" s="13"/>
      <c r="P56" s="13"/>
      <c r="Q56" s="13"/>
      <c r="AB56" s="8" t="s">
        <v>12</v>
      </c>
      <c r="AC56" s="13">
        <v>0.02</v>
      </c>
    </row>
    <row r="57" spans="2:92" x14ac:dyDescent="0.2">
      <c r="B57" s="8" t="s">
        <v>37</v>
      </c>
      <c r="C57" s="13">
        <f t="shared" ref="C57:I57" si="72">C50/C46</f>
        <v>1.2753330387019382E-2</v>
      </c>
      <c r="D57" s="13">
        <f t="shared" si="72"/>
        <v>-0.16554508748317623</v>
      </c>
      <c r="E57" s="13">
        <f t="shared" si="72"/>
        <v>-5.2868094105207479E-2</v>
      </c>
      <c r="F57" s="13">
        <f t="shared" si="72"/>
        <v>2.9129041654529552E-3</v>
      </c>
      <c r="G57" s="13">
        <f t="shared" si="72"/>
        <v>0.14670070699135909</v>
      </c>
      <c r="H57" s="13">
        <f t="shared" si="72"/>
        <v>0.15428416485900201</v>
      </c>
      <c r="I57" s="13">
        <f t="shared" si="72"/>
        <v>3.9322033898305082E-2</v>
      </c>
      <c r="J57" s="13">
        <v>0.15</v>
      </c>
      <c r="K57" s="13">
        <v>0.15</v>
      </c>
      <c r="L57" s="13">
        <v>0.15</v>
      </c>
      <c r="M57" s="13">
        <v>0.15</v>
      </c>
      <c r="N57" s="13">
        <v>0.15</v>
      </c>
      <c r="O57" s="13"/>
      <c r="P57" s="13">
        <f t="shared" ref="P57:U57" si="73">P50/P46</f>
        <v>3.3878504672897096E-2</v>
      </c>
      <c r="Q57" s="13">
        <f t="shared" si="73"/>
        <v>5.5690072639225194E-2</v>
      </c>
      <c r="R57" s="13">
        <f t="shared" si="73"/>
        <v>0.15781622911694509</v>
      </c>
      <c r="S57" s="13">
        <f t="shared" si="73"/>
        <v>0.14528926488361094</v>
      </c>
      <c r="T57" s="13">
        <f t="shared" si="73"/>
        <v>5.2275167230985152E-2</v>
      </c>
      <c r="U57" s="13">
        <f t="shared" si="73"/>
        <v>0.13781142734074631</v>
      </c>
      <c r="V57" s="13">
        <v>0.19</v>
      </c>
      <c r="W57" s="13">
        <v>0.19</v>
      </c>
      <c r="X57" s="13">
        <v>0.19</v>
      </c>
      <c r="Y57" s="13">
        <v>0.19</v>
      </c>
      <c r="Z57" s="13">
        <v>0.19</v>
      </c>
      <c r="AA57" s="13"/>
      <c r="AB57" s="8" t="s">
        <v>10</v>
      </c>
      <c r="AC57" s="14">
        <v>9.5000000000000001E-2</v>
      </c>
      <c r="AD57" s="13"/>
      <c r="AE57" s="13"/>
    </row>
    <row r="58" spans="2:92" ht="15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2" t="s">
        <v>13</v>
      </c>
      <c r="AC58" s="2">
        <f>NPV(AC57,V51:CN51)+main!F16-main!F17</f>
        <v>49953.725677257084</v>
      </c>
      <c r="AD58" s="13"/>
      <c r="AE58" s="13"/>
    </row>
    <row r="59" spans="2:92" ht="15" x14ac:dyDescent="0.25">
      <c r="B59" s="2" t="s">
        <v>9</v>
      </c>
      <c r="C59" s="3">
        <f t="shared" ref="C59:I59" si="74">C41/C39</f>
        <v>0.83317607095678436</v>
      </c>
      <c r="D59" s="3">
        <f t="shared" si="74"/>
        <v>0.15397418756309864</v>
      </c>
      <c r="E59" s="3">
        <f t="shared" si="74"/>
        <v>0.15514285714285719</v>
      </c>
      <c r="F59" s="3">
        <f t="shared" si="74"/>
        <v>0.11233563166421766</v>
      </c>
      <c r="G59" s="3">
        <f t="shared" si="74"/>
        <v>0.13060468249957885</v>
      </c>
      <c r="H59" s="3">
        <f t="shared" si="74"/>
        <v>0.11801690736174716</v>
      </c>
      <c r="I59" s="3">
        <f t="shared" si="74"/>
        <v>9.5869565217391303E-2</v>
      </c>
      <c r="J59" s="3">
        <v>0.12</v>
      </c>
      <c r="K59" s="3">
        <v>0.12</v>
      </c>
      <c r="L59" s="3">
        <v>0.12</v>
      </c>
      <c r="M59" s="3">
        <v>0.12</v>
      </c>
      <c r="N59" s="3">
        <v>0.12</v>
      </c>
      <c r="O59" s="3"/>
      <c r="P59" s="17">
        <f t="shared" ref="P59:U59" si="75">P41/P39</f>
        <v>0.1575779354954632</v>
      </c>
      <c r="Q59" s="17">
        <f t="shared" si="75"/>
        <v>0.15025018271771517</v>
      </c>
      <c r="R59" s="17">
        <f t="shared" si="75"/>
        <v>0.15396162506495256</v>
      </c>
      <c r="S59" s="17">
        <f t="shared" si="75"/>
        <v>0.18011062133250977</v>
      </c>
      <c r="T59" s="17">
        <f t="shared" si="75"/>
        <v>0.13752568515998195</v>
      </c>
      <c r="U59" s="17">
        <f t="shared" si="75"/>
        <v>0.11733063245554805</v>
      </c>
      <c r="V59" s="17">
        <v>0.12</v>
      </c>
      <c r="W59" s="17">
        <v>0.13</v>
      </c>
      <c r="X59" s="17">
        <v>0.14000000000000001</v>
      </c>
      <c r="Y59" s="17">
        <f>X59*1.02</f>
        <v>0.14280000000000001</v>
      </c>
      <c r="Z59" s="17">
        <f>Y59*1.02</f>
        <v>0.14565600000000001</v>
      </c>
      <c r="AA59" s="17"/>
      <c r="AB59" s="8" t="s">
        <v>1</v>
      </c>
      <c r="AC59" s="15">
        <f>AC58/main!F14</f>
        <v>83.699818500145909</v>
      </c>
      <c r="AD59" s="17"/>
      <c r="AE59" s="17"/>
    </row>
    <row r="60" spans="2:92" x14ac:dyDescent="0.2">
      <c r="B60" s="8" t="s">
        <v>33</v>
      </c>
      <c r="C60" s="13" t="e">
        <f>#REF!/C39</f>
        <v>#REF!</v>
      </c>
      <c r="D60" s="13" t="e">
        <f>#REF!/D39</f>
        <v>#REF!</v>
      </c>
      <c r="E60" s="13" t="e">
        <f>#REF!/E39</f>
        <v>#REF!</v>
      </c>
      <c r="F60" s="13" t="e">
        <f>#REF!/F39</f>
        <v>#REF!</v>
      </c>
      <c r="G60" s="13" t="e">
        <f>#REF!/G39</f>
        <v>#REF!</v>
      </c>
      <c r="H60" s="13" t="e">
        <f>#REF!/H39</f>
        <v>#REF!</v>
      </c>
      <c r="I60" s="13" t="e">
        <f>#REF!/I39</f>
        <v>#REF!</v>
      </c>
      <c r="J60" s="13">
        <v>6.2E-2</v>
      </c>
      <c r="K60" s="13">
        <v>6.2E-2</v>
      </c>
      <c r="L60" s="13">
        <v>6.5000000000000002E-2</v>
      </c>
      <c r="M60" s="13">
        <v>6.5000000000000002E-2</v>
      </c>
      <c r="N60" s="13">
        <v>6.5000000000000002E-2</v>
      </c>
      <c r="O60" s="13"/>
      <c r="P60" s="13">
        <f>P108/P39</f>
        <v>0</v>
      </c>
      <c r="Q60" s="13">
        <f t="shared" ref="Q60:Z60" si="76">Q108/Q39</f>
        <v>0</v>
      </c>
      <c r="R60" s="13">
        <f t="shared" si="76"/>
        <v>-9.3493196820692417E-2</v>
      </c>
      <c r="S60" s="13">
        <f t="shared" si="76"/>
        <v>8.7977651121655398E-2</v>
      </c>
      <c r="T60" s="13">
        <f t="shared" si="76"/>
        <v>-0.17412937314866705</v>
      </c>
      <c r="U60" s="13">
        <f t="shared" si="76"/>
        <v>5.8183526896241282E-2</v>
      </c>
      <c r="V60" s="13">
        <f t="shared" si="76"/>
        <v>7.002318884668686E-2</v>
      </c>
      <c r="W60" s="13">
        <f t="shared" si="76"/>
        <v>8.093890186624482E-2</v>
      </c>
      <c r="X60" s="13">
        <f t="shared" si="76"/>
        <v>9.2194043503273454E-2</v>
      </c>
      <c r="Y60" s="13">
        <f t="shared" si="76"/>
        <v>9.7944270898955549E-2</v>
      </c>
      <c r="Z60" s="13">
        <f t="shared" si="76"/>
        <v>0.10373694093479462</v>
      </c>
      <c r="AA60" s="13"/>
      <c r="AB60" s="8" t="s">
        <v>14</v>
      </c>
      <c r="AC60" s="13">
        <f>AC59/main!F13-1</f>
        <v>0.85999596666990907</v>
      </c>
      <c r="AD60" s="13"/>
      <c r="AE60" s="13"/>
    </row>
    <row r="61" spans="2:92" x14ac:dyDescent="0.2">
      <c r="B61" s="8" t="s">
        <v>49</v>
      </c>
      <c r="C61" s="13">
        <f t="shared" ref="C61:N61" si="77">C45/C39</f>
        <v>8.5912436308737503E-2</v>
      </c>
      <c r="D61" s="13">
        <f t="shared" si="77"/>
        <v>5.2607165270539442E-2</v>
      </c>
      <c r="E61" s="13">
        <f t="shared" si="77"/>
        <v>5.6883116883116883E-2</v>
      </c>
      <c r="F61" s="13">
        <f t="shared" si="77"/>
        <v>4.7662107682453568E-2</v>
      </c>
      <c r="G61" s="13">
        <f t="shared" si="77"/>
        <v>4.4837459996631295E-2</v>
      </c>
      <c r="H61" s="13">
        <f t="shared" si="77"/>
        <v>5.3064459316660796E-2</v>
      </c>
      <c r="I61" s="13">
        <f t="shared" si="77"/>
        <v>6.380434782608696E-2</v>
      </c>
      <c r="J61" s="13">
        <f t="shared" si="77"/>
        <v>6.380434782608696E-2</v>
      </c>
      <c r="K61" s="13">
        <f t="shared" si="77"/>
        <v>5.8197282608695652E-2</v>
      </c>
      <c r="L61" s="13">
        <f t="shared" si="77"/>
        <v>5.7618525749261289E-2</v>
      </c>
      <c r="M61" s="13">
        <f t="shared" si="77"/>
        <v>5.7051006887097494E-2</v>
      </c>
      <c r="N61" s="13">
        <f t="shared" si="77"/>
        <v>4.9067232608300461E-2</v>
      </c>
      <c r="O61" s="13"/>
      <c r="P61" s="14">
        <f t="shared" ref="P61:Z61" si="78">P45/P39</f>
        <v>0.13194382056119547</v>
      </c>
      <c r="Q61" s="14">
        <f t="shared" si="78"/>
        <v>0.11542137516163491</v>
      </c>
      <c r="R61" s="14">
        <f t="shared" si="78"/>
        <v>8.9451704162737428E-2</v>
      </c>
      <c r="S61" s="14">
        <f t="shared" si="78"/>
        <v>7.3245921891231719E-2</v>
      </c>
      <c r="T61" s="14">
        <f t="shared" si="78"/>
        <v>5.6740853414458406E-2</v>
      </c>
      <c r="U61" s="14">
        <f t="shared" si="78"/>
        <v>5.5990370783548134E-2</v>
      </c>
      <c r="V61" s="14">
        <f t="shared" si="78"/>
        <v>5.5990370783548127E-2</v>
      </c>
      <c r="W61" s="14">
        <f t="shared" si="78"/>
        <v>5.5990370783548141E-2</v>
      </c>
      <c r="X61" s="14">
        <f t="shared" si="78"/>
        <v>5.5990370783548134E-2</v>
      </c>
      <c r="Y61" s="14">
        <f t="shared" si="78"/>
        <v>5.5990370783548134E-2</v>
      </c>
      <c r="Z61" s="14">
        <f t="shared" si="78"/>
        <v>5.5990370783548134E-2</v>
      </c>
      <c r="AA61" s="14"/>
      <c r="AB61" s="14"/>
      <c r="AC61" s="14"/>
      <c r="AD61" s="14"/>
      <c r="AE61" s="14"/>
    </row>
    <row r="62" spans="2:9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2:92" x14ac:dyDescent="0.2">
      <c r="B63" s="8" t="s">
        <v>41</v>
      </c>
      <c r="G63" s="13"/>
      <c r="I63" s="8">
        <f>I64-(SUM(I78:I80))</f>
        <v>-81.800000000000182</v>
      </c>
      <c r="J63" s="8">
        <f>I63+J51</f>
        <v>203.75487608695636</v>
      </c>
      <c r="K63" s="8">
        <f t="shared" ref="K63:N63" si="79">J63+K51</f>
        <v>584.58538119184777</v>
      </c>
      <c r="L63" s="8">
        <f t="shared" si="79"/>
        <v>985.26670588900038</v>
      </c>
      <c r="M63" s="8">
        <f t="shared" si="79"/>
        <v>1406.5382875651717</v>
      </c>
      <c r="N63" s="8">
        <f t="shared" si="79"/>
        <v>2069.2356955603445</v>
      </c>
      <c r="R63" s="13"/>
      <c r="S63" s="8">
        <f>S64-(SUM(S78:S80))</f>
        <v>282.25900000000001</v>
      </c>
      <c r="T63" s="8">
        <f>T64-(SUM(T78:T80))</f>
        <v>-172.20000000000005</v>
      </c>
      <c r="U63" s="8">
        <f>J63</f>
        <v>203.75487608695636</v>
      </c>
      <c r="V63" s="8">
        <f>U63+V51</f>
        <v>2082.5009566039103</v>
      </c>
      <c r="W63" s="8">
        <f>V63+W51</f>
        <v>4581.3838807470547</v>
      </c>
      <c r="X63" s="8">
        <f>W63+X51</f>
        <v>7820.4290670134806</v>
      </c>
      <c r="Y63" s="8">
        <f>X63+Y51</f>
        <v>11658.906667798054</v>
      </c>
      <c r="Z63" s="8">
        <f>Y63+Z51</f>
        <v>16186.549763842075</v>
      </c>
    </row>
    <row r="64" spans="2:92" x14ac:dyDescent="0.2">
      <c r="B64" s="8" t="s">
        <v>4</v>
      </c>
      <c r="I64" s="8">
        <v>2536.1</v>
      </c>
      <c r="S64" s="8">
        <v>440.459</v>
      </c>
      <c r="T64" s="8">
        <v>1669.8</v>
      </c>
      <c r="U64" s="8">
        <f>J64</f>
        <v>0</v>
      </c>
    </row>
    <row r="65" spans="2:26" x14ac:dyDescent="0.2">
      <c r="B65" s="8" t="s">
        <v>50</v>
      </c>
      <c r="I65" s="8">
        <v>2642.5</v>
      </c>
      <c r="S65" s="8">
        <v>1148.3</v>
      </c>
      <c r="T65" s="8">
        <v>2737.3</v>
      </c>
      <c r="U65" s="8">
        <f t="shared" ref="U65:U70" si="80">J65</f>
        <v>0</v>
      </c>
    </row>
    <row r="66" spans="2:26" x14ac:dyDescent="0.2">
      <c r="B66" s="8" t="s">
        <v>51</v>
      </c>
      <c r="I66" s="8">
        <v>3870.2</v>
      </c>
      <c r="S66" s="8">
        <v>1445.6</v>
      </c>
      <c r="T66" s="8">
        <v>4333</v>
      </c>
      <c r="U66" s="8">
        <f t="shared" si="80"/>
        <v>0</v>
      </c>
    </row>
    <row r="67" spans="2:26" x14ac:dyDescent="0.2">
      <c r="B67" s="27" t="s">
        <v>121</v>
      </c>
      <c r="I67" s="8">
        <v>464.7</v>
      </c>
      <c r="S67" s="8">
        <v>145.1</v>
      </c>
      <c r="T67" s="8">
        <v>191.8</v>
      </c>
      <c r="U67" s="8">
        <f t="shared" si="80"/>
        <v>0</v>
      </c>
    </row>
    <row r="68" spans="2:26" x14ac:dyDescent="0.2">
      <c r="B68" s="8" t="s">
        <v>52</v>
      </c>
      <c r="I68" s="8">
        <v>492.6</v>
      </c>
      <c r="S68" s="8">
        <v>290.2</v>
      </c>
      <c r="T68" s="8">
        <v>414.1</v>
      </c>
      <c r="U68" s="8">
        <f t="shared" si="80"/>
        <v>0</v>
      </c>
    </row>
    <row r="69" spans="2:26" x14ac:dyDescent="0.2">
      <c r="B69" s="27" t="s">
        <v>119</v>
      </c>
      <c r="I69" s="8">
        <v>481.2</v>
      </c>
      <c r="S69" s="8">
        <v>162.6</v>
      </c>
      <c r="T69" s="8">
        <v>365.2</v>
      </c>
      <c r="U69" s="8">
        <f t="shared" si="80"/>
        <v>0</v>
      </c>
    </row>
    <row r="70" spans="2:26" x14ac:dyDescent="0.2">
      <c r="B70" s="8" t="s">
        <v>53</v>
      </c>
      <c r="I70" s="8">
        <v>251.2</v>
      </c>
      <c r="S70" s="8">
        <v>42.4</v>
      </c>
      <c r="T70" s="8">
        <v>114.95</v>
      </c>
      <c r="U70" s="8">
        <f t="shared" si="80"/>
        <v>0</v>
      </c>
    </row>
    <row r="71" spans="2:26" x14ac:dyDescent="0.2">
      <c r="B71" s="8" t="s">
        <v>54</v>
      </c>
      <c r="C71" s="8">
        <f>SUM(C64:C70)</f>
        <v>0</v>
      </c>
      <c r="D71" s="8">
        <f t="shared" ref="D71:P71" si="81">SUM(D64:D70)</f>
        <v>0</v>
      </c>
      <c r="E71" s="8">
        <f t="shared" si="81"/>
        <v>0</v>
      </c>
      <c r="F71" s="8">
        <f t="shared" si="81"/>
        <v>0</v>
      </c>
      <c r="G71" s="8">
        <f t="shared" si="81"/>
        <v>0</v>
      </c>
      <c r="H71" s="8">
        <f t="shared" si="81"/>
        <v>0</v>
      </c>
      <c r="I71" s="8">
        <f t="shared" si="81"/>
        <v>10738.500000000002</v>
      </c>
      <c r="J71" s="8">
        <f t="shared" si="81"/>
        <v>0</v>
      </c>
      <c r="K71" s="8">
        <f t="shared" si="81"/>
        <v>0</v>
      </c>
      <c r="L71" s="8">
        <f t="shared" si="81"/>
        <v>0</v>
      </c>
      <c r="M71" s="8">
        <f t="shared" si="81"/>
        <v>0</v>
      </c>
      <c r="N71" s="8">
        <f t="shared" si="81"/>
        <v>0</v>
      </c>
      <c r="P71" s="8">
        <f t="shared" si="81"/>
        <v>0</v>
      </c>
      <c r="Q71" s="8">
        <f t="shared" ref="Q71" si="82">SUM(Q64:Q70)</f>
        <v>0</v>
      </c>
      <c r="R71" s="8">
        <f t="shared" ref="R71" si="83">SUM(R64:R70)</f>
        <v>0</v>
      </c>
      <c r="S71" s="8">
        <f t="shared" ref="S71" si="84">SUM(S64:S70)</f>
        <v>3674.6589999999997</v>
      </c>
      <c r="T71" s="8">
        <f t="shared" ref="T71" si="85">SUM(T64:T70)</f>
        <v>9826.1500000000015</v>
      </c>
      <c r="U71" s="8">
        <f t="shared" ref="U71" si="86">SUM(U64:U70)</f>
        <v>0</v>
      </c>
      <c r="V71" s="8">
        <f t="shared" ref="V71" si="87">SUM(V64:V70)</f>
        <v>0</v>
      </c>
      <c r="W71" s="8">
        <f t="shared" ref="W71" si="88">SUM(W64:W70)</f>
        <v>0</v>
      </c>
      <c r="X71" s="8">
        <f t="shared" ref="X71" si="89">SUM(X64:X70)</f>
        <v>0</v>
      </c>
      <c r="Y71" s="8">
        <f t="shared" ref="Y71" si="90">SUM(Y64:Y70)</f>
        <v>0</v>
      </c>
      <c r="Z71" s="8">
        <f t="shared" ref="Z71" si="91">SUM(Z64:Z70)</f>
        <v>0</v>
      </c>
    </row>
    <row r="73" spans="2:26" x14ac:dyDescent="0.2">
      <c r="B73" s="8" t="s">
        <v>55</v>
      </c>
      <c r="I73" s="8">
        <v>643.1</v>
      </c>
      <c r="S73" s="8">
        <v>776.9</v>
      </c>
      <c r="T73" s="8">
        <v>1472.4</v>
      </c>
      <c r="U73" s="8">
        <f t="shared" ref="U73:U80" si="92">J73</f>
        <v>0</v>
      </c>
    </row>
    <row r="74" spans="2:26" x14ac:dyDescent="0.2">
      <c r="B74" s="8" t="s">
        <v>56</v>
      </c>
      <c r="I74" s="8">
        <v>344.7</v>
      </c>
      <c r="S74" s="8">
        <v>163.9</v>
      </c>
      <c r="T74" s="8">
        <v>259.7</v>
      </c>
      <c r="U74" s="8">
        <f t="shared" si="92"/>
        <v>0</v>
      </c>
    </row>
    <row r="75" spans="2:26" x14ac:dyDescent="0.2">
      <c r="B75" s="27" t="s">
        <v>117</v>
      </c>
      <c r="I75" s="8">
        <v>23.6</v>
      </c>
      <c r="S75" s="8">
        <v>129.19999999999999</v>
      </c>
      <c r="T75" s="8">
        <v>18.3</v>
      </c>
      <c r="U75" s="8">
        <f t="shared" si="92"/>
        <v>0</v>
      </c>
    </row>
    <row r="76" spans="2:26" x14ac:dyDescent="0.2">
      <c r="B76" s="8" t="s">
        <v>57</v>
      </c>
      <c r="I76" s="8">
        <v>63.97</v>
      </c>
      <c r="S76" s="8">
        <v>170.12</v>
      </c>
      <c r="T76" s="8">
        <v>402.4</v>
      </c>
      <c r="U76" s="8">
        <f t="shared" si="92"/>
        <v>0</v>
      </c>
    </row>
    <row r="77" spans="2:26" x14ac:dyDescent="0.2">
      <c r="B77" s="27" t="s">
        <v>120</v>
      </c>
      <c r="I77" s="8">
        <v>352.8</v>
      </c>
      <c r="S77" s="8">
        <f>135+170</f>
        <v>305</v>
      </c>
      <c r="T77" s="8">
        <f>193+223</f>
        <v>416</v>
      </c>
      <c r="U77" s="8">
        <f t="shared" si="92"/>
        <v>0</v>
      </c>
    </row>
    <row r="78" spans="2:26" x14ac:dyDescent="0.2">
      <c r="B78" s="8" t="s">
        <v>58</v>
      </c>
      <c r="I78" s="8">
        <v>43</v>
      </c>
      <c r="S78" s="8">
        <v>120.2</v>
      </c>
      <c r="T78" s="8">
        <v>74</v>
      </c>
      <c r="U78" s="8">
        <f t="shared" si="92"/>
        <v>0</v>
      </c>
    </row>
    <row r="79" spans="2:26" x14ac:dyDescent="0.2">
      <c r="B79" s="8" t="s">
        <v>59</v>
      </c>
      <c r="I79" s="8">
        <v>2385.3000000000002</v>
      </c>
      <c r="S79" s="8">
        <v>0</v>
      </c>
      <c r="T79" s="8">
        <v>1700</v>
      </c>
      <c r="U79" s="8">
        <f t="shared" si="92"/>
        <v>0</v>
      </c>
    </row>
    <row r="80" spans="2:26" x14ac:dyDescent="0.2">
      <c r="B80" s="27" t="s">
        <v>118</v>
      </c>
      <c r="I80" s="8">
        <v>189.6</v>
      </c>
      <c r="S80" s="8">
        <v>38</v>
      </c>
      <c r="T80" s="8">
        <v>68</v>
      </c>
      <c r="U80" s="8">
        <f t="shared" si="92"/>
        <v>0</v>
      </c>
    </row>
    <row r="81" spans="2:26" x14ac:dyDescent="0.2">
      <c r="B81" s="8" t="s">
        <v>60</v>
      </c>
      <c r="C81" s="8">
        <f t="shared" ref="C81:N81" si="93">SUM(C73:C80)</f>
        <v>0</v>
      </c>
      <c r="D81" s="8">
        <f t="shared" si="93"/>
        <v>0</v>
      </c>
      <c r="E81" s="8">
        <f t="shared" si="93"/>
        <v>0</v>
      </c>
      <c r="F81" s="8">
        <f t="shared" si="93"/>
        <v>0</v>
      </c>
      <c r="G81" s="8">
        <f t="shared" si="93"/>
        <v>0</v>
      </c>
      <c r="H81" s="8">
        <f t="shared" si="93"/>
        <v>0</v>
      </c>
      <c r="I81" s="8">
        <f t="shared" si="93"/>
        <v>4046.07</v>
      </c>
      <c r="J81" s="8">
        <f t="shared" si="93"/>
        <v>0</v>
      </c>
      <c r="K81" s="8">
        <f t="shared" si="93"/>
        <v>0</v>
      </c>
      <c r="L81" s="8">
        <f t="shared" si="93"/>
        <v>0</v>
      </c>
      <c r="M81" s="8">
        <f t="shared" si="93"/>
        <v>0</v>
      </c>
      <c r="N81" s="8">
        <f t="shared" si="93"/>
        <v>0</v>
      </c>
      <c r="P81" s="8">
        <f t="shared" ref="P81:Z81" si="94">SUM(P73:P80)</f>
        <v>0</v>
      </c>
      <c r="Q81" s="8">
        <f t="shared" si="94"/>
        <v>0</v>
      </c>
      <c r="R81" s="8">
        <f t="shared" si="94"/>
        <v>0</v>
      </c>
      <c r="S81" s="8">
        <f t="shared" si="94"/>
        <v>1703.32</v>
      </c>
      <c r="T81" s="8">
        <f t="shared" si="94"/>
        <v>4410.8</v>
      </c>
      <c r="U81" s="8">
        <f t="shared" si="94"/>
        <v>0</v>
      </c>
      <c r="V81" s="8">
        <f t="shared" si="94"/>
        <v>0</v>
      </c>
      <c r="W81" s="8">
        <f t="shared" si="94"/>
        <v>0</v>
      </c>
      <c r="X81" s="8">
        <f t="shared" si="94"/>
        <v>0</v>
      </c>
      <c r="Y81" s="8">
        <f t="shared" si="94"/>
        <v>0</v>
      </c>
      <c r="Z81" s="8">
        <f t="shared" si="94"/>
        <v>0</v>
      </c>
    </row>
    <row r="82" spans="2:26" x14ac:dyDescent="0.2">
      <c r="B82" s="8" t="s">
        <v>61</v>
      </c>
      <c r="C82" s="8">
        <f t="shared" ref="C82:N82" si="95">C71-C81</f>
        <v>0</v>
      </c>
      <c r="D82" s="8">
        <f t="shared" si="95"/>
        <v>0</v>
      </c>
      <c r="E82" s="8">
        <f t="shared" si="95"/>
        <v>0</v>
      </c>
      <c r="F82" s="8">
        <f t="shared" si="95"/>
        <v>0</v>
      </c>
      <c r="G82" s="8">
        <f t="shared" si="95"/>
        <v>0</v>
      </c>
      <c r="H82" s="8">
        <f t="shared" si="95"/>
        <v>0</v>
      </c>
      <c r="I82" s="8">
        <f t="shared" si="95"/>
        <v>6692.4300000000021</v>
      </c>
      <c r="J82" s="8">
        <f t="shared" si="95"/>
        <v>0</v>
      </c>
      <c r="K82" s="8">
        <f t="shared" si="95"/>
        <v>0</v>
      </c>
      <c r="L82" s="8">
        <f t="shared" si="95"/>
        <v>0</v>
      </c>
      <c r="M82" s="8">
        <f t="shared" si="95"/>
        <v>0</v>
      </c>
      <c r="N82" s="8">
        <f t="shared" si="95"/>
        <v>0</v>
      </c>
      <c r="P82" s="8">
        <f t="shared" ref="P82:Z82" si="96">P71-P81</f>
        <v>0</v>
      </c>
      <c r="Q82" s="8">
        <f t="shared" si="96"/>
        <v>0</v>
      </c>
      <c r="R82" s="8">
        <f t="shared" si="96"/>
        <v>0</v>
      </c>
      <c r="S82" s="8">
        <f t="shared" si="96"/>
        <v>1971.3389999999997</v>
      </c>
      <c r="T82" s="8">
        <f t="shared" si="96"/>
        <v>5415.3500000000013</v>
      </c>
      <c r="U82" s="8">
        <f t="shared" si="96"/>
        <v>0</v>
      </c>
      <c r="V82" s="8">
        <f t="shared" si="96"/>
        <v>0</v>
      </c>
      <c r="W82" s="8">
        <f t="shared" si="96"/>
        <v>0</v>
      </c>
      <c r="X82" s="8">
        <f t="shared" si="96"/>
        <v>0</v>
      </c>
      <c r="Y82" s="8">
        <f t="shared" si="96"/>
        <v>0</v>
      </c>
      <c r="Z82" s="8">
        <f t="shared" si="96"/>
        <v>0</v>
      </c>
    </row>
    <row r="83" spans="2:26" x14ac:dyDescent="0.2">
      <c r="B83" s="8" t="s">
        <v>62</v>
      </c>
      <c r="C83" s="8">
        <f>C81+C82</f>
        <v>0</v>
      </c>
      <c r="D83" s="8">
        <f t="shared" ref="D83:P83" si="97">D81+D82</f>
        <v>0</v>
      </c>
      <c r="E83" s="8">
        <f t="shared" si="97"/>
        <v>0</v>
      </c>
      <c r="F83" s="8">
        <f t="shared" si="97"/>
        <v>0</v>
      </c>
      <c r="G83" s="8">
        <f t="shared" si="97"/>
        <v>0</v>
      </c>
      <c r="H83" s="8">
        <f t="shared" si="97"/>
        <v>0</v>
      </c>
      <c r="I83" s="8">
        <f t="shared" si="97"/>
        <v>10738.500000000002</v>
      </c>
      <c r="J83" s="8">
        <f t="shared" si="97"/>
        <v>0</v>
      </c>
      <c r="K83" s="8">
        <f t="shared" si="97"/>
        <v>0</v>
      </c>
      <c r="L83" s="8">
        <f t="shared" si="97"/>
        <v>0</v>
      </c>
      <c r="M83" s="8">
        <f t="shared" si="97"/>
        <v>0</v>
      </c>
      <c r="N83" s="8">
        <f t="shared" si="97"/>
        <v>0</v>
      </c>
      <c r="P83" s="8">
        <f t="shared" si="97"/>
        <v>0</v>
      </c>
      <c r="Q83" s="8">
        <f t="shared" ref="Q83" si="98">Q81+Q82</f>
        <v>0</v>
      </c>
      <c r="R83" s="8">
        <f t="shared" ref="R83" si="99">R81+R82</f>
        <v>0</v>
      </c>
      <c r="S83" s="8">
        <f t="shared" ref="S83" si="100">S81+S82</f>
        <v>3674.6589999999997</v>
      </c>
      <c r="T83" s="8">
        <f t="shared" ref="T83" si="101">T81+T82</f>
        <v>9826.1500000000015</v>
      </c>
      <c r="U83" s="8">
        <f t="shared" ref="U83" si="102">U81+U82</f>
        <v>0</v>
      </c>
      <c r="V83" s="8">
        <f t="shared" ref="V83" si="103">V81+V82</f>
        <v>0</v>
      </c>
      <c r="W83" s="8">
        <f t="shared" ref="W83" si="104">W81+W82</f>
        <v>0</v>
      </c>
      <c r="X83" s="8">
        <f t="shared" ref="X83" si="105">X81+X82</f>
        <v>0</v>
      </c>
      <c r="Y83" s="8">
        <f t="shared" ref="Y83" si="106">Y81+Y82</f>
        <v>0</v>
      </c>
      <c r="Z83" s="8">
        <f t="shared" ref="Z83" si="107">Z81+Z82</f>
        <v>0</v>
      </c>
    </row>
    <row r="85" spans="2:26" x14ac:dyDescent="0.2">
      <c r="B85" s="8" t="s">
        <v>63</v>
      </c>
      <c r="C85" s="8">
        <f t="shared" ref="C85:N85" si="108">C65/C39*90</f>
        <v>0</v>
      </c>
      <c r="D85" s="8">
        <f t="shared" si="108"/>
        <v>0</v>
      </c>
      <c r="E85" s="8">
        <f t="shared" si="108"/>
        <v>0</v>
      </c>
      <c r="F85" s="8">
        <f t="shared" si="108"/>
        <v>0</v>
      </c>
      <c r="G85" s="8">
        <f t="shared" si="108"/>
        <v>0</v>
      </c>
      <c r="H85" s="8">
        <f t="shared" si="108"/>
        <v>0</v>
      </c>
      <c r="I85" s="8">
        <f t="shared" si="108"/>
        <v>51.701086956521735</v>
      </c>
      <c r="J85" s="8">
        <f t="shared" si="108"/>
        <v>0</v>
      </c>
      <c r="K85" s="8">
        <f t="shared" si="108"/>
        <v>0</v>
      </c>
      <c r="L85" s="8">
        <f t="shared" si="108"/>
        <v>0</v>
      </c>
      <c r="M85" s="8">
        <f t="shared" si="108"/>
        <v>0</v>
      </c>
      <c r="N85" s="8">
        <f t="shared" si="108"/>
        <v>0</v>
      </c>
      <c r="P85" s="8">
        <f t="shared" ref="P85:Z85" si="109">P65/P39*360</f>
        <v>0</v>
      </c>
      <c r="Q85" s="8">
        <f t="shared" si="109"/>
        <v>0</v>
      </c>
      <c r="R85" s="8">
        <f t="shared" si="109"/>
        <v>0</v>
      </c>
      <c r="S85" s="8">
        <f t="shared" si="109"/>
        <v>58.032400258303625</v>
      </c>
      <c r="T85" s="8">
        <f t="shared" si="109"/>
        <v>65.742534624929945</v>
      </c>
      <c r="U85" s="8">
        <f t="shared" si="109"/>
        <v>0</v>
      </c>
      <c r="V85" s="8">
        <f t="shared" si="109"/>
        <v>0</v>
      </c>
      <c r="W85" s="8">
        <f t="shared" si="109"/>
        <v>0</v>
      </c>
      <c r="X85" s="8">
        <f t="shared" si="109"/>
        <v>0</v>
      </c>
      <c r="Y85" s="8">
        <f t="shared" si="109"/>
        <v>0</v>
      </c>
      <c r="Z85" s="8">
        <f t="shared" si="109"/>
        <v>0</v>
      </c>
    </row>
    <row r="87" spans="2:26" x14ac:dyDescent="0.2">
      <c r="B87" s="8" t="s">
        <v>64</v>
      </c>
      <c r="C87" s="8">
        <f t="shared" ref="C87:N87" si="110">C51</f>
        <v>1568.5</v>
      </c>
      <c r="D87" s="8">
        <f t="shared" si="110"/>
        <v>417.00000000000017</v>
      </c>
      <c r="E87" s="8">
        <f t="shared" si="110"/>
        <v>402.00000000000017</v>
      </c>
      <c r="F87" s="8">
        <f t="shared" si="110"/>
        <v>353.20000000000016</v>
      </c>
      <c r="G87" s="8">
        <f t="shared" si="110"/>
        <v>424.39999999999964</v>
      </c>
      <c r="H87" s="8">
        <f t="shared" si="110"/>
        <v>318.30000000000035</v>
      </c>
      <c r="I87" s="8">
        <f t="shared" si="110"/>
        <v>110</v>
      </c>
      <c r="J87" s="8">
        <f t="shared" si="110"/>
        <v>285.55487608695654</v>
      </c>
      <c r="K87" s="8">
        <f t="shared" si="110"/>
        <v>380.83050510489136</v>
      </c>
      <c r="L87" s="8">
        <f t="shared" si="110"/>
        <v>400.6813246971526</v>
      </c>
      <c r="M87" s="8">
        <f t="shared" si="110"/>
        <v>421.27158167617142</v>
      </c>
      <c r="N87" s="8">
        <f t="shared" si="110"/>
        <v>662.69740799517285</v>
      </c>
      <c r="R87" s="8">
        <f t="shared" ref="R87:Z87" si="111">R51</f>
        <v>284.00000000000006</v>
      </c>
      <c r="S87" s="8">
        <f t="shared" si="111"/>
        <v>650.64</v>
      </c>
      <c r="T87" s="8">
        <f t="shared" si="111"/>
        <v>1150.9500000000014</v>
      </c>
      <c r="U87" s="8">
        <f t="shared" si="111"/>
        <v>1138.2548760869565</v>
      </c>
      <c r="V87" s="8">
        <f t="shared" si="111"/>
        <v>1878.746080516954</v>
      </c>
      <c r="W87" s="8">
        <f t="shared" si="111"/>
        <v>2498.8829241431445</v>
      </c>
      <c r="X87" s="8">
        <f t="shared" si="111"/>
        <v>3239.0451862664258</v>
      </c>
      <c r="Y87" s="8">
        <f t="shared" si="111"/>
        <v>3838.4776007845726</v>
      </c>
      <c r="Z87" s="8">
        <f t="shared" si="111"/>
        <v>4527.6430960440211</v>
      </c>
    </row>
    <row r="88" spans="2:26" x14ac:dyDescent="0.2">
      <c r="B88" s="8" t="s">
        <v>65</v>
      </c>
      <c r="G88" s="8">
        <v>424.3</v>
      </c>
      <c r="H88" s="8">
        <v>745</v>
      </c>
      <c r="I88" s="8">
        <v>853.7</v>
      </c>
      <c r="R88" s="8">
        <v>285.2</v>
      </c>
      <c r="S88" s="8">
        <v>640</v>
      </c>
      <c r="T88" s="8">
        <v>1152.7</v>
      </c>
      <c r="U88" s="8">
        <f>SUM(G88:I88,J87)</f>
        <v>2308.5548760869565</v>
      </c>
    </row>
    <row r="89" spans="2:26" x14ac:dyDescent="0.2">
      <c r="B89" s="8" t="s">
        <v>66</v>
      </c>
      <c r="G89" s="8">
        <v>14.1</v>
      </c>
      <c r="H89" s="8">
        <v>29</v>
      </c>
      <c r="I89" s="8">
        <v>39.700000000000003</v>
      </c>
      <c r="J89" s="8">
        <f>I89*(1+J56)</f>
        <v>51.782608695652179</v>
      </c>
      <c r="R89" s="8">
        <v>32.5</v>
      </c>
      <c r="S89" s="8">
        <v>35</v>
      </c>
      <c r="T89" s="8">
        <v>41</v>
      </c>
      <c r="U89" s="8">
        <f>SUM(G89:J89)</f>
        <v>134.5826086956522</v>
      </c>
      <c r="V89" s="8">
        <f>U89*(1+V55)</f>
        <v>218.09470686668823</v>
      </c>
      <c r="W89" s="8">
        <f t="shared" ref="W89:W95" si="112">V89*1.1</f>
        <v>239.90417755335707</v>
      </c>
      <c r="X89" s="8">
        <f t="shared" ref="X89:Z89" si="113">W89*1.1</f>
        <v>263.89459530869283</v>
      </c>
      <c r="Y89" s="8">
        <f t="shared" si="113"/>
        <v>290.28405483956215</v>
      </c>
      <c r="Z89" s="8">
        <f t="shared" si="113"/>
        <v>319.31246032351839</v>
      </c>
    </row>
    <row r="90" spans="2:26" x14ac:dyDescent="0.2">
      <c r="B90" s="27" t="s">
        <v>124</v>
      </c>
      <c r="G90" s="8">
        <v>64</v>
      </c>
      <c r="H90" s="8">
        <v>146</v>
      </c>
      <c r="I90" s="8">
        <v>230.84</v>
      </c>
      <c r="J90" s="8">
        <f>I90*(1+J56)</f>
        <v>301.09565217391304</v>
      </c>
      <c r="R90" s="8">
        <v>32.799999999999997</v>
      </c>
      <c r="S90" s="8">
        <v>54.4</v>
      </c>
      <c r="T90" s="8">
        <v>231.5</v>
      </c>
      <c r="U90" s="8">
        <f t="shared" ref="U90:U106" si="114">SUM(G90:J90)</f>
        <v>741.93565217391301</v>
      </c>
      <c r="V90" s="8">
        <f>U90*(1+V55)</f>
        <v>1202.3265126383465</v>
      </c>
      <c r="W90" s="8">
        <f t="shared" si="112"/>
        <v>1322.5591639021811</v>
      </c>
      <c r="X90" s="8">
        <f t="shared" ref="X90:Z90" si="115">W90*1.1</f>
        <v>1454.8150802923994</v>
      </c>
      <c r="Y90" s="8">
        <f t="shared" si="115"/>
        <v>1600.2965883216395</v>
      </c>
      <c r="Z90" s="8">
        <f t="shared" si="115"/>
        <v>1760.3262471538037</v>
      </c>
    </row>
    <row r="91" spans="2:26" x14ac:dyDescent="0.2">
      <c r="B91" s="8" t="s">
        <v>67</v>
      </c>
      <c r="G91" s="8">
        <v>0</v>
      </c>
      <c r="H91" s="8">
        <v>-2.5</v>
      </c>
      <c r="I91" s="8">
        <v>-2</v>
      </c>
      <c r="J91" s="8">
        <f>I91*(1+J56)</f>
        <v>-2.6086956521739131</v>
      </c>
      <c r="R91" s="8">
        <v>-1.2</v>
      </c>
      <c r="S91" s="8">
        <v>3.6</v>
      </c>
      <c r="T91" s="8">
        <v>-1.8</v>
      </c>
      <c r="U91" s="8">
        <f t="shared" si="114"/>
        <v>-7.1086956521739131</v>
      </c>
      <c r="V91" s="8">
        <f>U91*(1+V55)</f>
        <v>-11.519830901564747</v>
      </c>
      <c r="W91" s="8">
        <f t="shared" si="112"/>
        <v>-12.671813991721223</v>
      </c>
      <c r="X91" s="8">
        <f t="shared" ref="X91:Z91" si="116">W91*1.1</f>
        <v>-13.938995390893346</v>
      </c>
      <c r="Y91" s="8">
        <f t="shared" si="116"/>
        <v>-15.332894929982682</v>
      </c>
      <c r="Z91" s="8">
        <f t="shared" si="116"/>
        <v>-16.86618442298095</v>
      </c>
    </row>
    <row r="92" spans="2:26" x14ac:dyDescent="0.2">
      <c r="B92" s="27" t="s">
        <v>123</v>
      </c>
      <c r="G92" s="8">
        <v>1</v>
      </c>
      <c r="H92" s="8">
        <v>-0.3</v>
      </c>
      <c r="I92" s="8">
        <v>2.7</v>
      </c>
      <c r="J92" s="8">
        <f>I92*(1+J56)</f>
        <v>3.5217391304347827</v>
      </c>
      <c r="R92" s="8">
        <v>-13.7</v>
      </c>
      <c r="S92" s="8">
        <v>-2.6</v>
      </c>
      <c r="T92" s="8">
        <v>-0.5</v>
      </c>
      <c r="U92" s="8">
        <f t="shared" si="114"/>
        <v>6.9217391304347835</v>
      </c>
      <c r="V92" s="8">
        <f>U92*(1+V55)</f>
        <v>11.216862871737664</v>
      </c>
      <c r="W92" s="8">
        <f t="shared" si="112"/>
        <v>12.338549158911432</v>
      </c>
      <c r="X92" s="8">
        <f t="shared" ref="X92:Z92" si="117">W92*1.1</f>
        <v>13.572404074802577</v>
      </c>
      <c r="Y92" s="8">
        <f t="shared" si="117"/>
        <v>14.929644482282836</v>
      </c>
      <c r="Z92" s="8">
        <f t="shared" si="117"/>
        <v>16.422608930511121</v>
      </c>
    </row>
    <row r="93" spans="2:26" x14ac:dyDescent="0.2">
      <c r="B93" s="27" t="s">
        <v>119</v>
      </c>
      <c r="G93" s="8">
        <v>-46.5</v>
      </c>
      <c r="H93" s="8">
        <v>-76</v>
      </c>
      <c r="I93" s="8">
        <v>-134.4</v>
      </c>
      <c r="J93" s="8">
        <f>I93*(1+J56)</f>
        <v>-175.30434782608697</v>
      </c>
      <c r="R93" s="8">
        <v>-6.8</v>
      </c>
      <c r="S93" s="8">
        <v>-93</v>
      </c>
      <c r="T93" s="8">
        <v>-168.5</v>
      </c>
      <c r="U93" s="8">
        <f t="shared" si="114"/>
        <v>-432.20434782608697</v>
      </c>
      <c r="V93" s="8">
        <f>U93*(1+V55)</f>
        <v>-700.39867304700113</v>
      </c>
      <c r="W93" s="8">
        <f t="shared" si="112"/>
        <v>-770.43854035170125</v>
      </c>
      <c r="X93" s="8">
        <f t="shared" ref="X93:Z93" si="118">W93*1.1</f>
        <v>-847.48239438687142</v>
      </c>
      <c r="Y93" s="8">
        <f t="shared" si="118"/>
        <v>-932.23063382555858</v>
      </c>
      <c r="Z93" s="8">
        <f t="shared" si="118"/>
        <v>-1025.4536972081146</v>
      </c>
    </row>
    <row r="94" spans="2:26" x14ac:dyDescent="0.2">
      <c r="B94" s="8" t="s">
        <v>68</v>
      </c>
      <c r="G94" s="8">
        <v>-3.3</v>
      </c>
      <c r="H94" s="8">
        <v>-4</v>
      </c>
      <c r="I94" s="8">
        <v>5.6</v>
      </c>
      <c r="J94" s="8">
        <f>I94*(1+J56)</f>
        <v>7.3043478260869561</v>
      </c>
      <c r="R94" s="8">
        <v>0.4</v>
      </c>
      <c r="S94" s="8">
        <v>-0.7</v>
      </c>
      <c r="T94" s="8">
        <v>12.3</v>
      </c>
      <c r="U94" s="8">
        <f t="shared" si="114"/>
        <v>5.6043478260869559</v>
      </c>
      <c r="V94" s="8">
        <f>U94*(1+V55)</f>
        <v>9.0819951266770396</v>
      </c>
      <c r="W94" s="8">
        <f t="shared" si="112"/>
        <v>9.9901946393447449</v>
      </c>
      <c r="X94" s="8">
        <f t="shared" ref="X94:Z94" si="119">W94*1.1</f>
        <v>10.98921410327922</v>
      </c>
      <c r="Y94" s="8">
        <f t="shared" si="119"/>
        <v>12.088135513607144</v>
      </c>
      <c r="Z94" s="8">
        <f t="shared" si="119"/>
        <v>13.29694906496786</v>
      </c>
    </row>
    <row r="95" spans="2:26" x14ac:dyDescent="0.2">
      <c r="B95" s="8" t="s">
        <v>50</v>
      </c>
      <c r="G95" s="8">
        <v>15.3</v>
      </c>
      <c r="H95" s="8">
        <v>-320</v>
      </c>
      <c r="I95" s="8">
        <v>94.8</v>
      </c>
      <c r="J95" s="8">
        <f>I95*(1+J56)</f>
        <v>123.65217391304347</v>
      </c>
      <c r="R95" s="8">
        <v>-372.4</v>
      </c>
      <c r="S95" s="8">
        <v>-311.89999999999998</v>
      </c>
      <c r="T95" s="8">
        <v>-1589</v>
      </c>
      <c r="U95" s="8">
        <f t="shared" si="114"/>
        <v>-86.247826086956508</v>
      </c>
      <c r="V95" s="8">
        <v>0</v>
      </c>
      <c r="W95" s="8">
        <f t="shared" si="112"/>
        <v>0</v>
      </c>
      <c r="X95" s="8">
        <f t="shared" ref="X95:Z95" si="120">W95*1.1</f>
        <v>0</v>
      </c>
      <c r="Y95" s="8">
        <f t="shared" si="120"/>
        <v>0</v>
      </c>
      <c r="Z95" s="8">
        <f t="shared" si="120"/>
        <v>0</v>
      </c>
    </row>
    <row r="96" spans="2:26" x14ac:dyDescent="0.2">
      <c r="B96" s="8" t="s">
        <v>51</v>
      </c>
      <c r="G96" s="8">
        <v>-600</v>
      </c>
      <c r="H96" s="8">
        <v>733.6</v>
      </c>
      <c r="I96" s="8">
        <v>457.9</v>
      </c>
      <c r="J96" s="8">
        <f>I96*(1+J56)</f>
        <v>597.26086956521738</v>
      </c>
      <c r="R96" s="8">
        <v>-504.6</v>
      </c>
      <c r="S96" s="8">
        <v>100</v>
      </c>
      <c r="T96" s="8">
        <v>-2900</v>
      </c>
      <c r="U96" s="8">
        <f t="shared" si="114"/>
        <v>1188.7608695652175</v>
      </c>
      <c r="V96" s="8">
        <v>-500</v>
      </c>
      <c r="W96" s="8">
        <f t="shared" ref="W96:Z102" si="121">V96*1.1</f>
        <v>-550</v>
      </c>
      <c r="X96" s="8">
        <f t="shared" si="121"/>
        <v>-605</v>
      </c>
      <c r="Y96" s="8">
        <f t="shared" si="121"/>
        <v>-665.5</v>
      </c>
      <c r="Z96" s="8">
        <f t="shared" si="121"/>
        <v>-732.05000000000007</v>
      </c>
    </row>
    <row r="97" spans="1:122" x14ac:dyDescent="0.2">
      <c r="B97" s="27" t="s">
        <v>121</v>
      </c>
      <c r="G97" s="8">
        <v>87</v>
      </c>
      <c r="H97" s="8">
        <v>-400</v>
      </c>
      <c r="I97" s="8">
        <v>-284.3</v>
      </c>
      <c r="J97" s="8">
        <f>I97*(1+J56)</f>
        <v>-370.82608695652175</v>
      </c>
      <c r="R97" s="8">
        <v>-29</v>
      </c>
      <c r="S97" s="8">
        <v>8.3000000000000007</v>
      </c>
      <c r="T97" s="8">
        <v>-44.7</v>
      </c>
      <c r="U97" s="8">
        <f t="shared" si="114"/>
        <v>-968.1260869565217</v>
      </c>
      <c r="V97" s="8">
        <v>100</v>
      </c>
      <c r="W97" s="8">
        <f t="shared" si="121"/>
        <v>110.00000000000001</v>
      </c>
      <c r="X97" s="8">
        <f t="shared" si="121"/>
        <v>121.00000000000003</v>
      </c>
      <c r="Y97" s="8">
        <f t="shared" si="121"/>
        <v>133.10000000000005</v>
      </c>
      <c r="Z97" s="8">
        <f t="shared" si="121"/>
        <v>146.41000000000008</v>
      </c>
    </row>
    <row r="98" spans="1:122" x14ac:dyDescent="0.2">
      <c r="B98" s="8" t="s">
        <v>55</v>
      </c>
      <c r="G98" s="8">
        <v>220</v>
      </c>
      <c r="H98" s="8">
        <v>-907</v>
      </c>
      <c r="I98" s="8">
        <v>-811.7</v>
      </c>
      <c r="J98" s="8">
        <f>I98*(1+J56)</f>
        <v>-1058.7391304347827</v>
      </c>
      <c r="R98" s="8">
        <v>50.1</v>
      </c>
      <c r="S98" s="8">
        <v>127.1</v>
      </c>
      <c r="T98" s="8">
        <v>679.2</v>
      </c>
      <c r="U98" s="8">
        <f t="shared" si="114"/>
        <v>-2557.4391304347828</v>
      </c>
      <c r="V98" s="8">
        <v>0</v>
      </c>
      <c r="W98" s="8">
        <f t="shared" si="121"/>
        <v>0</v>
      </c>
      <c r="X98" s="8">
        <f t="shared" si="121"/>
        <v>0</v>
      </c>
      <c r="Y98" s="8">
        <f t="shared" si="121"/>
        <v>0</v>
      </c>
      <c r="Z98" s="8">
        <f t="shared" si="121"/>
        <v>0</v>
      </c>
    </row>
    <row r="99" spans="1:122" x14ac:dyDescent="0.2">
      <c r="B99" s="27" t="s">
        <v>122</v>
      </c>
      <c r="G99" s="8">
        <v>26</v>
      </c>
      <c r="H99" s="8">
        <v>-60</v>
      </c>
      <c r="I99" s="8">
        <v>52.7</v>
      </c>
      <c r="J99" s="8">
        <f>I99*(1+J56)</f>
        <v>68.739130434782609</v>
      </c>
      <c r="R99" s="8">
        <v>36</v>
      </c>
      <c r="S99" s="8">
        <v>-50.3</v>
      </c>
      <c r="T99" s="8">
        <v>93</v>
      </c>
      <c r="U99" s="8">
        <f t="shared" si="114"/>
        <v>87.439130434782612</v>
      </c>
      <c r="V99" s="8">
        <f>U99*(1+V55)</f>
        <v>141.69744297331417</v>
      </c>
      <c r="W99" s="8">
        <f t="shared" si="121"/>
        <v>155.86718727064559</v>
      </c>
      <c r="X99" s="8">
        <f t="shared" si="121"/>
        <v>171.45390599771017</v>
      </c>
      <c r="Y99" s="8">
        <f t="shared" si="121"/>
        <v>188.59929659748119</v>
      </c>
      <c r="Z99" s="8">
        <f t="shared" si="121"/>
        <v>207.45922625722932</v>
      </c>
    </row>
    <row r="100" spans="1:122" x14ac:dyDescent="0.2">
      <c r="B100" s="27" t="s">
        <v>117</v>
      </c>
      <c r="G100" s="8">
        <v>62</v>
      </c>
      <c r="H100" s="8">
        <v>97</v>
      </c>
      <c r="I100" s="8">
        <v>5.4</v>
      </c>
      <c r="J100" s="8">
        <f>I100*(1+J56)</f>
        <v>7.0434782608695654</v>
      </c>
      <c r="R100" s="8">
        <v>29</v>
      </c>
      <c r="S100" s="8">
        <v>87.4</v>
      </c>
      <c r="T100" s="8">
        <v>-111</v>
      </c>
      <c r="U100" s="8">
        <f t="shared" si="114"/>
        <v>171.44347826086957</v>
      </c>
      <c r="V100" s="8">
        <v>100</v>
      </c>
      <c r="W100" s="8">
        <f t="shared" si="121"/>
        <v>110.00000000000001</v>
      </c>
      <c r="X100" s="8">
        <f t="shared" si="121"/>
        <v>121.00000000000003</v>
      </c>
      <c r="Y100" s="8">
        <f t="shared" si="121"/>
        <v>133.10000000000005</v>
      </c>
      <c r="Z100" s="8">
        <f t="shared" si="121"/>
        <v>146.41000000000008</v>
      </c>
    </row>
    <row r="101" spans="1:122" x14ac:dyDescent="0.2">
      <c r="B101" s="27" t="s">
        <v>120</v>
      </c>
      <c r="G101" s="8">
        <v>142</v>
      </c>
      <c r="H101" s="8">
        <v>183</v>
      </c>
      <c r="I101" s="8">
        <v>250</v>
      </c>
      <c r="J101" s="8">
        <f>I101*(1+J56)</f>
        <v>326.08695652173913</v>
      </c>
      <c r="R101" s="8">
        <v>31.6</v>
      </c>
      <c r="S101" s="8">
        <v>70.599999999999994</v>
      </c>
      <c r="T101" s="8">
        <v>112</v>
      </c>
      <c r="U101" s="8">
        <f t="shared" si="114"/>
        <v>901.08695652173913</v>
      </c>
      <c r="V101" s="8">
        <v>400</v>
      </c>
      <c r="W101" s="8">
        <f t="shared" si="121"/>
        <v>440.00000000000006</v>
      </c>
      <c r="X101" s="8">
        <f t="shared" si="121"/>
        <v>484.00000000000011</v>
      </c>
      <c r="Y101" s="8">
        <f t="shared" si="121"/>
        <v>532.4000000000002</v>
      </c>
      <c r="Z101" s="8">
        <f t="shared" si="121"/>
        <v>585.64000000000033</v>
      </c>
    </row>
    <row r="102" spans="1:122" x14ac:dyDescent="0.2">
      <c r="B102" s="27" t="s">
        <v>118</v>
      </c>
      <c r="G102" s="8">
        <v>1.5</v>
      </c>
      <c r="H102" s="8">
        <v>4</v>
      </c>
      <c r="I102" s="8">
        <v>5.4</v>
      </c>
      <c r="J102" s="8">
        <f>I102*(1+J56)</f>
        <v>7.0434782608695654</v>
      </c>
      <c r="R102" s="8">
        <v>-10.5</v>
      </c>
      <c r="S102" s="8">
        <v>-4.4000000000000004</v>
      </c>
      <c r="T102" s="8">
        <v>8.0399999999999991</v>
      </c>
      <c r="U102" s="8">
        <f t="shared" si="114"/>
        <v>17.943478260869565</v>
      </c>
      <c r="V102" s="8">
        <f>U102*(1+V55)</f>
        <v>29.077885095264655</v>
      </c>
      <c r="W102" s="8">
        <f t="shared" si="121"/>
        <v>31.985673604791124</v>
      </c>
      <c r="X102" s="8">
        <f t="shared" si="121"/>
        <v>35.184240965270241</v>
      </c>
      <c r="Y102" s="8">
        <f t="shared" si="121"/>
        <v>38.702665061797269</v>
      </c>
      <c r="Z102" s="8">
        <f t="shared" si="121"/>
        <v>42.572931567977001</v>
      </c>
    </row>
    <row r="103" spans="1:122" s="2" customFormat="1" ht="15" x14ac:dyDescent="0.25">
      <c r="A103" s="8"/>
      <c r="B103" s="2" t="s">
        <v>16</v>
      </c>
      <c r="C103" s="2">
        <f>SUM(C88:C102)</f>
        <v>0</v>
      </c>
      <c r="D103" s="2">
        <f t="shared" ref="D103:H103" si="122">SUM(D88:D102)</f>
        <v>0</v>
      </c>
      <c r="E103" s="2">
        <f t="shared" si="122"/>
        <v>0</v>
      </c>
      <c r="F103" s="2">
        <f t="shared" si="122"/>
        <v>0</v>
      </c>
      <c r="G103" s="2">
        <f>SUM(G88:G102)</f>
        <v>407.40000000000003</v>
      </c>
      <c r="H103" s="2">
        <f t="shared" si="122"/>
        <v>167.80000000000018</v>
      </c>
      <c r="I103" s="2">
        <f>SUM(I88:I102)</f>
        <v>766.34</v>
      </c>
      <c r="J103" s="2">
        <f>SUM(J89:J102,J87)</f>
        <v>171.6070499999999</v>
      </c>
      <c r="K103" s="2">
        <f t="shared" ref="K103:N103" si="123">SUM(K89:K102,K87)</f>
        <v>380.83050510489136</v>
      </c>
      <c r="L103" s="2">
        <f t="shared" si="123"/>
        <v>400.6813246971526</v>
      </c>
      <c r="M103" s="2">
        <f t="shared" si="123"/>
        <v>421.27158167617142</v>
      </c>
      <c r="N103" s="2">
        <f t="shared" si="123"/>
        <v>662.69740799517285</v>
      </c>
      <c r="R103" s="2">
        <f>SUM(R88:R102)</f>
        <v>-440.59999999999991</v>
      </c>
      <c r="S103" s="2">
        <f>SUM(S88:S102)</f>
        <v>663.5</v>
      </c>
      <c r="T103" s="2">
        <f>SUM(T88:T102)</f>
        <v>-2485.7600000000002</v>
      </c>
      <c r="U103" s="2">
        <f>SUM(U88:U102)</f>
        <v>1513.14705</v>
      </c>
      <c r="V103" s="2">
        <f t="shared" ref="V103:Z103" si="124">SUM(V89:V102,V87)</f>
        <v>2878.3229821404166</v>
      </c>
      <c r="W103" s="2">
        <f t="shared" si="124"/>
        <v>3598.4175159289534</v>
      </c>
      <c r="X103" s="2">
        <f t="shared" si="124"/>
        <v>4448.5332372308158</v>
      </c>
      <c r="Y103" s="2">
        <f t="shared" si="124"/>
        <v>5168.9144568454012</v>
      </c>
      <c r="Z103" s="2">
        <f t="shared" si="124"/>
        <v>5991.1236377109335</v>
      </c>
    </row>
    <row r="104" spans="1:122" x14ac:dyDescent="0.2">
      <c r="B104" s="8" t="s">
        <v>69</v>
      </c>
      <c r="G104" s="23">
        <v>-44.3</v>
      </c>
      <c r="H104" s="23">
        <v>-71.8</v>
      </c>
      <c r="I104" s="8">
        <v>-104.5</v>
      </c>
      <c r="R104" s="8">
        <v>-45.2</v>
      </c>
      <c r="S104" s="8">
        <v>-36.799999999999997</v>
      </c>
      <c r="T104" s="8">
        <v>-124.3</v>
      </c>
      <c r="U104" s="8">
        <f t="shared" si="114"/>
        <v>-220.6</v>
      </c>
      <c r="V104" s="8">
        <f>U104*(1+V55)</f>
        <v>-357.48818365968941</v>
      </c>
      <c r="W104" s="8">
        <f>V104*(1+W55)</f>
        <v>-393.2370020256584</v>
      </c>
      <c r="X104" s="8">
        <f>W104*(1+X55)</f>
        <v>-432.56070222822427</v>
      </c>
      <c r="Y104" s="8">
        <f>X104*(1+Y55)</f>
        <v>-475.81677245104675</v>
      </c>
      <c r="Z104" s="8">
        <f>Y104*(1+Z55)</f>
        <v>-523.39844969615149</v>
      </c>
    </row>
    <row r="105" spans="1:122" x14ac:dyDescent="0.2">
      <c r="B105" s="8" t="s">
        <v>70</v>
      </c>
      <c r="I105" s="8">
        <v>0</v>
      </c>
      <c r="R105" s="8">
        <v>-1.1000000000000001</v>
      </c>
      <c r="S105" s="8">
        <v>-0.5</v>
      </c>
      <c r="T105" s="8">
        <v>-69.7</v>
      </c>
      <c r="U105" s="8">
        <f t="shared" si="114"/>
        <v>0</v>
      </c>
    </row>
    <row r="106" spans="1:122" x14ac:dyDescent="0.2">
      <c r="B106" s="8" t="s">
        <v>71</v>
      </c>
      <c r="I106" s="8">
        <v>0</v>
      </c>
      <c r="R106" s="8">
        <v>0</v>
      </c>
      <c r="S106" s="8">
        <v>-2.2000000000000002</v>
      </c>
      <c r="T106" s="8">
        <v>-0.3</v>
      </c>
      <c r="U106" s="8">
        <f t="shared" si="114"/>
        <v>0</v>
      </c>
    </row>
    <row r="107" spans="1:122" s="2" customFormat="1" ht="15" x14ac:dyDescent="0.25">
      <c r="A107" s="8"/>
      <c r="B107" s="2" t="s">
        <v>72</v>
      </c>
      <c r="C107" s="2">
        <v>-2.63</v>
      </c>
      <c r="D107" s="2">
        <v>-17.350000000000001</v>
      </c>
      <c r="E107" s="2">
        <f t="shared" ref="E107:N107" si="125">E104</f>
        <v>0</v>
      </c>
      <c r="F107" s="2">
        <f t="shared" si="125"/>
        <v>0</v>
      </c>
      <c r="G107" s="2">
        <f t="shared" si="125"/>
        <v>-44.3</v>
      </c>
      <c r="H107" s="2">
        <f t="shared" si="125"/>
        <v>-71.8</v>
      </c>
      <c r="I107" s="2">
        <f t="shared" si="125"/>
        <v>-104.5</v>
      </c>
      <c r="J107" s="2">
        <v>-50</v>
      </c>
      <c r="K107" s="2">
        <f t="shared" si="125"/>
        <v>0</v>
      </c>
      <c r="L107" s="2">
        <f t="shared" si="125"/>
        <v>0</v>
      </c>
      <c r="M107" s="2">
        <f t="shared" si="125"/>
        <v>0</v>
      </c>
      <c r="N107" s="2">
        <f t="shared" si="125"/>
        <v>0</v>
      </c>
      <c r="R107" s="2">
        <f>R104</f>
        <v>-45.2</v>
      </c>
      <c r="S107" s="2">
        <f t="shared" ref="S107:Z107" si="126">S104</f>
        <v>-36.799999999999997</v>
      </c>
      <c r="T107" s="2">
        <f t="shared" si="126"/>
        <v>-124.3</v>
      </c>
      <c r="U107" s="2">
        <f t="shared" si="126"/>
        <v>-220.6</v>
      </c>
      <c r="V107" s="2">
        <f t="shared" si="126"/>
        <v>-357.48818365968941</v>
      </c>
      <c r="W107" s="2">
        <f t="shared" si="126"/>
        <v>-393.2370020256584</v>
      </c>
      <c r="X107" s="2">
        <f t="shared" si="126"/>
        <v>-432.56070222822427</v>
      </c>
      <c r="Y107" s="2">
        <f t="shared" si="126"/>
        <v>-475.81677245104675</v>
      </c>
      <c r="Z107" s="2">
        <f t="shared" si="126"/>
        <v>-523.39844969615149</v>
      </c>
    </row>
    <row r="108" spans="1:122" s="2" customFormat="1" ht="15" x14ac:dyDescent="0.25">
      <c r="A108" s="8"/>
      <c r="B108" s="2" t="s">
        <v>15</v>
      </c>
      <c r="C108" s="2">
        <f>C103+C107</f>
        <v>-2.63</v>
      </c>
      <c r="D108" s="2">
        <f t="shared" ref="D108:N108" si="127">D103+D107</f>
        <v>-17.350000000000001</v>
      </c>
      <c r="E108" s="2">
        <f t="shared" si="127"/>
        <v>0</v>
      </c>
      <c r="F108" s="2">
        <f t="shared" si="127"/>
        <v>0</v>
      </c>
      <c r="G108" s="2">
        <f t="shared" si="127"/>
        <v>363.1</v>
      </c>
      <c r="H108" s="2">
        <f t="shared" si="127"/>
        <v>96.000000000000185</v>
      </c>
      <c r="I108" s="2">
        <f t="shared" si="127"/>
        <v>661.84</v>
      </c>
      <c r="J108" s="2">
        <f t="shared" si="127"/>
        <v>121.6070499999999</v>
      </c>
      <c r="K108" s="2">
        <f t="shared" si="127"/>
        <v>380.83050510489136</v>
      </c>
      <c r="L108" s="2">
        <f t="shared" si="127"/>
        <v>400.6813246971526</v>
      </c>
      <c r="M108" s="2">
        <f t="shared" si="127"/>
        <v>421.27158167617142</v>
      </c>
      <c r="N108" s="2">
        <f t="shared" si="127"/>
        <v>662.69740799517285</v>
      </c>
      <c r="R108" s="2">
        <f>R103+R107</f>
        <v>-485.7999999999999</v>
      </c>
      <c r="S108" s="2">
        <f t="shared" ref="S108:T108" si="128">S103+S107</f>
        <v>626.70000000000005</v>
      </c>
      <c r="T108" s="2">
        <f t="shared" si="128"/>
        <v>-2610.0600000000004</v>
      </c>
      <c r="U108" s="2">
        <f t="shared" ref="U108" si="129">U103+U107</f>
        <v>1292.5470500000001</v>
      </c>
      <c r="V108" s="2">
        <f t="shared" ref="V108" si="130">V103+V107</f>
        <v>2520.8347984807269</v>
      </c>
      <c r="W108" s="2">
        <f t="shared" ref="W108" si="131">W103+W107</f>
        <v>3205.1805139032949</v>
      </c>
      <c r="X108" s="2">
        <f t="shared" ref="X108" si="132">X103+X107</f>
        <v>4015.9725350025915</v>
      </c>
      <c r="Y108" s="2">
        <f t="shared" ref="Y108" si="133">Y103+Y107</f>
        <v>4693.0976843943545</v>
      </c>
      <c r="Z108" s="2">
        <f t="shared" ref="Z108" si="134">Z103+Z107</f>
        <v>5467.7251880147824</v>
      </c>
      <c r="AA108" s="2">
        <f t="shared" ref="AA108:BF108" si="135">Z108*(1+$AC$56)</f>
        <v>5577.0796917750777</v>
      </c>
      <c r="AB108" s="2">
        <f t="shared" si="135"/>
        <v>5688.6212856105794</v>
      </c>
      <c r="AC108" s="2">
        <f t="shared" si="135"/>
        <v>5802.3937113227912</v>
      </c>
      <c r="AD108" s="2">
        <f t="shared" si="135"/>
        <v>5918.4415855492471</v>
      </c>
      <c r="AE108" s="2">
        <f t="shared" si="135"/>
        <v>6036.8104172602325</v>
      </c>
      <c r="AF108" s="2">
        <f t="shared" si="135"/>
        <v>6157.5466256054369</v>
      </c>
      <c r="AG108" s="2">
        <f t="shared" si="135"/>
        <v>6280.6975581175457</v>
      </c>
      <c r="AH108" s="2">
        <f t="shared" si="135"/>
        <v>6406.3115092798971</v>
      </c>
      <c r="AI108" s="2">
        <f t="shared" si="135"/>
        <v>6534.4377394654948</v>
      </c>
      <c r="AJ108" s="2">
        <f t="shared" si="135"/>
        <v>6665.126494254805</v>
      </c>
      <c r="AK108" s="2">
        <f t="shared" si="135"/>
        <v>6798.4290241399012</v>
      </c>
      <c r="AL108" s="2">
        <f t="shared" si="135"/>
        <v>6934.397604622699</v>
      </c>
      <c r="AM108" s="2">
        <f t="shared" si="135"/>
        <v>7073.085556715153</v>
      </c>
      <c r="AN108" s="2">
        <f t="shared" si="135"/>
        <v>7214.5472678494561</v>
      </c>
      <c r="AO108" s="2">
        <f t="shared" si="135"/>
        <v>7358.8382132064453</v>
      </c>
      <c r="AP108" s="2">
        <f t="shared" si="135"/>
        <v>7506.0149774705742</v>
      </c>
      <c r="AQ108" s="2">
        <f t="shared" si="135"/>
        <v>7656.1352770199856</v>
      </c>
      <c r="AR108" s="2">
        <f t="shared" si="135"/>
        <v>7809.2579825603852</v>
      </c>
      <c r="AS108" s="2">
        <f t="shared" si="135"/>
        <v>7965.4431422115931</v>
      </c>
      <c r="AT108" s="2">
        <f t="shared" si="135"/>
        <v>8124.7520050558251</v>
      </c>
      <c r="AU108" s="2">
        <f t="shared" si="135"/>
        <v>8287.2470451569425</v>
      </c>
      <c r="AV108" s="2">
        <f t="shared" si="135"/>
        <v>8452.9919860600821</v>
      </c>
      <c r="AW108" s="2">
        <f t="shared" si="135"/>
        <v>8622.0518257812837</v>
      </c>
      <c r="AX108" s="2">
        <f t="shared" si="135"/>
        <v>8794.4928622969092</v>
      </c>
      <c r="AY108" s="2">
        <f t="shared" si="135"/>
        <v>8970.3827195428476</v>
      </c>
      <c r="AZ108" s="2">
        <f t="shared" si="135"/>
        <v>9149.7903739337053</v>
      </c>
      <c r="BA108" s="2">
        <f t="shared" si="135"/>
        <v>9332.7861814123789</v>
      </c>
      <c r="BB108" s="2">
        <f t="shared" si="135"/>
        <v>9519.4419050406268</v>
      </c>
      <c r="BC108" s="2">
        <f t="shared" si="135"/>
        <v>9709.8307431414396</v>
      </c>
      <c r="BD108" s="2">
        <f t="shared" si="135"/>
        <v>9904.0273580042685</v>
      </c>
      <c r="BE108" s="2">
        <f t="shared" si="135"/>
        <v>10102.107905164354</v>
      </c>
      <c r="BF108" s="2">
        <f t="shared" si="135"/>
        <v>10304.150063267642</v>
      </c>
      <c r="BG108" s="2">
        <f t="shared" ref="BG108:CL108" si="136">BF108*(1+$AC$56)</f>
        <v>10510.233064532995</v>
      </c>
      <c r="BH108" s="2">
        <f t="shared" si="136"/>
        <v>10720.437725823655</v>
      </c>
      <c r="BI108" s="2">
        <f t="shared" si="136"/>
        <v>10934.846480340128</v>
      </c>
      <c r="BJ108" s="2">
        <f t="shared" si="136"/>
        <v>11153.543409946929</v>
      </c>
      <c r="BK108" s="2">
        <f t="shared" si="136"/>
        <v>11376.614278145868</v>
      </c>
      <c r="BL108" s="2">
        <f t="shared" si="136"/>
        <v>11604.146563708786</v>
      </c>
      <c r="BM108" s="2">
        <f t="shared" si="136"/>
        <v>11836.229494982961</v>
      </c>
      <c r="BN108" s="2">
        <f t="shared" si="136"/>
        <v>12072.95408488262</v>
      </c>
      <c r="BO108" s="2">
        <f t="shared" si="136"/>
        <v>12314.413166580272</v>
      </c>
      <c r="BP108" s="2">
        <f t="shared" si="136"/>
        <v>12560.701429911878</v>
      </c>
      <c r="BQ108" s="2">
        <f t="shared" si="136"/>
        <v>12811.915458510117</v>
      </c>
      <c r="BR108" s="2">
        <f t="shared" si="136"/>
        <v>13068.15376768032</v>
      </c>
      <c r="BS108" s="2">
        <f t="shared" si="136"/>
        <v>13329.516843033927</v>
      </c>
      <c r="BT108" s="2">
        <f t="shared" si="136"/>
        <v>13596.107179894607</v>
      </c>
      <c r="BU108" s="2">
        <f t="shared" si="136"/>
        <v>13868.029323492499</v>
      </c>
      <c r="BV108" s="2">
        <f t="shared" si="136"/>
        <v>14145.38990996235</v>
      </c>
      <c r="BW108" s="2">
        <f t="shared" si="136"/>
        <v>14428.297708161597</v>
      </c>
      <c r="BX108" s="2">
        <f t="shared" si="136"/>
        <v>14716.863662324829</v>
      </c>
      <c r="BY108" s="2">
        <f t="shared" si="136"/>
        <v>15011.200935571327</v>
      </c>
      <c r="BZ108" s="2">
        <f t="shared" si="136"/>
        <v>15311.424954282755</v>
      </c>
      <c r="CA108" s="2">
        <f t="shared" si="136"/>
        <v>15617.65345336841</v>
      </c>
      <c r="CB108" s="2">
        <f t="shared" si="136"/>
        <v>15930.006522435779</v>
      </c>
      <c r="CC108" s="2">
        <f t="shared" si="136"/>
        <v>16248.606652884495</v>
      </c>
      <c r="CD108" s="2">
        <f t="shared" si="136"/>
        <v>16573.578785942183</v>
      </c>
      <c r="CE108" s="2">
        <f t="shared" si="136"/>
        <v>16905.050361661026</v>
      </c>
      <c r="CF108" s="2">
        <f t="shared" si="136"/>
        <v>17243.151368894247</v>
      </c>
      <c r="CG108" s="2">
        <f t="shared" si="136"/>
        <v>17588.01439627213</v>
      </c>
      <c r="CH108" s="2">
        <f t="shared" si="136"/>
        <v>17939.774684197575</v>
      </c>
      <c r="CI108" s="2">
        <f t="shared" si="136"/>
        <v>18298.570177881527</v>
      </c>
      <c r="CJ108" s="2">
        <f t="shared" si="136"/>
        <v>18664.54158143916</v>
      </c>
      <c r="CK108" s="2">
        <f t="shared" si="136"/>
        <v>19037.832413067943</v>
      </c>
      <c r="CL108" s="2">
        <f t="shared" si="136"/>
        <v>19418.589061329301</v>
      </c>
      <c r="CM108" s="2">
        <f t="shared" ref="CM108:DR108" si="137">CL108*(1+$AC$56)</f>
        <v>19806.960842555887</v>
      </c>
      <c r="CN108" s="2">
        <f t="shared" si="137"/>
        <v>20203.100059407006</v>
      </c>
      <c r="CO108" s="2">
        <f t="shared" si="137"/>
        <v>20607.162060595147</v>
      </c>
      <c r="CP108" s="2">
        <f t="shared" si="137"/>
        <v>21019.30530180705</v>
      </c>
      <c r="CQ108" s="2">
        <f t="shared" si="137"/>
        <v>21439.691407843191</v>
      </c>
      <c r="CR108" s="2">
        <f t="shared" si="137"/>
        <v>21868.485236000055</v>
      </c>
      <c r="CS108" s="2">
        <f t="shared" si="137"/>
        <v>22305.854940720055</v>
      </c>
      <c r="CT108" s="2">
        <f t="shared" si="137"/>
        <v>22751.972039534456</v>
      </c>
      <c r="CU108" s="2">
        <f t="shared" si="137"/>
        <v>23207.011480325145</v>
      </c>
      <c r="CV108" s="2">
        <f t="shared" si="137"/>
        <v>23671.151709931648</v>
      </c>
      <c r="CW108" s="2">
        <f t="shared" si="137"/>
        <v>24144.574744130281</v>
      </c>
      <c r="CX108" s="2">
        <f t="shared" si="137"/>
        <v>24627.466239012887</v>
      </c>
      <c r="CY108" s="2">
        <f t="shared" si="137"/>
        <v>25120.015563793146</v>
      </c>
      <c r="CZ108" s="2">
        <f t="shared" si="137"/>
        <v>25622.415875069008</v>
      </c>
      <c r="DA108" s="2">
        <f t="shared" si="137"/>
        <v>26134.864192570389</v>
      </c>
      <c r="DB108" s="2">
        <f t="shared" si="137"/>
        <v>26657.561476421797</v>
      </c>
      <c r="DC108" s="2">
        <f t="shared" si="137"/>
        <v>27190.712705950235</v>
      </c>
      <c r="DD108" s="2">
        <f t="shared" si="137"/>
        <v>27734.526960069241</v>
      </c>
      <c r="DE108" s="2">
        <f t="shared" si="137"/>
        <v>28289.217499270628</v>
      </c>
      <c r="DF108" s="2">
        <f t="shared" si="137"/>
        <v>28855.001849256041</v>
      </c>
      <c r="DG108" s="2">
        <f t="shared" si="137"/>
        <v>29432.101886241162</v>
      </c>
      <c r="DH108" s="2">
        <f t="shared" si="137"/>
        <v>30020.743923965987</v>
      </c>
      <c r="DI108" s="2">
        <f t="shared" si="137"/>
        <v>30621.158802445309</v>
      </c>
      <c r="DJ108" s="2">
        <f t="shared" si="137"/>
        <v>31233.581978494214</v>
      </c>
      <c r="DK108" s="2">
        <f t="shared" si="137"/>
        <v>31858.2536180641</v>
      </c>
      <c r="DL108" s="2">
        <f t="shared" si="137"/>
        <v>32495.418690425384</v>
      </c>
      <c r="DM108" s="2">
        <f t="shared" si="137"/>
        <v>33145.32706423389</v>
      </c>
      <c r="DN108" s="2">
        <f t="shared" si="137"/>
        <v>33808.233605518566</v>
      </c>
      <c r="DO108" s="2">
        <f t="shared" si="137"/>
        <v>34484.398277628941</v>
      </c>
      <c r="DP108" s="2">
        <f t="shared" si="137"/>
        <v>35174.086243181519</v>
      </c>
      <c r="DQ108" s="2">
        <f t="shared" si="137"/>
        <v>35877.56796804515</v>
      </c>
      <c r="DR108" s="2">
        <f t="shared" si="137"/>
        <v>36595.119327406057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2025-05-26T03:30:15Z</dcterms:modified>
</cp:coreProperties>
</file>