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9E35E1BE-6E08-43D1-9D8C-87A76195188D}" xr6:coauthVersionLast="47" xr6:coauthVersionMax="47" xr10:uidLastSave="{00000000-0000-0000-0000-000000000000}"/>
  <bookViews>
    <workbookView xWindow="4410" yWindow="300" windowWidth="21750" windowHeight="15015" activeTab="1" xr2:uid="{97FBD9E3-1932-42E7-BB98-5F86DEFF785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2" i="2" l="1"/>
  <c r="W32" i="2"/>
  <c r="X32" i="2"/>
  <c r="Y32" i="2"/>
  <c r="Z32" i="2"/>
  <c r="U32" i="2"/>
  <c r="U33" i="2"/>
  <c r="V9" i="2"/>
  <c r="W9" i="2" s="1"/>
  <c r="X9" i="2" s="1"/>
  <c r="Y9" i="2" s="1"/>
  <c r="Z9" i="2" s="1"/>
  <c r="L7" i="2"/>
  <c r="L3" i="2" s="1"/>
  <c r="L12" i="2"/>
  <c r="L13" i="2" s="1"/>
  <c r="K60" i="2"/>
  <c r="K59" i="2"/>
  <c r="K75" i="2" s="1"/>
  <c r="L16" i="2"/>
  <c r="P2" i="1"/>
  <c r="O5" i="1"/>
  <c r="V30" i="2"/>
  <c r="W30" i="2" s="1"/>
  <c r="X30" i="2" s="1"/>
  <c r="Y30" i="2" s="1"/>
  <c r="Z30" i="2" s="1"/>
  <c r="U3" i="2"/>
  <c r="U6" i="2" s="1"/>
  <c r="K7" i="2"/>
  <c r="K3" i="2"/>
  <c r="Q26" i="2"/>
  <c r="Q30" i="2"/>
  <c r="P30" i="2"/>
  <c r="P24" i="2"/>
  <c r="Q24" i="2"/>
  <c r="Q16" i="2"/>
  <c r="Q17" i="2" s="1"/>
  <c r="Q19" i="2" s="1"/>
  <c r="Q28" i="2" s="1"/>
  <c r="P16" i="2"/>
  <c r="P17" i="2" s="1"/>
  <c r="P19" i="2" s="1"/>
  <c r="P28" i="2" s="1"/>
  <c r="T6" i="2"/>
  <c r="Q6" i="2"/>
  <c r="R6" i="2"/>
  <c r="S6" i="2"/>
  <c r="P6" i="2"/>
  <c r="T5" i="2"/>
  <c r="S5" i="2"/>
  <c r="R5" i="2"/>
  <c r="Q5" i="2"/>
  <c r="P5" i="2"/>
  <c r="O5" i="2"/>
  <c r="O2" i="2"/>
  <c r="P2" i="2" s="1"/>
  <c r="Q2" i="2" s="1"/>
  <c r="G5" i="2"/>
  <c r="H5" i="2"/>
  <c r="I5" i="2"/>
  <c r="J5" i="2"/>
  <c r="F5" i="2"/>
  <c r="D16" i="2"/>
  <c r="E16" i="2"/>
  <c r="F16" i="2"/>
  <c r="D12" i="2"/>
  <c r="E12" i="2"/>
  <c r="D9" i="2"/>
  <c r="D13" i="2" s="1"/>
  <c r="E9" i="2"/>
  <c r="F9" i="2"/>
  <c r="F13" i="2" s="1"/>
  <c r="F30" i="2" s="1"/>
  <c r="F51" i="2"/>
  <c r="F57" i="2"/>
  <c r="J46" i="2"/>
  <c r="F46" i="2"/>
  <c r="D34" i="2"/>
  <c r="E34" i="2"/>
  <c r="F34" i="2"/>
  <c r="G34" i="2"/>
  <c r="H34" i="2"/>
  <c r="I34" i="2"/>
  <c r="J34" i="2"/>
  <c r="K34" i="2"/>
  <c r="C34" i="2"/>
  <c r="C36" i="2"/>
  <c r="C16" i="2"/>
  <c r="C12" i="2"/>
  <c r="C9" i="2"/>
  <c r="J82" i="2"/>
  <c r="J60" i="2"/>
  <c r="J59" i="2"/>
  <c r="F82" i="2"/>
  <c r="F60" i="2"/>
  <c r="F59" i="2"/>
  <c r="D75" i="2"/>
  <c r="E75" i="2"/>
  <c r="G75" i="2"/>
  <c r="H75" i="2"/>
  <c r="I75" i="2"/>
  <c r="D82" i="2"/>
  <c r="E82" i="2"/>
  <c r="G82" i="2"/>
  <c r="H82" i="2"/>
  <c r="I82" i="2"/>
  <c r="K82" i="2"/>
  <c r="C82" i="2"/>
  <c r="C75" i="2"/>
  <c r="D36" i="2"/>
  <c r="E36" i="2"/>
  <c r="G36" i="2"/>
  <c r="H36" i="2"/>
  <c r="I36" i="2"/>
  <c r="R36" i="2"/>
  <c r="G16" i="2"/>
  <c r="H16" i="2"/>
  <c r="I16" i="2"/>
  <c r="J16" i="2"/>
  <c r="J9" i="2"/>
  <c r="J13" i="2" s="1"/>
  <c r="H9" i="2"/>
  <c r="I9" i="2"/>
  <c r="I84" i="2" s="1"/>
  <c r="S34" i="2"/>
  <c r="T34" i="2"/>
  <c r="R34" i="2"/>
  <c r="T59" i="2"/>
  <c r="T36" i="2" s="1"/>
  <c r="U18" i="2" s="1"/>
  <c r="S59" i="2"/>
  <c r="S36" i="2" s="1"/>
  <c r="S16" i="2"/>
  <c r="T16" i="2"/>
  <c r="R16" i="2"/>
  <c r="S12" i="2"/>
  <c r="T12" i="2"/>
  <c r="R12" i="2"/>
  <c r="S9" i="2"/>
  <c r="T9" i="2"/>
  <c r="T84" i="2" s="1"/>
  <c r="R9" i="2"/>
  <c r="R26" i="2" s="1"/>
  <c r="S2" i="2"/>
  <c r="T2" i="2" s="1"/>
  <c r="U2" i="2" s="1"/>
  <c r="V2" i="2" s="1"/>
  <c r="W2" i="2" s="1"/>
  <c r="X2" i="2" s="1"/>
  <c r="Y2" i="2" s="1"/>
  <c r="G9" i="2"/>
  <c r="O4" i="1"/>
  <c r="P4" i="1" s="1"/>
  <c r="K36" i="2" l="1"/>
  <c r="L18" i="2" s="1"/>
  <c r="J36" i="2"/>
  <c r="L17" i="2"/>
  <c r="E13" i="2"/>
  <c r="E17" i="2" s="1"/>
  <c r="E19" i="2" s="1"/>
  <c r="O7" i="1"/>
  <c r="P7" i="1" s="1"/>
  <c r="L19" i="2"/>
  <c r="L20" i="2" s="1"/>
  <c r="D84" i="2"/>
  <c r="H26" i="2"/>
  <c r="D27" i="2"/>
  <c r="E27" i="2"/>
  <c r="E84" i="2"/>
  <c r="G27" i="2"/>
  <c r="F27" i="2"/>
  <c r="E30" i="2"/>
  <c r="D17" i="2"/>
  <c r="D19" i="2" s="1"/>
  <c r="D30" i="2"/>
  <c r="F17" i="2"/>
  <c r="F19" i="2" s="1"/>
  <c r="F22" i="2" s="1"/>
  <c r="I26" i="2"/>
  <c r="J26" i="2"/>
  <c r="G26" i="2"/>
  <c r="F84" i="2"/>
  <c r="J75" i="2"/>
  <c r="C13" i="2"/>
  <c r="C30" i="2" s="1"/>
  <c r="F75" i="2"/>
  <c r="H13" i="2"/>
  <c r="H30" i="2" s="1"/>
  <c r="J84" i="2"/>
  <c r="H84" i="2"/>
  <c r="C27" i="2"/>
  <c r="G84" i="2"/>
  <c r="F36" i="2"/>
  <c r="C84" i="2"/>
  <c r="R13" i="2"/>
  <c r="R17" i="2" s="1"/>
  <c r="R19" i="2" s="1"/>
  <c r="S13" i="2"/>
  <c r="S30" i="2" s="1"/>
  <c r="I27" i="2"/>
  <c r="J17" i="2"/>
  <c r="J19" i="2" s="1"/>
  <c r="J22" i="2" s="1"/>
  <c r="I13" i="2"/>
  <c r="I30" i="2" s="1"/>
  <c r="S26" i="2"/>
  <c r="T26" i="2"/>
  <c r="S84" i="2"/>
  <c r="T13" i="2"/>
  <c r="T30" i="2" s="1"/>
  <c r="H27" i="2"/>
  <c r="J30" i="2"/>
  <c r="J27" i="2"/>
  <c r="G13" i="2"/>
  <c r="G17" i="2" s="1"/>
  <c r="G19" i="2" s="1"/>
  <c r="L22" i="2" l="1"/>
  <c r="L24" i="2" s="1"/>
  <c r="U34" i="2"/>
  <c r="F28" i="2"/>
  <c r="D28" i="2"/>
  <c r="D22" i="2"/>
  <c r="E28" i="2"/>
  <c r="E22" i="2"/>
  <c r="F37" i="2"/>
  <c r="F24" i="2"/>
  <c r="C17" i="2"/>
  <c r="C19" i="2" s="1"/>
  <c r="C22" i="2" s="1"/>
  <c r="H17" i="2"/>
  <c r="H19" i="2" s="1"/>
  <c r="H28" i="2" s="1"/>
  <c r="R30" i="2"/>
  <c r="S17" i="2"/>
  <c r="S19" i="2" s="1"/>
  <c r="S22" i="2" s="1"/>
  <c r="J28" i="2"/>
  <c r="I17" i="2"/>
  <c r="I19" i="2" s="1"/>
  <c r="I28" i="2" s="1"/>
  <c r="J24" i="2"/>
  <c r="J37" i="2"/>
  <c r="G22" i="2"/>
  <c r="G28" i="2"/>
  <c r="U26" i="2"/>
  <c r="T17" i="2"/>
  <c r="T19" i="2" s="1"/>
  <c r="T28" i="2" s="1"/>
  <c r="U12" i="2"/>
  <c r="U13" i="2" s="1"/>
  <c r="G30" i="2"/>
  <c r="R22" i="2"/>
  <c r="R28" i="2"/>
  <c r="V12" i="2" l="1"/>
  <c r="V13" i="2" s="1"/>
  <c r="V33" i="2"/>
  <c r="C28" i="2"/>
  <c r="S28" i="2"/>
  <c r="K16" i="2"/>
  <c r="E37" i="2"/>
  <c r="E24" i="2"/>
  <c r="D37" i="2"/>
  <c r="D24" i="2"/>
  <c r="I22" i="2"/>
  <c r="I37" i="2" s="1"/>
  <c r="H22" i="2"/>
  <c r="H24" i="2" s="1"/>
  <c r="C37" i="2"/>
  <c r="C24" i="2"/>
  <c r="G24" i="2"/>
  <c r="G37" i="2"/>
  <c r="T22" i="2"/>
  <c r="T37" i="2" s="1"/>
  <c r="U21" i="2"/>
  <c r="U14" i="2"/>
  <c r="U15" i="2"/>
  <c r="V26" i="2"/>
  <c r="R24" i="2"/>
  <c r="R37" i="2"/>
  <c r="S24" i="2"/>
  <c r="S37" i="2"/>
  <c r="H37" i="2" l="1"/>
  <c r="I24" i="2"/>
  <c r="V34" i="2"/>
  <c r="W33" i="2"/>
  <c r="V21" i="2"/>
  <c r="T24" i="2"/>
  <c r="W12" i="2"/>
  <c r="W13" i="2" s="1"/>
  <c r="W26" i="2"/>
  <c r="V15" i="2"/>
  <c r="V14" i="2"/>
  <c r="U16" i="2"/>
  <c r="U17" i="2" s="1"/>
  <c r="U19" i="2" s="1"/>
  <c r="U20" i="2" s="1"/>
  <c r="U22" i="2" s="1"/>
  <c r="V16" i="2" l="1"/>
  <c r="V17" i="2" s="1"/>
  <c r="W34" i="2"/>
  <c r="X33" i="2"/>
  <c r="W15" i="2"/>
  <c r="U36" i="2"/>
  <c r="V18" i="2" s="1"/>
  <c r="U24" i="2"/>
  <c r="X26" i="2"/>
  <c r="X12" i="2"/>
  <c r="X13" i="2" s="1"/>
  <c r="W14" i="2"/>
  <c r="W16" i="2" s="1"/>
  <c r="W17" i="2" s="1"/>
  <c r="W21" i="2"/>
  <c r="X21" i="2" s="1"/>
  <c r="V19" i="2" l="1"/>
  <c r="V20" i="2" s="1"/>
  <c r="V22" i="2" s="1"/>
  <c r="V36" i="2"/>
  <c r="X34" i="2"/>
  <c r="Y33" i="2"/>
  <c r="V24" i="2"/>
  <c r="Y26" i="2"/>
  <c r="Y21" i="2" s="1"/>
  <c r="Y12" i="2"/>
  <c r="Y13" i="2" s="1"/>
  <c r="X14" i="2"/>
  <c r="X15" i="2"/>
  <c r="W18" i="2"/>
  <c r="W19" i="2" s="1"/>
  <c r="W20" i="2" s="1"/>
  <c r="W22" i="2" s="1"/>
  <c r="Y34" i="2" l="1"/>
  <c r="Z33" i="2"/>
  <c r="Y15" i="2"/>
  <c r="X16" i="2"/>
  <c r="X17" i="2" s="1"/>
  <c r="Z26" i="2"/>
  <c r="Z12" i="2"/>
  <c r="Z13" i="2" s="1"/>
  <c r="Y14" i="2"/>
  <c r="Y16" i="2" s="1"/>
  <c r="Y17" i="2" s="1"/>
  <c r="W36" i="2"/>
  <c r="X18" i="2" s="1"/>
  <c r="W24" i="2"/>
  <c r="X19" i="2" l="1"/>
  <c r="X20" i="2" s="1"/>
  <c r="X22" i="2" s="1"/>
  <c r="Z34" i="2"/>
  <c r="AA34" i="2" s="1"/>
  <c r="Z14" i="2"/>
  <c r="Z21" i="2"/>
  <c r="Z15" i="2"/>
  <c r="X36" i="2"/>
  <c r="Y18" i="2" s="1"/>
  <c r="Y19" i="2" s="1"/>
  <c r="X24" i="2"/>
  <c r="Z16" i="2" l="1"/>
  <c r="Z17" i="2" s="1"/>
  <c r="Y20" i="2"/>
  <c r="Y22" i="2" s="1"/>
  <c r="Y24" i="2" l="1"/>
  <c r="Y36" i="2"/>
  <c r="Z18" i="2" s="1"/>
  <c r="Z19" i="2" s="1"/>
  <c r="Z20" i="2" l="1"/>
  <c r="Z22" i="2" s="1"/>
  <c r="Z24" i="2" l="1"/>
  <c r="AA22" i="2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BP22" i="2" s="1"/>
  <c r="BQ22" i="2" s="1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CG22" i="2" s="1"/>
  <c r="CH22" i="2" s="1"/>
  <c r="CI22" i="2" s="1"/>
  <c r="CJ22" i="2" s="1"/>
  <c r="CK22" i="2" s="1"/>
  <c r="CL22" i="2" s="1"/>
  <c r="CM22" i="2" s="1"/>
  <c r="CN22" i="2" s="1"/>
  <c r="CO22" i="2" s="1"/>
  <c r="CP22" i="2" s="1"/>
  <c r="CQ22" i="2" s="1"/>
  <c r="CR22" i="2" s="1"/>
  <c r="CS22" i="2" s="1"/>
  <c r="CT22" i="2" s="1"/>
  <c r="CU22" i="2" s="1"/>
  <c r="CV22" i="2" s="1"/>
  <c r="CW22" i="2" s="1"/>
  <c r="CX22" i="2" s="1"/>
  <c r="CY22" i="2" s="1"/>
  <c r="CZ22" i="2" s="1"/>
  <c r="DA22" i="2" s="1"/>
  <c r="DB22" i="2" s="1"/>
  <c r="DC22" i="2" s="1"/>
  <c r="DD22" i="2" s="1"/>
  <c r="DE22" i="2" s="1"/>
  <c r="DF22" i="2" s="1"/>
  <c r="DG22" i="2" s="1"/>
  <c r="DH22" i="2" s="1"/>
  <c r="DI22" i="2" s="1"/>
  <c r="DJ22" i="2" s="1"/>
  <c r="DK22" i="2" s="1"/>
  <c r="DL22" i="2" s="1"/>
  <c r="AB34" i="2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AC29" i="2" s="1"/>
  <c r="AC30" i="2" s="1"/>
  <c r="AC31" i="2" s="1"/>
  <c r="AC32" i="2" s="1"/>
  <c r="Z36" i="2"/>
  <c r="K27" i="2"/>
  <c r="K21" i="2" s="1"/>
  <c r="K12" i="2"/>
  <c r="K84" i="2"/>
  <c r="K26" i="2"/>
  <c r="K13" i="2"/>
  <c r="K17" i="2" s="1"/>
  <c r="K19" i="2" s="1"/>
  <c r="K28" i="2" s="1"/>
  <c r="K22" i="2" l="1"/>
  <c r="K24" i="2" l="1"/>
  <c r="O8" i="1" s="1"/>
  <c r="K37" i="2"/>
  <c r="K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tc={944BCAF5-5E56-4E9A-96BF-51366E4D31CB}</author>
    <author>tc={C412A0B2-2218-40B9-84EF-F977CE1D409A}</author>
    <author>tc={117C89AC-E0B3-4801-BB04-4C223E158003}</author>
    <author>tc={7D9BE086-277F-4636-A4A5-3CA291FB4393}</author>
    <author>tc={895B9FD8-FC46-401A-9FDD-188D6C7FB7BB}</author>
    <author>tc={782012D7-B0C3-4C04-9954-6C66D27A90DC}</author>
    <author>tc={5AA0A275-6EB6-49AB-B2CD-C8A33A588D1A}</author>
  </authors>
  <commentList>
    <comment ref="L9" authorId="0" shapeId="0" xr:uid="{944BCAF5-5E56-4E9A-96BF-51366E4D31CB}">
      <text>
        <t>[Threaded comment]
Your version of Excel allows you to read this threaded comment; however, any edits to it will get removed if the file is opened in a newer version of Excel. Learn more: https://go.microsoft.com/fwlink/?linkid=870924
Comment:
    “ASML expects net sales 7.2-7.7B”</t>
      </text>
    </comment>
    <comment ref="U9" authorId="1" shapeId="0" xr:uid="{C412A0B2-2218-40B9-84EF-F977CE1D409A}">
      <text>
        <t>[Threaded comment]
Your version of Excel allows you to read this threaded comment; however, any edits to it will get removed if the file is opened in a newer version of Excel. Learn more: https://go.microsoft.com/fwlink/?linkid=870924
Comment:
    FY25 revenue between 30-35B</t>
      </text>
    </comment>
    <comment ref="Z9" authorId="2" shapeId="0" xr:uid="{117C89AC-E0B3-4801-BB04-4C223E158003}">
      <text>
        <t>[Threaded comment]
Your version of Excel allows you to read this threaded comment; however, any edits to it will get removed if the file is opened in a newer version of Excel. Learn more: https://go.microsoft.com/fwlink/?linkid=870924
Comment:
    “2030 revenue between 44 and 60 bn”</t>
      </text>
    </comment>
    <comment ref="U28" authorId="3" shapeId="0" xr:uid="{7D9BE086-277F-4636-A4A5-3CA291FB4393}">
      <text>
        <t>[Threaded comment]
Your version of Excel allows you to read this threaded comment; however, any edits to it will get removed if the file is opened in a newer version of Excel. Learn more: https://go.microsoft.com/fwlink/?linkid=870924
Comment:
    “FY25 effective tax rate”</t>
      </text>
    </comment>
    <comment ref="L30" authorId="4" shapeId="0" xr:uid="{895B9FD8-FC46-401A-9FDD-188D6C7FB7BB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“gross margin 50-53%”</t>
      </text>
    </comment>
    <comment ref="U30" authorId="5" shapeId="0" xr:uid="{782012D7-B0C3-4C04-9954-6C66D27A90DC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“expects gross margin between 51 - 53 percent”</t>
      </text>
    </comment>
    <comment ref="Z30" authorId="6" shapeId="0" xr:uid="{5AA0A275-6EB6-49AB-B2CD-C8A33A588D1A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“gross margin between 56 and 60 percent”</t>
      </text>
    </comment>
  </commentList>
</comments>
</file>

<file path=xl/sharedStrings.xml><?xml version="1.0" encoding="utf-8"?>
<sst xmlns="http://schemas.openxmlformats.org/spreadsheetml/2006/main" count="104" uniqueCount="93">
  <si>
    <t>Price</t>
  </si>
  <si>
    <t>Shares</t>
  </si>
  <si>
    <t>MC</t>
  </si>
  <si>
    <t>Cash</t>
  </si>
  <si>
    <t>Debt</t>
  </si>
  <si>
    <t>EV</t>
  </si>
  <si>
    <t>Q424</t>
  </si>
  <si>
    <t>System Sales</t>
  </si>
  <si>
    <t>Service and Field Sales</t>
  </si>
  <si>
    <t>Revenue</t>
  </si>
  <si>
    <t>System COGS</t>
  </si>
  <si>
    <t>Service and Field COGS</t>
  </si>
  <si>
    <t>COGS</t>
  </si>
  <si>
    <t>Gross Profit</t>
  </si>
  <si>
    <t>R&amp;D</t>
  </si>
  <si>
    <t>SG&amp;A</t>
  </si>
  <si>
    <t>Operating Income</t>
  </si>
  <si>
    <t>Interest</t>
  </si>
  <si>
    <t>Pretax Income</t>
  </si>
  <si>
    <t>Tax</t>
  </si>
  <si>
    <t>Net Income</t>
  </si>
  <si>
    <t>Equity Method Investments</t>
  </si>
  <si>
    <t>EPS</t>
  </si>
  <si>
    <t>Tax Rate</t>
  </si>
  <si>
    <t>Gross Margin</t>
  </si>
  <si>
    <t>CFFO</t>
  </si>
  <si>
    <t>CX</t>
  </si>
  <si>
    <t>FCF</t>
  </si>
  <si>
    <t>Net Cash</t>
  </si>
  <si>
    <t>AR</t>
  </si>
  <si>
    <t>AP</t>
  </si>
  <si>
    <t>Model NI</t>
  </si>
  <si>
    <t>Reported NI</t>
  </si>
  <si>
    <t>DSO</t>
  </si>
  <si>
    <t>Inventories</t>
  </si>
  <si>
    <t>Q124</t>
  </si>
  <si>
    <t>Q224</t>
  </si>
  <si>
    <t>Q324</t>
  </si>
  <si>
    <t>Q125</t>
  </si>
  <si>
    <t>ROIC</t>
  </si>
  <si>
    <t>Maturity</t>
  </si>
  <si>
    <t>Discount</t>
  </si>
  <si>
    <t>NPV</t>
  </si>
  <si>
    <t>Diff</t>
  </si>
  <si>
    <t>Price $</t>
  </si>
  <si>
    <t>Price €</t>
  </si>
  <si>
    <t>SPOT €/$</t>
  </si>
  <si>
    <t>"2030 44-60bn revenue"</t>
  </si>
  <si>
    <t>"56-60% gross  margin"</t>
  </si>
  <si>
    <t>Revenue Growth q/q</t>
  </si>
  <si>
    <t>Revenue Growth y/y</t>
  </si>
  <si>
    <t>Lithography systems Sales</t>
  </si>
  <si>
    <t>Net bookings</t>
  </si>
  <si>
    <t>Q123</t>
  </si>
  <si>
    <t>Q223</t>
  </si>
  <si>
    <t>Q323</t>
  </si>
  <si>
    <t>Q423</t>
  </si>
  <si>
    <t>CTA</t>
  </si>
  <si>
    <t>Contract Assets</t>
  </si>
  <si>
    <t>Other Assets</t>
  </si>
  <si>
    <t>Total Assets</t>
  </si>
  <si>
    <t>Finance Receivables</t>
  </si>
  <si>
    <t>DTA</t>
  </si>
  <si>
    <t>Loans Receivable</t>
  </si>
  <si>
    <t>Goodwill</t>
  </si>
  <si>
    <t>Other Intangible Assets</t>
  </si>
  <si>
    <t>PP&amp;E</t>
  </si>
  <si>
    <t>Right-of-use Assets</t>
  </si>
  <si>
    <t>DTL</t>
  </si>
  <si>
    <t>Contract Liabilities</t>
  </si>
  <si>
    <t>Accrued &amp; Liabilties</t>
  </si>
  <si>
    <t>Total Liabilities</t>
  </si>
  <si>
    <t>D&amp;A</t>
  </si>
  <si>
    <t>Compensation</t>
  </si>
  <si>
    <t>Inventory Reserves</t>
  </si>
  <si>
    <t>Changes in Assets&amp;Liabilities</t>
  </si>
  <si>
    <t>DTE (benefit)</t>
  </si>
  <si>
    <t>Impairment (gain)</t>
  </si>
  <si>
    <t>Intangible Assets</t>
  </si>
  <si>
    <t>Short-term Investments</t>
  </si>
  <si>
    <t>Loans Issued</t>
  </si>
  <si>
    <t>CAPEX</t>
  </si>
  <si>
    <t>Dividend</t>
  </si>
  <si>
    <t>Purchase Shares</t>
  </si>
  <si>
    <t>Issue Shares</t>
  </si>
  <si>
    <t>Issue Notes</t>
  </si>
  <si>
    <t>Repay Debt</t>
  </si>
  <si>
    <t>Net Cash Financing</t>
  </si>
  <si>
    <t>ASP</t>
  </si>
  <si>
    <t>PE</t>
  </si>
  <si>
    <t>Q225</t>
  </si>
  <si>
    <t>Main</t>
  </si>
  <si>
    <t>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</si>
</sst>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€-2]\ #,##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3" fontId="2" fillId="0" borderId="0" xfId="0" applyNumberFormat="1" applyFont="1"/>
    <xf numFmtId="4" fontId="2" fillId="0" borderId="0" xfId="0" applyNumberFormat="1" applyFont="1"/>
    <xf numFmtId="0" fontId="3" fillId="0" borderId="0" xfId="0" applyFont="1"/>
    <xf numFmtId="0" fontId="2" fillId="0" borderId="0" xfId="0" applyFont="1"/>
    <xf numFmtId="164" fontId="2" fillId="0" borderId="0" xfId="0" applyNumberFormat="1" applyFont="1"/>
    <xf numFmtId="3" fontId="6" fillId="0" borderId="0" xfId="1" applyNumberFormat="1" applyFont="1"/>
    <xf numFmtId="3" fontId="1" fillId="0" borderId="0" xfId="0" applyNumberFormat="1" applyFont="1"/>
    <xf numFmtId="1" fontId="1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3" fontId="5" fillId="0" borderId="0" xfId="0" applyNumberFormat="1" applyFont="1"/>
    <xf numFmtId="9" fontId="5" fillId="0" borderId="0" xfId="0" applyNumberFormat="1" applyFont="1"/>
    <xf numFmtId="4" fontId="5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600075</xdr:colOff>
      <xdr:row>1</xdr:row>
      <xdr:rowOff>19050</xdr:rowOff>
    </xdr:from>
    <xdr:to>
      <xdr:col>20</xdr:col>
      <xdr:colOff>9525</xdr:colOff>
      <xdr:row>59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D0527F-2118-DC17-7E6C-AF0AB212B1B7}"/>
            </a:ext>
          </a:extLst>
        </xdr:cNvPr>
        <xdr:cNvCxnSpPr/>
      </xdr:nvCxnSpPr>
      <xdr:spPr>
        <a:xfrm flipH="1">
          <a:off x="7067550" y="19050"/>
          <a:ext cx="19050" cy="6619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1</xdr:row>
      <xdr:rowOff>9525</xdr:rowOff>
    </xdr:from>
    <xdr:to>
      <xdr:col>10</xdr:col>
      <xdr:colOff>9525</xdr:colOff>
      <xdr:row>59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27B81C0-0DF8-4A35-B3AA-89483BAE902B}"/>
            </a:ext>
          </a:extLst>
        </xdr:cNvPr>
        <xdr:cNvCxnSpPr/>
      </xdr:nvCxnSpPr>
      <xdr:spPr>
        <a:xfrm flipH="1">
          <a:off x="4019550" y="9525"/>
          <a:ext cx="19050" cy="66198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CDEB7FFD-9779-4A1D-8E3F-07906DC8053A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9" dT="2025-04-16T23:54:22.82" personId="{CDEB7FFD-9779-4A1D-8E3F-07906DC8053A}" id="{944BCAF5-5E56-4E9A-96BF-51366E4D31CB}">
    <text>“ASML expects net sales 7.2-7.7B”</text>
  </threadedComment>
  <threadedComment ref="U9" dT="2025-04-16T00:59:47.67" personId="{CDEB7FFD-9779-4A1D-8E3F-07906DC8053A}" id="{C412A0B2-2218-40B9-84EF-F977CE1D409A}">
    <text>FY25 revenue between 30-35B</text>
  </threadedComment>
  <threadedComment ref="Z9" dT="2025-04-16T01:27:43.03" personId="{CDEB7FFD-9779-4A1D-8E3F-07906DC8053A}" id="{117C89AC-E0B3-4801-BB04-4C223E158003}">
    <text>“2030 revenue between 44 and 60 bn”</text>
  </threadedComment>
  <threadedComment ref="U28" dT="2025-04-16T01:38:26.06" personId="{CDEB7FFD-9779-4A1D-8E3F-07906DC8053A}" id="{7D9BE086-277F-4636-A4A5-3CA291FB4393}">
    <text>“FY25 effective tax rate”</text>
  </threadedComment>
  <threadedComment ref="L30" dT="2025-04-16T23:54:37.88" personId="{CDEB7FFD-9779-4A1D-8E3F-07906DC8053A}" id="{895B9FD8-FC46-401A-9FDD-188D6C7FB7BB}">
    <text>“gross margin 50-53%”</text>
  </threadedComment>
  <threadedComment ref="U30" dT="2025-04-16T01:01:30.18" personId="{CDEB7FFD-9779-4A1D-8E3F-07906DC8053A}" id="{782012D7-B0C3-4C04-9954-6C66D27A90DC}">
    <text>“expects gross margin between 51 - 53 percent”</text>
  </threadedComment>
  <threadedComment ref="Z30" dT="2025-04-16T01:28:00.48" personId="{CDEB7FFD-9779-4A1D-8E3F-07906DC8053A}" id="{5AA0A275-6EB6-49AB-B2CD-C8A33A588D1A}">
    <text>“gross margin between 56 and 60 percent”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3A0E-0235-4592-8342-EC1B6F585EA4}">
  <dimension ref="A1:P8"/>
  <sheetViews>
    <sheetView zoomScale="115" zoomScaleNormal="115" workbookViewId="0">
      <selection activeCell="O2" sqref="O2"/>
    </sheetView>
  </sheetViews>
  <sheetFormatPr defaultRowHeight="14.25" x14ac:dyDescent="0.2"/>
  <cols>
    <col min="1" max="16384" width="9.140625" style="4"/>
  </cols>
  <sheetData>
    <row r="1" spans="1:16" ht="15" x14ac:dyDescent="0.25">
      <c r="A1" s="3"/>
    </row>
    <row r="2" spans="1:16" x14ac:dyDescent="0.2">
      <c r="N2" s="4" t="s">
        <v>0</v>
      </c>
      <c r="O2" s="5">
        <v>747</v>
      </c>
      <c r="P2" s="5">
        <f>O2/1.13</f>
        <v>661.06194690265488</v>
      </c>
    </row>
    <row r="3" spans="1:16" x14ac:dyDescent="0.2">
      <c r="A3" s="4" t="s">
        <v>47</v>
      </c>
      <c r="N3" s="4" t="s">
        <v>1</v>
      </c>
      <c r="O3" s="1">
        <v>392.5</v>
      </c>
      <c r="P3" s="4" t="s">
        <v>38</v>
      </c>
    </row>
    <row r="4" spans="1:16" x14ac:dyDescent="0.2">
      <c r="A4" s="4" t="s">
        <v>48</v>
      </c>
      <c r="N4" s="4" t="s">
        <v>2</v>
      </c>
      <c r="O4" s="1">
        <f>O3*O2</f>
        <v>293197.5</v>
      </c>
      <c r="P4" s="4">
        <f>O4/1.13</f>
        <v>259466.81415929206</v>
      </c>
    </row>
    <row r="5" spans="1:16" x14ac:dyDescent="0.2">
      <c r="N5" s="4" t="s">
        <v>3</v>
      </c>
      <c r="O5" s="1">
        <f>9098+5.2</f>
        <v>9103.2000000000007</v>
      </c>
      <c r="P5" s="4" t="s">
        <v>38</v>
      </c>
    </row>
    <row r="6" spans="1:16" x14ac:dyDescent="0.2">
      <c r="N6" s="4" t="s">
        <v>4</v>
      </c>
      <c r="O6" s="1">
        <v>9854</v>
      </c>
      <c r="P6" s="4" t="s">
        <v>38</v>
      </c>
    </row>
    <row r="7" spans="1:16" x14ac:dyDescent="0.2">
      <c r="N7" s="4" t="s">
        <v>5</v>
      </c>
      <c r="O7" s="1">
        <f>P4+O6-O5</f>
        <v>260217.61415929202</v>
      </c>
      <c r="P7" s="1">
        <f>O7/O3</f>
        <v>662.97481314469303</v>
      </c>
    </row>
    <row r="8" spans="1:16" x14ac:dyDescent="0.2">
      <c r="N8" s="4" t="s">
        <v>89</v>
      </c>
      <c r="O8" s="2">
        <f>P7/(Model!K24*4*1.11)</f>
        <v>24.696734809286777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EA94-660F-4C9C-B2FF-A5D3568DEBBC}">
  <dimension ref="A1:DU84"/>
  <sheetViews>
    <sheetView tabSelected="1" zoomScale="130" zoomScaleNormal="130" workbookViewId="0">
      <pane xSplit="2" ySplit="2" topLeftCell="T3" activePane="bottomRight" state="frozen"/>
      <selection pane="topRight" activeCell="B1" sqref="B1"/>
      <selection pane="bottomLeft" activeCell="A2" sqref="A2"/>
      <selection pane="bottomRight" activeCell="AB20" sqref="AB20"/>
    </sheetView>
  </sheetViews>
  <sheetFormatPr defaultRowHeight="12.75" x14ac:dyDescent="0.2"/>
  <cols>
    <col min="1" max="1" width="4.85546875" style="7" customWidth="1"/>
    <col min="2" max="2" width="23.85546875" style="7" customWidth="1"/>
    <col min="3" max="6" width="10" style="7" customWidth="1"/>
    <col min="7" max="16384" width="9.140625" style="7"/>
  </cols>
  <sheetData>
    <row r="1" spans="1:26" ht="13.5" x14ac:dyDescent="0.25">
      <c r="A1" s="6" t="s">
        <v>91</v>
      </c>
    </row>
    <row r="2" spans="1:26" x14ac:dyDescent="0.2">
      <c r="C2" s="7" t="s">
        <v>53</v>
      </c>
      <c r="D2" s="7" t="s">
        <v>54</v>
      </c>
      <c r="E2" s="7" t="s">
        <v>55</v>
      </c>
      <c r="F2" s="7" t="s">
        <v>56</v>
      </c>
      <c r="G2" s="7" t="s">
        <v>35</v>
      </c>
      <c r="H2" s="7" t="s">
        <v>36</v>
      </c>
      <c r="I2" s="7" t="s">
        <v>37</v>
      </c>
      <c r="J2" s="7" t="s">
        <v>6</v>
      </c>
      <c r="K2" s="7" t="s">
        <v>38</v>
      </c>
      <c r="L2" s="7" t="s">
        <v>90</v>
      </c>
      <c r="N2" s="8">
        <v>2018</v>
      </c>
      <c r="O2" s="8">
        <f>N2+1</f>
        <v>2019</v>
      </c>
      <c r="P2" s="8">
        <f t="shared" ref="P2:Q2" si="0">O2+1</f>
        <v>2020</v>
      </c>
      <c r="Q2" s="8">
        <f t="shared" si="0"/>
        <v>2021</v>
      </c>
      <c r="R2" s="8">
        <v>2022</v>
      </c>
      <c r="S2" s="8">
        <f>R2+1</f>
        <v>2023</v>
      </c>
      <c r="T2" s="8">
        <f t="shared" ref="T2:Y2" si="1">S2+1</f>
        <v>2024</v>
      </c>
      <c r="U2" s="8">
        <f t="shared" si="1"/>
        <v>2025</v>
      </c>
      <c r="V2" s="8">
        <f t="shared" si="1"/>
        <v>2026</v>
      </c>
      <c r="W2" s="8">
        <f t="shared" si="1"/>
        <v>2027</v>
      </c>
      <c r="X2" s="8">
        <f t="shared" si="1"/>
        <v>2028</v>
      </c>
      <c r="Y2" s="8">
        <f t="shared" si="1"/>
        <v>2029</v>
      </c>
      <c r="Z2" s="8">
        <v>2030</v>
      </c>
    </row>
    <row r="3" spans="1:26" x14ac:dyDescent="0.2">
      <c r="B3" s="7" t="s">
        <v>51</v>
      </c>
      <c r="F3" s="7">
        <v>124</v>
      </c>
      <c r="G3" s="7">
        <v>70</v>
      </c>
      <c r="H3" s="7">
        <v>100</v>
      </c>
      <c r="I3" s="7">
        <v>116</v>
      </c>
      <c r="J3" s="7">
        <v>132</v>
      </c>
      <c r="K3" s="7">
        <f>73+4</f>
        <v>77</v>
      </c>
      <c r="L3" s="7">
        <f>L7/L5</f>
        <v>74.666666666666671</v>
      </c>
      <c r="O3" s="7">
        <v>229</v>
      </c>
      <c r="P3" s="7">
        <v>258</v>
      </c>
      <c r="Q3" s="7">
        <v>300</v>
      </c>
      <c r="R3" s="8">
        <v>350</v>
      </c>
      <c r="S3" s="8">
        <v>380</v>
      </c>
      <c r="T3" s="8">
        <v>449</v>
      </c>
      <c r="U3" s="8">
        <f>U9/U5</f>
        <v>420</v>
      </c>
      <c r="V3" s="8"/>
      <c r="W3" s="8"/>
      <c r="X3" s="8"/>
      <c r="Y3" s="8"/>
      <c r="Z3" s="8"/>
    </row>
    <row r="4" spans="1:26" x14ac:dyDescent="0.2">
      <c r="B4" s="7" t="s">
        <v>52</v>
      </c>
      <c r="F4" s="7">
        <v>9186</v>
      </c>
      <c r="G4" s="7">
        <v>3611</v>
      </c>
      <c r="H4" s="7">
        <v>5567</v>
      </c>
      <c r="I4" s="7">
        <v>2633</v>
      </c>
      <c r="J4" s="7">
        <v>7088</v>
      </c>
      <c r="K4" s="7">
        <v>3900</v>
      </c>
      <c r="P4" s="7">
        <v>11292</v>
      </c>
      <c r="Q4" s="7">
        <v>26240</v>
      </c>
      <c r="R4" s="7">
        <v>30674</v>
      </c>
      <c r="S4" s="7">
        <v>20040</v>
      </c>
      <c r="T4" s="7">
        <v>18899</v>
      </c>
      <c r="U4" s="8"/>
      <c r="V4" s="8"/>
      <c r="W4" s="8"/>
      <c r="X4" s="8"/>
      <c r="Y4" s="8"/>
      <c r="Z4" s="8"/>
    </row>
    <row r="5" spans="1:26" x14ac:dyDescent="0.2">
      <c r="B5" s="7" t="s">
        <v>88</v>
      </c>
      <c r="F5" s="7">
        <f>F7/F3</f>
        <v>45.83064516129032</v>
      </c>
      <c r="G5" s="7">
        <f t="shared" ref="G5:K5" si="2">G7/G3</f>
        <v>56.657142857142858</v>
      </c>
      <c r="H5" s="7">
        <f t="shared" si="2"/>
        <v>47.61</v>
      </c>
      <c r="I5" s="7">
        <f t="shared" si="2"/>
        <v>51.086206896551722</v>
      </c>
      <c r="J5" s="7">
        <f t="shared" si="2"/>
        <v>53.909090909090907</v>
      </c>
      <c r="K5" s="7">
        <f t="shared" si="2"/>
        <v>74.558441558441558</v>
      </c>
      <c r="L5" s="7">
        <v>75</v>
      </c>
      <c r="O5" s="7">
        <f t="shared" ref="O5:T5" si="3">O7/O3</f>
        <v>0</v>
      </c>
      <c r="P5" s="7">
        <f t="shared" si="3"/>
        <v>0</v>
      </c>
      <c r="Q5" s="7">
        <f t="shared" si="3"/>
        <v>0</v>
      </c>
      <c r="R5" s="7">
        <f t="shared" si="3"/>
        <v>44.085714285714289</v>
      </c>
      <c r="S5" s="7">
        <f t="shared" si="3"/>
        <v>57.734210526315792</v>
      </c>
      <c r="T5" s="7">
        <f t="shared" si="3"/>
        <v>48.483296213808465</v>
      </c>
      <c r="U5" s="8">
        <v>75</v>
      </c>
      <c r="V5" s="8"/>
      <c r="W5" s="8"/>
      <c r="X5" s="8"/>
      <c r="Y5" s="8"/>
      <c r="Z5" s="8"/>
    </row>
    <row r="6" spans="1:26" x14ac:dyDescent="0.2">
      <c r="F6" s="9"/>
      <c r="G6" s="9"/>
      <c r="H6" s="9"/>
      <c r="I6" s="9"/>
      <c r="J6" s="9"/>
      <c r="P6" s="10">
        <f t="shared" ref="P6:U6" si="4">P3/O3-1</f>
        <v>0.1266375545851528</v>
      </c>
      <c r="Q6" s="10">
        <f t="shared" si="4"/>
        <v>0.16279069767441867</v>
      </c>
      <c r="R6" s="10">
        <f t="shared" si="4"/>
        <v>0.16666666666666674</v>
      </c>
      <c r="S6" s="10">
        <f t="shared" si="4"/>
        <v>8.5714285714285632E-2</v>
      </c>
      <c r="T6" s="10">
        <f t="shared" si="4"/>
        <v>0.18157894736842106</v>
      </c>
      <c r="U6" s="10">
        <f t="shared" si="4"/>
        <v>-6.4587973273942056E-2</v>
      </c>
      <c r="V6" s="8"/>
      <c r="W6" s="8"/>
      <c r="X6" s="8"/>
      <c r="Y6" s="8"/>
      <c r="Z6" s="8"/>
    </row>
    <row r="7" spans="1:26" x14ac:dyDescent="0.2">
      <c r="B7" s="7" t="s">
        <v>7</v>
      </c>
      <c r="F7" s="7">
        <v>5683</v>
      </c>
      <c r="G7" s="7">
        <v>3966</v>
      </c>
      <c r="H7" s="7">
        <v>4761</v>
      </c>
      <c r="I7" s="7">
        <v>5926</v>
      </c>
      <c r="J7" s="7">
        <v>7116</v>
      </c>
      <c r="K7" s="7">
        <f>K9-K8</f>
        <v>5741</v>
      </c>
      <c r="L7" s="7">
        <f>L9-L8</f>
        <v>5600</v>
      </c>
      <c r="R7" s="7">
        <v>15430</v>
      </c>
      <c r="S7" s="7">
        <v>21939</v>
      </c>
      <c r="T7" s="7">
        <v>21769</v>
      </c>
    </row>
    <row r="8" spans="1:26" x14ac:dyDescent="0.2">
      <c r="B8" s="7" t="s">
        <v>8</v>
      </c>
      <c r="F8" s="7">
        <v>1554</v>
      </c>
      <c r="G8" s="7">
        <v>1324</v>
      </c>
      <c r="H8" s="7">
        <v>1482</v>
      </c>
      <c r="I8" s="7">
        <v>1541</v>
      </c>
      <c r="J8" s="7">
        <v>2147</v>
      </c>
      <c r="K8" s="7">
        <v>2001</v>
      </c>
      <c r="L8" s="7">
        <v>1800</v>
      </c>
      <c r="P8" s="11"/>
      <c r="R8" s="7">
        <v>5743</v>
      </c>
      <c r="S8" s="7">
        <v>5620</v>
      </c>
      <c r="T8" s="7">
        <v>6494</v>
      </c>
    </row>
    <row r="9" spans="1:26" s="11" customFormat="1" x14ac:dyDescent="0.2">
      <c r="B9" s="11" t="s">
        <v>9</v>
      </c>
      <c r="C9" s="11">
        <f>SUM(C7:C8)</f>
        <v>0</v>
      </c>
      <c r="D9" s="11">
        <f t="shared" ref="D9:F9" si="5">SUM(D7:D8)</f>
        <v>0</v>
      </c>
      <c r="E9" s="11">
        <f t="shared" si="5"/>
        <v>0</v>
      </c>
      <c r="F9" s="11">
        <f t="shared" si="5"/>
        <v>7237</v>
      </c>
      <c r="G9" s="11">
        <f>SUM(G7:G8)</f>
        <v>5290</v>
      </c>
      <c r="H9" s="11">
        <f t="shared" ref="H9:I9" si="6">SUM(H7:H8)</f>
        <v>6243</v>
      </c>
      <c r="I9" s="11">
        <f t="shared" si="6"/>
        <v>7467</v>
      </c>
      <c r="J9" s="11">
        <f>SUM(J7:J8)</f>
        <v>9263</v>
      </c>
      <c r="K9" s="11">
        <v>7742</v>
      </c>
      <c r="L9" s="11">
        <v>7400</v>
      </c>
      <c r="P9" s="11">
        <v>13979</v>
      </c>
      <c r="Q9" s="11">
        <v>18611</v>
      </c>
      <c r="R9" s="11">
        <f>SUM(R7:R8)</f>
        <v>21173</v>
      </c>
      <c r="S9" s="11">
        <f t="shared" ref="S9:T9" si="7">SUM(S7:S8)</f>
        <v>27559</v>
      </c>
      <c r="T9" s="11">
        <f t="shared" si="7"/>
        <v>28263</v>
      </c>
      <c r="U9" s="11">
        <v>31500</v>
      </c>
      <c r="V9" s="11">
        <f>U9*1.11</f>
        <v>34965</v>
      </c>
      <c r="W9" s="11">
        <f t="shared" ref="W9:Z9" si="8">V9*1.11</f>
        <v>38811.15</v>
      </c>
      <c r="X9" s="11">
        <f t="shared" si="8"/>
        <v>43080.376500000006</v>
      </c>
      <c r="Y9" s="11">
        <f t="shared" si="8"/>
        <v>47819.217915000008</v>
      </c>
      <c r="Z9" s="11">
        <f t="shared" si="8"/>
        <v>53079.331885650012</v>
      </c>
    </row>
    <row r="10" spans="1:26" x14ac:dyDescent="0.2">
      <c r="B10" s="7" t="s">
        <v>10</v>
      </c>
      <c r="F10" s="10"/>
      <c r="G10" s="10"/>
      <c r="H10" s="10"/>
      <c r="I10" s="10"/>
      <c r="J10" s="10"/>
      <c r="K10" s="10"/>
      <c r="L10" s="10"/>
      <c r="P10" s="11"/>
      <c r="R10" s="7">
        <v>7582</v>
      </c>
      <c r="S10" s="7">
        <v>10151</v>
      </c>
      <c r="T10" s="7">
        <v>10407</v>
      </c>
    </row>
    <row r="11" spans="1:26" x14ac:dyDescent="0.2">
      <c r="B11" s="7" t="s">
        <v>11</v>
      </c>
      <c r="P11" s="11"/>
      <c r="R11" s="7">
        <v>2891</v>
      </c>
      <c r="S11" s="7">
        <v>3271</v>
      </c>
      <c r="T11" s="7">
        <v>3364</v>
      </c>
    </row>
    <row r="12" spans="1:26" x14ac:dyDescent="0.2">
      <c r="B12" s="7" t="s">
        <v>12</v>
      </c>
      <c r="C12" s="7">
        <f t="shared" ref="C12" si="9">SUM(C10:C11)</f>
        <v>0</v>
      </c>
      <c r="D12" s="7">
        <f t="shared" ref="D12" si="10">SUM(D10:D11)</f>
        <v>0</v>
      </c>
      <c r="E12" s="7">
        <f t="shared" ref="E12" si="11">SUM(E10:E11)</f>
        <v>0</v>
      </c>
      <c r="F12" s="7">
        <v>3520</v>
      </c>
      <c r="G12" s="7">
        <v>2593</v>
      </c>
      <c r="H12" s="7">
        <v>3031</v>
      </c>
      <c r="I12" s="7">
        <v>3674</v>
      </c>
      <c r="J12" s="7">
        <v>4463</v>
      </c>
      <c r="K12" s="7">
        <f t="shared" ref="K12" si="12">K9*(1-K30)</f>
        <v>3561.3199999999997</v>
      </c>
      <c r="L12" s="7">
        <f>L9*(1-L30)</f>
        <v>3589</v>
      </c>
      <c r="O12" s="11"/>
      <c r="P12" s="11"/>
      <c r="R12" s="7">
        <f>SUM(R10:R11)</f>
        <v>10473</v>
      </c>
      <c r="S12" s="7">
        <f t="shared" ref="S12:T12" si="13">SUM(S10:S11)</f>
        <v>13422</v>
      </c>
      <c r="T12" s="7">
        <f t="shared" si="13"/>
        <v>13771</v>
      </c>
      <c r="U12" s="7">
        <f t="shared" ref="U12:Z12" si="14">U9*(1-U30)</f>
        <v>14962.5</v>
      </c>
      <c r="V12" s="7">
        <f t="shared" si="14"/>
        <v>16333.025625</v>
      </c>
      <c r="W12" s="7">
        <f t="shared" si="14"/>
        <v>17819.436070406253</v>
      </c>
      <c r="X12" s="7">
        <f t="shared" si="14"/>
        <v>19430.06200122321</v>
      </c>
      <c r="Y12" s="7">
        <f t="shared" si="14"/>
        <v>21173.591084953132</v>
      </c>
      <c r="Z12" s="7">
        <f t="shared" si="14"/>
        <v>23059.036417577696</v>
      </c>
    </row>
    <row r="13" spans="1:26" x14ac:dyDescent="0.2">
      <c r="B13" s="7" t="s">
        <v>13</v>
      </c>
      <c r="C13" s="7">
        <f>C9-C12</f>
        <v>0</v>
      </c>
      <c r="D13" s="7">
        <f t="shared" ref="D13:F13" si="15">D9-D12</f>
        <v>0</v>
      </c>
      <c r="E13" s="7">
        <f t="shared" si="15"/>
        <v>0</v>
      </c>
      <c r="F13" s="7">
        <f t="shared" si="15"/>
        <v>3717</v>
      </c>
      <c r="G13" s="7">
        <f>G9-G12</f>
        <v>2697</v>
      </c>
      <c r="H13" s="7">
        <f t="shared" ref="H13:L13" si="16">H9-H12</f>
        <v>3212</v>
      </c>
      <c r="I13" s="7">
        <f t="shared" si="16"/>
        <v>3793</v>
      </c>
      <c r="J13" s="7">
        <f>J9-J12</f>
        <v>4800</v>
      </c>
      <c r="K13" s="7">
        <f t="shared" si="16"/>
        <v>4180.68</v>
      </c>
      <c r="L13" s="7">
        <f t="shared" si="16"/>
        <v>3811</v>
      </c>
      <c r="P13" s="7">
        <v>6978</v>
      </c>
      <c r="Q13" s="7">
        <v>9809</v>
      </c>
      <c r="R13" s="7">
        <f>R9-R12</f>
        <v>10700</v>
      </c>
      <c r="S13" s="7">
        <f t="shared" ref="S13:T13" si="17">S9-S12</f>
        <v>14137</v>
      </c>
      <c r="T13" s="7">
        <f t="shared" si="17"/>
        <v>14492</v>
      </c>
      <c r="U13" s="7">
        <f t="shared" ref="U13" si="18">U9-U12</f>
        <v>16537.5</v>
      </c>
      <c r="V13" s="7">
        <f t="shared" ref="V13" si="19">V9-V12</f>
        <v>18631.974374999998</v>
      </c>
      <c r="W13" s="7">
        <f t="shared" ref="W13" si="20">W9-W12</f>
        <v>20991.713929593749</v>
      </c>
      <c r="X13" s="7">
        <f t="shared" ref="X13" si="21">X9-X12</f>
        <v>23650.314498776796</v>
      </c>
      <c r="Y13" s="7">
        <f t="shared" ref="Y13:Z13" si="22">Y9-Y12</f>
        <v>26645.626830046876</v>
      </c>
      <c r="Z13" s="7">
        <f t="shared" si="22"/>
        <v>30020.295468072316</v>
      </c>
    </row>
    <row r="14" spans="1:26" x14ac:dyDescent="0.2">
      <c r="B14" s="7" t="s">
        <v>14</v>
      </c>
      <c r="F14" s="7">
        <v>1041</v>
      </c>
      <c r="G14" s="7">
        <v>1032</v>
      </c>
      <c r="H14" s="7">
        <v>1100</v>
      </c>
      <c r="I14" s="7">
        <v>1055</v>
      </c>
      <c r="J14" s="7">
        <v>1116</v>
      </c>
      <c r="K14" s="7">
        <v>1161</v>
      </c>
      <c r="L14" s="7">
        <v>1200</v>
      </c>
      <c r="P14" s="7">
        <v>2201</v>
      </c>
      <c r="Q14" s="7">
        <v>2547</v>
      </c>
      <c r="R14" s="7">
        <v>3253</v>
      </c>
      <c r="S14" s="7">
        <v>3980</v>
      </c>
      <c r="T14" s="7">
        <v>4303</v>
      </c>
      <c r="U14" s="7">
        <f>T14*(1+U26)</f>
        <v>4795.8284683154652</v>
      </c>
      <c r="V14" s="7">
        <f t="shared" ref="V14:Y14" si="23">U14*(1+V26)</f>
        <v>5323.3695998301664</v>
      </c>
      <c r="W14" s="7">
        <f t="shared" si="23"/>
        <v>5908.9402558114853</v>
      </c>
      <c r="X14" s="7">
        <f t="shared" si="23"/>
        <v>6558.9236839507494</v>
      </c>
      <c r="Y14" s="7">
        <f t="shared" si="23"/>
        <v>7280.4052891853325</v>
      </c>
      <c r="Z14" s="7">
        <f t="shared" ref="Z14" si="24">Y14*(1+Z26)</f>
        <v>8081.2498709957199</v>
      </c>
    </row>
    <row r="15" spans="1:26" x14ac:dyDescent="0.2">
      <c r="B15" s="7" t="s">
        <v>15</v>
      </c>
      <c r="F15" s="7">
        <v>284</v>
      </c>
      <c r="G15" s="7">
        <v>273</v>
      </c>
      <c r="H15" s="7">
        <v>277</v>
      </c>
      <c r="I15" s="7">
        <v>297</v>
      </c>
      <c r="J15" s="7">
        <v>318.39999999999998</v>
      </c>
      <c r="K15" s="7">
        <v>280</v>
      </c>
      <c r="L15" s="7">
        <v>300</v>
      </c>
      <c r="P15" s="7">
        <v>545</v>
      </c>
      <c r="Q15" s="7">
        <v>726</v>
      </c>
      <c r="R15" s="7">
        <v>945</v>
      </c>
      <c r="S15" s="7">
        <v>1113</v>
      </c>
      <c r="T15" s="7">
        <v>1165</v>
      </c>
      <c r="U15" s="7">
        <f>T15*(1+U26)</f>
        <v>1298.4290415030252</v>
      </c>
      <c r="V15" s="7">
        <f t="shared" ref="V15:Y15" si="25">U15*(1+V26)</f>
        <v>1441.2562360683582</v>
      </c>
      <c r="W15" s="7">
        <f t="shared" si="25"/>
        <v>1599.7944220358777</v>
      </c>
      <c r="X15" s="7">
        <f t="shared" si="25"/>
        <v>1775.7718084598243</v>
      </c>
      <c r="Y15" s="7">
        <f t="shared" si="25"/>
        <v>1971.1067073904053</v>
      </c>
      <c r="Z15" s="7">
        <f t="shared" ref="Z15" si="26">Y15*(1+Z26)</f>
        <v>2187.9284452033498</v>
      </c>
    </row>
    <row r="16" spans="1:26" x14ac:dyDescent="0.2">
      <c r="B16" s="7" t="s">
        <v>92</v>
      </c>
      <c r="C16" s="7">
        <f>SUM(C14:C15)</f>
        <v>0</v>
      </c>
      <c r="D16" s="7">
        <f t="shared" ref="D16:F16" si="27">SUM(D14:D15)</f>
        <v>0</v>
      </c>
      <c r="E16" s="7">
        <f t="shared" si="27"/>
        <v>0</v>
      </c>
      <c r="F16" s="7">
        <f t="shared" si="27"/>
        <v>1325</v>
      </c>
      <c r="G16" s="7">
        <f t="shared" ref="G16:L16" si="28">SUM(G14:G15)</f>
        <v>1305</v>
      </c>
      <c r="H16" s="7">
        <f t="shared" si="28"/>
        <v>1377</v>
      </c>
      <c r="I16" s="7">
        <f t="shared" si="28"/>
        <v>1352</v>
      </c>
      <c r="J16" s="7">
        <f t="shared" si="28"/>
        <v>1434.4</v>
      </c>
      <c r="K16" s="7">
        <f t="shared" si="28"/>
        <v>1441</v>
      </c>
      <c r="L16" s="7">
        <f t="shared" si="28"/>
        <v>1500</v>
      </c>
      <c r="P16" s="7">
        <f>SUM(P14:P15)</f>
        <v>2746</v>
      </c>
      <c r="Q16" s="7">
        <f>SUM(Q14:Q15)</f>
        <v>3273</v>
      </c>
      <c r="R16" s="7">
        <f>SUM(R14:R15)</f>
        <v>4198</v>
      </c>
      <c r="S16" s="7">
        <f t="shared" ref="S16:T16" si="29">SUM(S14:S15)</f>
        <v>5093</v>
      </c>
      <c r="T16" s="7">
        <f t="shared" si="29"/>
        <v>5468</v>
      </c>
      <c r="U16" s="7">
        <f t="shared" ref="U16" si="30">SUM(U14:U15)</f>
        <v>6094.2575098184907</v>
      </c>
      <c r="V16" s="7">
        <f t="shared" ref="V16" si="31">SUM(V14:V15)</f>
        <v>6764.6258358985251</v>
      </c>
      <c r="W16" s="7">
        <f t="shared" ref="W16" si="32">SUM(W14:W15)</f>
        <v>7508.7346778473629</v>
      </c>
      <c r="X16" s="7">
        <f t="shared" ref="X16" si="33">SUM(X14:X15)</f>
        <v>8334.6954924105739</v>
      </c>
      <c r="Y16" s="7">
        <f t="shared" ref="Y16" si="34">SUM(Y14:Y15)</f>
        <v>9251.5119965757385</v>
      </c>
      <c r="Z16" s="7">
        <f>SUM(Z14:Z15)</f>
        <v>10269.17831619907</v>
      </c>
    </row>
    <row r="17" spans="1:116" x14ac:dyDescent="0.2">
      <c r="B17" s="7" t="s">
        <v>16</v>
      </c>
      <c r="C17" s="7">
        <f>C13-C16</f>
        <v>0</v>
      </c>
      <c r="D17" s="7">
        <f t="shared" ref="D17:F17" si="35">D13-D16</f>
        <v>0</v>
      </c>
      <c r="E17" s="7">
        <f t="shared" si="35"/>
        <v>0</v>
      </c>
      <c r="F17" s="7">
        <f t="shared" si="35"/>
        <v>2392</v>
      </c>
      <c r="G17" s="7">
        <f>G13-G16</f>
        <v>1392</v>
      </c>
      <c r="H17" s="7">
        <f t="shared" ref="H17:L17" si="36">H13-H16</f>
        <v>1835</v>
      </c>
      <c r="I17" s="7">
        <f t="shared" si="36"/>
        <v>2441</v>
      </c>
      <c r="J17" s="7">
        <f t="shared" si="36"/>
        <v>3365.6</v>
      </c>
      <c r="K17" s="7">
        <f t="shared" si="36"/>
        <v>2739.6800000000003</v>
      </c>
      <c r="L17" s="7">
        <f t="shared" si="36"/>
        <v>2311</v>
      </c>
      <c r="P17" s="7">
        <f>P13-P16</f>
        <v>4232</v>
      </c>
      <c r="Q17" s="7">
        <f>Q13-Q16</f>
        <v>6536</v>
      </c>
      <c r="R17" s="7">
        <f>R13-R16</f>
        <v>6502</v>
      </c>
      <c r="S17" s="7">
        <f t="shared" ref="S17:T17" si="37">S13-S16</f>
        <v>9044</v>
      </c>
      <c r="T17" s="7">
        <f t="shared" si="37"/>
        <v>9024</v>
      </c>
      <c r="U17" s="7">
        <f t="shared" ref="U17" si="38">U13-U16</f>
        <v>10443.24249018151</v>
      </c>
      <c r="V17" s="7">
        <f t="shared" ref="V17" si="39">V13-V16</f>
        <v>11867.348539101473</v>
      </c>
      <c r="W17" s="7">
        <f t="shared" ref="W17" si="40">W13-W16</f>
        <v>13482.979251746387</v>
      </c>
      <c r="X17" s="7">
        <f t="shared" ref="X17" si="41">X13-X16</f>
        <v>15315.619006366222</v>
      </c>
      <c r="Y17" s="7">
        <f t="shared" ref="Y17:Z17" si="42">Y13-Y16</f>
        <v>17394.11483347114</v>
      </c>
      <c r="Z17" s="7">
        <f t="shared" si="42"/>
        <v>19751.117151873244</v>
      </c>
    </row>
    <row r="18" spans="1:116" x14ac:dyDescent="0.2">
      <c r="B18" s="7" t="s">
        <v>17</v>
      </c>
      <c r="F18" s="7">
        <v>5.2</v>
      </c>
      <c r="G18" s="7">
        <v>26</v>
      </c>
      <c r="H18" s="7">
        <v>-12</v>
      </c>
      <c r="I18" s="7">
        <v>-1</v>
      </c>
      <c r="J18" s="7">
        <v>6.3</v>
      </c>
      <c r="K18" s="7">
        <v>49</v>
      </c>
      <c r="L18" s="7">
        <f>K36*(AC26/4)</f>
        <v>-3.7549999999999999</v>
      </c>
      <c r="R18" s="7">
        <v>-44.6</v>
      </c>
      <c r="S18" s="7">
        <v>41</v>
      </c>
      <c r="T18" s="7">
        <v>20</v>
      </c>
      <c r="U18" s="7">
        <f t="shared" ref="U18:Z18" si="43">T36*$AC$26</f>
        <v>53.6</v>
      </c>
      <c r="V18" s="7">
        <f t="shared" si="43"/>
        <v>232.52861707462057</v>
      </c>
      <c r="W18" s="7">
        <f t="shared" si="43"/>
        <v>433.7425722334176</v>
      </c>
      <c r="X18" s="7">
        <f t="shared" si="43"/>
        <v>664.96096498579664</v>
      </c>
      <c r="Y18" s="7">
        <f t="shared" si="43"/>
        <v>930.2482846380351</v>
      </c>
      <c r="Z18" s="7">
        <f t="shared" si="43"/>
        <v>1234.2091029205365</v>
      </c>
    </row>
    <row r="19" spans="1:116" x14ac:dyDescent="0.2">
      <c r="B19" s="7" t="s">
        <v>18</v>
      </c>
      <c r="C19" s="7">
        <f>C17+C18</f>
        <v>0</v>
      </c>
      <c r="D19" s="7">
        <f t="shared" ref="D19:F19" si="44">D17+D18</f>
        <v>0</v>
      </c>
      <c r="E19" s="7">
        <f t="shared" si="44"/>
        <v>0</v>
      </c>
      <c r="F19" s="7">
        <f t="shared" si="44"/>
        <v>2397.1999999999998</v>
      </c>
      <c r="G19" s="7">
        <f>G17+G18</f>
        <v>1418</v>
      </c>
      <c r="H19" s="7">
        <f t="shared" ref="H19:L19" si="45">H17+H18</f>
        <v>1823</v>
      </c>
      <c r="I19" s="7">
        <f t="shared" si="45"/>
        <v>2440</v>
      </c>
      <c r="J19" s="7">
        <f>J17+J18</f>
        <v>3371.9</v>
      </c>
      <c r="K19" s="7">
        <f t="shared" si="45"/>
        <v>2788.6800000000003</v>
      </c>
      <c r="L19" s="7">
        <f t="shared" si="45"/>
        <v>2307.2449999999999</v>
      </c>
      <c r="P19" s="7">
        <f>P17+P18</f>
        <v>4232</v>
      </c>
      <c r="Q19" s="7">
        <f>Q17+Q18</f>
        <v>6536</v>
      </c>
      <c r="R19" s="7">
        <f>R17+R18</f>
        <v>6457.4</v>
      </c>
      <c r="S19" s="7">
        <f t="shared" ref="S19:T19" si="46">S17+S18</f>
        <v>9085</v>
      </c>
      <c r="T19" s="7">
        <f t="shared" si="46"/>
        <v>9044</v>
      </c>
      <c r="U19" s="7">
        <f t="shared" ref="U19" si="47">U17+U18</f>
        <v>10496.842490181511</v>
      </c>
      <c r="V19" s="7">
        <f t="shared" ref="V19" si="48">V17+V18</f>
        <v>12099.877156176093</v>
      </c>
      <c r="W19" s="7">
        <f t="shared" ref="W19" si="49">W17+W18</f>
        <v>13916.721823979804</v>
      </c>
      <c r="X19" s="7">
        <f t="shared" ref="X19" si="50">X17+X18</f>
        <v>15980.579971352017</v>
      </c>
      <c r="Y19" s="7">
        <f t="shared" ref="Y19:Z19" si="51">Y17+Y18</f>
        <v>18324.363118109173</v>
      </c>
      <c r="Z19" s="7">
        <f t="shared" si="51"/>
        <v>20985.326254793781</v>
      </c>
    </row>
    <row r="20" spans="1:116" x14ac:dyDescent="0.2">
      <c r="B20" s="7" t="s">
        <v>19</v>
      </c>
      <c r="F20" s="7">
        <v>386</v>
      </c>
      <c r="G20" s="7">
        <v>224</v>
      </c>
      <c r="H20" s="7">
        <v>292</v>
      </c>
      <c r="I20" s="7">
        <v>441</v>
      </c>
      <c r="J20" s="7">
        <v>723.8</v>
      </c>
      <c r="K20" s="7">
        <v>465</v>
      </c>
      <c r="L20" s="7">
        <f>L19*L28</f>
        <v>392.23165</v>
      </c>
      <c r="R20" s="7">
        <v>970</v>
      </c>
      <c r="S20" s="7">
        <v>1436</v>
      </c>
      <c r="T20" s="7">
        <v>1681</v>
      </c>
      <c r="U20" s="7">
        <f>U19*U28</f>
        <v>1784.4632233308569</v>
      </c>
      <c r="V20" s="7">
        <f t="shared" ref="V20:Z20" si="52">V19*V28</f>
        <v>2298.9766596734576</v>
      </c>
      <c r="W20" s="7">
        <f t="shared" si="52"/>
        <v>2644.1771465561628</v>
      </c>
      <c r="X20" s="7">
        <f t="shared" si="52"/>
        <v>3036.3101945568833</v>
      </c>
      <c r="Y20" s="7">
        <f t="shared" si="52"/>
        <v>3481.6289924407429</v>
      </c>
      <c r="Z20" s="7">
        <f t="shared" si="52"/>
        <v>3987.2119884108183</v>
      </c>
    </row>
    <row r="21" spans="1:116" x14ac:dyDescent="0.2">
      <c r="B21" s="7" t="s">
        <v>21</v>
      </c>
      <c r="F21" s="7">
        <v>36.6</v>
      </c>
      <c r="G21" s="7">
        <v>30.2</v>
      </c>
      <c r="H21" s="7">
        <v>47</v>
      </c>
      <c r="I21" s="7">
        <v>77</v>
      </c>
      <c r="J21" s="7">
        <v>55.5</v>
      </c>
      <c r="K21" s="7">
        <f>J21*(1+K27)</f>
        <v>46.386807729677209</v>
      </c>
      <c r="L21" s="7">
        <v>50</v>
      </c>
      <c r="R21" s="7">
        <v>138</v>
      </c>
      <c r="S21" s="7">
        <v>191</v>
      </c>
      <c r="T21" s="7">
        <v>210</v>
      </c>
      <c r="U21" s="7">
        <f>T21*(1+U26)</f>
        <v>234.05158688037363</v>
      </c>
      <c r="V21" s="7">
        <f t="shared" ref="V21:Y21" si="53">U21*(1+V26)</f>
        <v>259.79726143721473</v>
      </c>
      <c r="W21" s="7">
        <f t="shared" si="53"/>
        <v>288.37496019530835</v>
      </c>
      <c r="X21" s="7">
        <f t="shared" si="53"/>
        <v>320.09620581679229</v>
      </c>
      <c r="Y21" s="7">
        <f t="shared" si="53"/>
        <v>355.30678845663948</v>
      </c>
      <c r="Z21" s="7">
        <f t="shared" ref="Z21" si="54">Y21*(1+Z26)</f>
        <v>394.39053518686984</v>
      </c>
    </row>
    <row r="22" spans="1:116" x14ac:dyDescent="0.2">
      <c r="A22" s="11"/>
      <c r="B22" s="7" t="s">
        <v>20</v>
      </c>
      <c r="C22" s="7">
        <f>C19-C20+C21</f>
        <v>0</v>
      </c>
      <c r="D22" s="7">
        <f t="shared" ref="D22:F22" si="55">D19-D20+D21</f>
        <v>0</v>
      </c>
      <c r="E22" s="7">
        <f t="shared" si="55"/>
        <v>0</v>
      </c>
      <c r="F22" s="7">
        <f t="shared" si="55"/>
        <v>2047.7999999999997</v>
      </c>
      <c r="G22" s="7">
        <f>G19-G20+G21</f>
        <v>1224.2</v>
      </c>
      <c r="H22" s="7">
        <f t="shared" ref="H22:L22" si="56">H19-H20+H21</f>
        <v>1578</v>
      </c>
      <c r="I22" s="7">
        <f t="shared" si="56"/>
        <v>2076</v>
      </c>
      <c r="J22" s="7">
        <f>J19-J20+J21</f>
        <v>2703.6000000000004</v>
      </c>
      <c r="K22" s="7">
        <f t="shared" si="56"/>
        <v>2370.0668077296773</v>
      </c>
      <c r="L22" s="7">
        <f t="shared" si="56"/>
        <v>1965.0133499999999</v>
      </c>
      <c r="P22" s="7">
        <v>3554</v>
      </c>
      <c r="Q22" s="7">
        <v>5883</v>
      </c>
      <c r="R22" s="7">
        <f>R19-R20+R21</f>
        <v>5625.4</v>
      </c>
      <c r="S22" s="7">
        <f t="shared" ref="S22:T22" si="57">S19-S20+S21</f>
        <v>7840</v>
      </c>
      <c r="T22" s="7">
        <f t="shared" si="57"/>
        <v>7573</v>
      </c>
      <c r="U22" s="7">
        <f t="shared" ref="U22" si="58">U19-U20+U21</f>
        <v>8946.430853731028</v>
      </c>
      <c r="V22" s="7">
        <f t="shared" ref="V22" si="59">V19-V20+V21</f>
        <v>10060.697757939852</v>
      </c>
      <c r="W22" s="7">
        <f t="shared" ref="W22" si="60">W19-W20+W21</f>
        <v>11560.919637618948</v>
      </c>
      <c r="X22" s="7">
        <f t="shared" ref="X22" si="61">X19-X20+X21</f>
        <v>13264.365982611926</v>
      </c>
      <c r="Y22" s="7">
        <f t="shared" ref="Y22:Z22" si="62">Y19-Y20+Y21</f>
        <v>15198.040914125069</v>
      </c>
      <c r="Z22" s="7">
        <f t="shared" si="62"/>
        <v>17392.504801569834</v>
      </c>
      <c r="AA22" s="7">
        <f t="shared" ref="AA22:BF22" si="63">Z22*(1+$AC$27)</f>
        <v>17566.429849585533</v>
      </c>
      <c r="AB22" s="7">
        <f t="shared" si="63"/>
        <v>17742.094148081389</v>
      </c>
      <c r="AC22" s="7">
        <f t="shared" si="63"/>
        <v>17919.515089562203</v>
      </c>
      <c r="AD22" s="7">
        <f t="shared" si="63"/>
        <v>18098.710240457825</v>
      </c>
      <c r="AE22" s="7">
        <f t="shared" si="63"/>
        <v>18279.697342862404</v>
      </c>
      <c r="AF22" s="7">
        <f t="shared" si="63"/>
        <v>18462.494316291028</v>
      </c>
      <c r="AG22" s="7">
        <f t="shared" si="63"/>
        <v>18647.119259453939</v>
      </c>
      <c r="AH22" s="7">
        <f t="shared" si="63"/>
        <v>18833.59045204848</v>
      </c>
      <c r="AI22" s="7">
        <f t="shared" si="63"/>
        <v>19021.926356568965</v>
      </c>
      <c r="AJ22" s="7">
        <f t="shared" si="63"/>
        <v>19212.145620134655</v>
      </c>
      <c r="AK22" s="7">
        <f t="shared" si="63"/>
        <v>19404.267076336004</v>
      </c>
      <c r="AL22" s="7">
        <f t="shared" si="63"/>
        <v>19598.309747099363</v>
      </c>
      <c r="AM22" s="7">
        <f t="shared" si="63"/>
        <v>19794.292844570358</v>
      </c>
      <c r="AN22" s="7">
        <f t="shared" si="63"/>
        <v>19992.235773016062</v>
      </c>
      <c r="AO22" s="7">
        <f t="shared" si="63"/>
        <v>20192.158130746222</v>
      </c>
      <c r="AP22" s="7">
        <f t="shared" si="63"/>
        <v>20394.079712053684</v>
      </c>
      <c r="AQ22" s="7">
        <f t="shared" si="63"/>
        <v>20598.020509174221</v>
      </c>
      <c r="AR22" s="7">
        <f t="shared" si="63"/>
        <v>20804.000714265963</v>
      </c>
      <c r="AS22" s="7">
        <f t="shared" si="63"/>
        <v>21012.040721408623</v>
      </c>
      <c r="AT22" s="7">
        <f t="shared" si="63"/>
        <v>21222.161128622709</v>
      </c>
      <c r="AU22" s="7">
        <f t="shared" si="63"/>
        <v>21434.382739908935</v>
      </c>
      <c r="AV22" s="7">
        <f t="shared" si="63"/>
        <v>21648.726567308026</v>
      </c>
      <c r="AW22" s="7">
        <f t="shared" si="63"/>
        <v>21865.213832981106</v>
      </c>
      <c r="AX22" s="7">
        <f t="shared" si="63"/>
        <v>22083.865971310915</v>
      </c>
      <c r="AY22" s="7">
        <f t="shared" si="63"/>
        <v>22304.704631024026</v>
      </c>
      <c r="AZ22" s="7">
        <f t="shared" si="63"/>
        <v>22527.751677334265</v>
      </c>
      <c r="BA22" s="7">
        <f t="shared" si="63"/>
        <v>22753.029194107607</v>
      </c>
      <c r="BB22" s="7">
        <f t="shared" si="63"/>
        <v>22980.559486048682</v>
      </c>
      <c r="BC22" s="7">
        <f t="shared" si="63"/>
        <v>23210.365080909171</v>
      </c>
      <c r="BD22" s="7">
        <f t="shared" si="63"/>
        <v>23442.468731718262</v>
      </c>
      <c r="BE22" s="7">
        <f t="shared" si="63"/>
        <v>23676.893419035445</v>
      </c>
      <c r="BF22" s="7">
        <f t="shared" si="63"/>
        <v>23913.662353225798</v>
      </c>
      <c r="BG22" s="7">
        <f t="shared" ref="BG22:CL22" si="64">BF22*(1+$AC$27)</f>
        <v>24152.798976758055</v>
      </c>
      <c r="BH22" s="7">
        <f t="shared" si="64"/>
        <v>24394.326966525634</v>
      </c>
      <c r="BI22" s="7">
        <f t="shared" si="64"/>
        <v>24638.270236190889</v>
      </c>
      <c r="BJ22" s="7">
        <f t="shared" si="64"/>
        <v>24884.652938552797</v>
      </c>
      <c r="BK22" s="7">
        <f t="shared" si="64"/>
        <v>25133.499467938327</v>
      </c>
      <c r="BL22" s="7">
        <f t="shared" si="64"/>
        <v>25384.83446261771</v>
      </c>
      <c r="BM22" s="7">
        <f t="shared" si="64"/>
        <v>25638.682807243888</v>
      </c>
      <c r="BN22" s="7">
        <f t="shared" si="64"/>
        <v>25895.069635316326</v>
      </c>
      <c r="BO22" s="7">
        <f t="shared" si="64"/>
        <v>26154.02033166949</v>
      </c>
      <c r="BP22" s="7">
        <f t="shared" si="64"/>
        <v>26415.560534986183</v>
      </c>
      <c r="BQ22" s="7">
        <f t="shared" si="64"/>
        <v>26679.716140336044</v>
      </c>
      <c r="BR22" s="7">
        <f t="shared" si="64"/>
        <v>26946.513301739404</v>
      </c>
      <c r="BS22" s="7">
        <f t="shared" si="64"/>
        <v>27215.978434756798</v>
      </c>
      <c r="BT22" s="7">
        <f t="shared" si="64"/>
        <v>27488.138219104367</v>
      </c>
      <c r="BU22" s="7">
        <f t="shared" si="64"/>
        <v>27763.019601295411</v>
      </c>
      <c r="BV22" s="7">
        <f t="shared" si="64"/>
        <v>28040.649797308364</v>
      </c>
      <c r="BW22" s="7">
        <f t="shared" si="64"/>
        <v>28321.056295281447</v>
      </c>
      <c r="BX22" s="7">
        <f t="shared" si="64"/>
        <v>28604.266858234263</v>
      </c>
      <c r="BY22" s="7">
        <f t="shared" si="64"/>
        <v>28890.309526816607</v>
      </c>
      <c r="BZ22" s="7">
        <f t="shared" si="64"/>
        <v>29179.212622084775</v>
      </c>
      <c r="CA22" s="7">
        <f t="shared" si="64"/>
        <v>29471.004748305622</v>
      </c>
      <c r="CB22" s="7">
        <f t="shared" si="64"/>
        <v>29765.714795788677</v>
      </c>
      <c r="CC22" s="7">
        <f t="shared" si="64"/>
        <v>30063.371943746566</v>
      </c>
      <c r="CD22" s="7">
        <f t="shared" si="64"/>
        <v>30364.005663184031</v>
      </c>
      <c r="CE22" s="7">
        <f t="shared" si="64"/>
        <v>30667.645719815871</v>
      </c>
      <c r="CF22" s="7">
        <f t="shared" si="64"/>
        <v>30974.32217701403</v>
      </c>
      <c r="CG22" s="7">
        <f t="shared" si="64"/>
        <v>31284.065398784169</v>
      </c>
      <c r="CH22" s="7">
        <f t="shared" si="64"/>
        <v>31596.90605277201</v>
      </c>
      <c r="CI22" s="7">
        <f t="shared" si="64"/>
        <v>31912.875113299731</v>
      </c>
      <c r="CJ22" s="7">
        <f t="shared" si="64"/>
        <v>32232.003864432729</v>
      </c>
      <c r="CK22" s="7">
        <f t="shared" si="64"/>
        <v>32554.323903077056</v>
      </c>
      <c r="CL22" s="7">
        <f t="shared" si="64"/>
        <v>32879.867142107825</v>
      </c>
      <c r="CM22" s="7">
        <f t="shared" ref="CM22:DL22" si="65">CL22*(1+$AC$27)</f>
        <v>33208.665813528904</v>
      </c>
      <c r="CN22" s="7">
        <f t="shared" si="65"/>
        <v>33540.752471664193</v>
      </c>
      <c r="CO22" s="7">
        <f t="shared" si="65"/>
        <v>33876.159996380833</v>
      </c>
      <c r="CP22" s="7">
        <f t="shared" si="65"/>
        <v>34214.92159634464</v>
      </c>
      <c r="CQ22" s="7">
        <f t="shared" si="65"/>
        <v>34557.070812308084</v>
      </c>
      <c r="CR22" s="7">
        <f t="shared" si="65"/>
        <v>34902.641520431163</v>
      </c>
      <c r="CS22" s="7">
        <f t="shared" si="65"/>
        <v>35251.667935635473</v>
      </c>
      <c r="CT22" s="7">
        <f t="shared" si="65"/>
        <v>35604.184614991827</v>
      </c>
      <c r="CU22" s="7">
        <f t="shared" si="65"/>
        <v>35960.226461141749</v>
      </c>
      <c r="CV22" s="7">
        <f t="shared" si="65"/>
        <v>36319.828725753163</v>
      </c>
      <c r="CW22" s="7">
        <f t="shared" si="65"/>
        <v>36683.027013010695</v>
      </c>
      <c r="CX22" s="7">
        <f t="shared" si="65"/>
        <v>37049.857283140802</v>
      </c>
      <c r="CY22" s="7">
        <f t="shared" si="65"/>
        <v>37420.355855972208</v>
      </c>
      <c r="CZ22" s="7">
        <f t="shared" si="65"/>
        <v>37794.559414531934</v>
      </c>
      <c r="DA22" s="7">
        <f t="shared" si="65"/>
        <v>38172.505008677253</v>
      </c>
      <c r="DB22" s="7">
        <f t="shared" si="65"/>
        <v>38554.230058764027</v>
      </c>
      <c r="DC22" s="7">
        <f t="shared" si="65"/>
        <v>38939.772359351671</v>
      </c>
      <c r="DD22" s="7">
        <f t="shared" si="65"/>
        <v>39329.170082945187</v>
      </c>
      <c r="DE22" s="7">
        <f t="shared" si="65"/>
        <v>39722.461783774641</v>
      </c>
      <c r="DF22" s="7">
        <f t="shared" si="65"/>
        <v>40119.686401612387</v>
      </c>
      <c r="DG22" s="7">
        <f t="shared" si="65"/>
        <v>40520.883265628509</v>
      </c>
      <c r="DH22" s="7">
        <f t="shared" si="65"/>
        <v>40926.092098284797</v>
      </c>
      <c r="DI22" s="7">
        <f t="shared" si="65"/>
        <v>41335.353019267648</v>
      </c>
      <c r="DJ22" s="7">
        <f t="shared" si="65"/>
        <v>41748.706549460323</v>
      </c>
      <c r="DK22" s="7">
        <f t="shared" si="65"/>
        <v>42166.193614954929</v>
      </c>
      <c r="DL22" s="7">
        <f t="shared" si="65"/>
        <v>42587.855551104476</v>
      </c>
    </row>
    <row r="23" spans="1:116" x14ac:dyDescent="0.2">
      <c r="B23" s="7" t="s">
        <v>1</v>
      </c>
      <c r="F23" s="7">
        <v>394</v>
      </c>
      <c r="G23" s="7">
        <v>394</v>
      </c>
      <c r="H23" s="7">
        <v>393</v>
      </c>
      <c r="I23" s="7">
        <v>394</v>
      </c>
      <c r="J23" s="7">
        <v>394</v>
      </c>
      <c r="K23" s="7">
        <v>392</v>
      </c>
      <c r="L23" s="7">
        <v>392</v>
      </c>
      <c r="R23" s="7">
        <v>396</v>
      </c>
      <c r="S23" s="7">
        <v>394</v>
      </c>
      <c r="T23" s="7">
        <v>393.6</v>
      </c>
      <c r="U23" s="7">
        <v>393.6</v>
      </c>
      <c r="V23" s="7">
        <v>393.6</v>
      </c>
      <c r="W23" s="7">
        <v>393.6</v>
      </c>
      <c r="X23" s="7">
        <v>393.6</v>
      </c>
      <c r="Y23" s="7">
        <v>393.6</v>
      </c>
      <c r="Z23" s="7">
        <v>393.6</v>
      </c>
    </row>
    <row r="24" spans="1:116" x14ac:dyDescent="0.2">
      <c r="B24" s="7" t="s">
        <v>22</v>
      </c>
      <c r="C24" s="9" t="e">
        <f>C22/C23</f>
        <v>#DIV/0!</v>
      </c>
      <c r="D24" s="9" t="e">
        <f t="shared" ref="D24:F24" si="66">D22/D23</f>
        <v>#DIV/0!</v>
      </c>
      <c r="E24" s="9" t="e">
        <f t="shared" si="66"/>
        <v>#DIV/0!</v>
      </c>
      <c r="F24" s="9">
        <f t="shared" si="66"/>
        <v>5.1974619289340094</v>
      </c>
      <c r="G24" s="9">
        <f>G22/G23</f>
        <v>3.1071065989847715</v>
      </c>
      <c r="H24" s="9">
        <f t="shared" ref="H24:L24" si="67">H22/H23</f>
        <v>4.0152671755725189</v>
      </c>
      <c r="I24" s="9">
        <f t="shared" si="67"/>
        <v>5.2690355329949234</v>
      </c>
      <c r="J24" s="9">
        <f t="shared" si="67"/>
        <v>6.8619289340101535</v>
      </c>
      <c r="K24" s="9">
        <f t="shared" si="67"/>
        <v>6.0460887952287683</v>
      </c>
      <c r="L24" s="9">
        <f t="shared" si="67"/>
        <v>5.0127891581632653</v>
      </c>
      <c r="M24" s="9"/>
      <c r="N24" s="9"/>
      <c r="O24" s="9"/>
      <c r="P24" s="9" t="e">
        <f>P22/P23</f>
        <v>#DIV/0!</v>
      </c>
      <c r="Q24" s="9" t="e">
        <f>Q22/Q23</f>
        <v>#DIV/0!</v>
      </c>
      <c r="R24" s="9">
        <f>R22/R23</f>
        <v>14.205555555555554</v>
      </c>
      <c r="S24" s="9">
        <f t="shared" ref="S24:T24" si="68">S22/S23</f>
        <v>19.898477157360407</v>
      </c>
      <c r="T24" s="9">
        <f t="shared" si="68"/>
        <v>19.240345528455283</v>
      </c>
      <c r="U24" s="9">
        <f t="shared" ref="U24" si="69">U22/U23</f>
        <v>22.729753185292246</v>
      </c>
      <c r="V24" s="9">
        <f t="shared" ref="V24" si="70">V22/V23</f>
        <v>25.560715848424419</v>
      </c>
      <c r="W24" s="9">
        <f t="shared" ref="W24" si="71">W22/W23</f>
        <v>29.37225517687741</v>
      </c>
      <c r="X24" s="9">
        <f t="shared" ref="X24" si="72">X22/X23</f>
        <v>33.700116825741681</v>
      </c>
      <c r="Y24" s="9">
        <f t="shared" ref="Y24:Z24" si="73">Y22/Y23</f>
        <v>38.612908826537264</v>
      </c>
      <c r="Z24" s="9">
        <f t="shared" si="73"/>
        <v>44.188274394232302</v>
      </c>
    </row>
    <row r="25" spans="1:116" x14ac:dyDescent="0.2">
      <c r="U25" s="10"/>
      <c r="V25" s="10"/>
      <c r="W25" s="10"/>
      <c r="X25" s="10"/>
      <c r="Y25" s="10"/>
      <c r="Z25" s="10"/>
    </row>
    <row r="26" spans="1:116" s="11" customFormat="1" x14ac:dyDescent="0.2">
      <c r="B26" s="11" t="s">
        <v>50</v>
      </c>
      <c r="G26" s="12" t="e">
        <f>G9/C9-1</f>
        <v>#DIV/0!</v>
      </c>
      <c r="H26" s="12" t="e">
        <f>H9/D9-1</f>
        <v>#DIV/0!</v>
      </c>
      <c r="I26" s="12" t="e">
        <f>I9/E9-1</f>
        <v>#DIV/0!</v>
      </c>
      <c r="J26" s="12">
        <f>J9/F9-1</f>
        <v>0.27995025563078624</v>
      </c>
      <c r="K26" s="12">
        <f>K9/G9-1</f>
        <v>0.46351606805293</v>
      </c>
      <c r="L26" s="12"/>
      <c r="M26" s="13"/>
      <c r="N26" s="12"/>
      <c r="O26" s="12"/>
      <c r="P26" s="12"/>
      <c r="Q26" s="12">
        <f>Q9/P9-1</f>
        <v>0.33135417411832035</v>
      </c>
      <c r="R26" s="12">
        <f>R9/Q9-1</f>
        <v>0.1376605233464081</v>
      </c>
      <c r="S26" s="12">
        <f>S9/R9-1</f>
        <v>0.30161054172767199</v>
      </c>
      <c r="T26" s="12">
        <f>T9/S9-1</f>
        <v>2.5545193947530853E-2</v>
      </c>
      <c r="U26" s="12">
        <f t="shared" ref="U26:Y26" si="74">U9/T9-1</f>
        <v>0.11453136609701731</v>
      </c>
      <c r="V26" s="12">
        <f t="shared" si="74"/>
        <v>0.1100000000000001</v>
      </c>
      <c r="W26" s="12">
        <f t="shared" si="74"/>
        <v>0.1100000000000001</v>
      </c>
      <c r="X26" s="12">
        <f t="shared" si="74"/>
        <v>0.1100000000000001</v>
      </c>
      <c r="Y26" s="12">
        <f t="shared" si="74"/>
        <v>0.1100000000000001</v>
      </c>
      <c r="Z26" s="12">
        <f t="shared" ref="Z26" si="75">Z9/Y9-1</f>
        <v>0.1100000000000001</v>
      </c>
      <c r="AB26" s="7" t="s">
        <v>39</v>
      </c>
      <c r="AC26" s="10">
        <v>0.02</v>
      </c>
      <c r="AD26" s="7"/>
    </row>
    <row r="27" spans="1:116" s="11" customFormat="1" x14ac:dyDescent="0.2">
      <c r="B27" s="7" t="s">
        <v>49</v>
      </c>
      <c r="C27" s="10" t="e">
        <f>C9/B9-1</f>
        <v>#VALUE!</v>
      </c>
      <c r="D27" s="10" t="e">
        <f t="shared" ref="D27:G27" si="76">D9/C9-1</f>
        <v>#DIV/0!</v>
      </c>
      <c r="E27" s="10" t="e">
        <f t="shared" si="76"/>
        <v>#DIV/0!</v>
      </c>
      <c r="F27" s="10" t="e">
        <f t="shared" si="76"/>
        <v>#DIV/0!</v>
      </c>
      <c r="G27" s="10">
        <f t="shared" si="76"/>
        <v>-0.26903413016443278</v>
      </c>
      <c r="H27" s="10">
        <f>H9/G9-1</f>
        <v>0.18015122873345946</v>
      </c>
      <c r="I27" s="10">
        <f>I9/H9-1</f>
        <v>0.19605958673714552</v>
      </c>
      <c r="J27" s="10">
        <f>J9/I9-1</f>
        <v>0.24052497656354621</v>
      </c>
      <c r="K27" s="10">
        <f>K9/J9-1</f>
        <v>-0.16420166252833857</v>
      </c>
      <c r="L27" s="10"/>
      <c r="M27" s="9"/>
      <c r="N27" s="10"/>
      <c r="O27" s="10"/>
      <c r="P27" s="10"/>
      <c r="Q27" s="7"/>
      <c r="R27" s="7"/>
      <c r="S27" s="10"/>
      <c r="T27" s="10"/>
      <c r="U27" s="10"/>
      <c r="V27" s="10"/>
      <c r="W27" s="10"/>
      <c r="X27" s="10"/>
      <c r="Y27" s="10"/>
      <c r="Z27" s="10"/>
      <c r="AB27" s="7" t="s">
        <v>40</v>
      </c>
      <c r="AC27" s="10">
        <v>0.01</v>
      </c>
      <c r="AD27" s="7" t="s">
        <v>46</v>
      </c>
    </row>
    <row r="28" spans="1:116" x14ac:dyDescent="0.2">
      <c r="B28" s="7" t="s">
        <v>23</v>
      </c>
      <c r="C28" s="10" t="e">
        <f>C20/C19</f>
        <v>#DIV/0!</v>
      </c>
      <c r="D28" s="10" t="e">
        <f t="shared" ref="D28:F28" si="77">D20/D19</f>
        <v>#DIV/0!</v>
      </c>
      <c r="E28" s="10" t="e">
        <f t="shared" si="77"/>
        <v>#DIV/0!</v>
      </c>
      <c r="F28" s="10">
        <f t="shared" si="77"/>
        <v>0.16102119138995497</v>
      </c>
      <c r="G28" s="10">
        <f>G20/G19</f>
        <v>0.15796897038081806</v>
      </c>
      <c r="H28" s="10">
        <f>H20/H19</f>
        <v>0.16017553483269337</v>
      </c>
      <c r="I28" s="10">
        <f>I20/I19</f>
        <v>0.18073770491803279</v>
      </c>
      <c r="J28" s="10">
        <f>J20/J19</f>
        <v>0.21465642516088851</v>
      </c>
      <c r="K28" s="10">
        <f>K20/K19</f>
        <v>0.16674555703773827</v>
      </c>
      <c r="L28" s="10">
        <v>0.17</v>
      </c>
      <c r="M28" s="10"/>
      <c r="N28" s="10"/>
      <c r="O28" s="10"/>
      <c r="P28" s="10">
        <f>P20/P19</f>
        <v>0</v>
      </c>
      <c r="Q28" s="10">
        <f>Q20/Q19</f>
        <v>0</v>
      </c>
      <c r="R28" s="10">
        <f>R20/R19</f>
        <v>0.15021525691454765</v>
      </c>
      <c r="S28" s="10">
        <f t="shared" ref="S28:T28" si="78">S20/S19</f>
        <v>0.15806274078150798</v>
      </c>
      <c r="T28" s="10">
        <f t="shared" si="78"/>
        <v>0.18586908447589562</v>
      </c>
      <c r="U28" s="10">
        <v>0.17</v>
      </c>
      <c r="V28" s="10">
        <v>0.19</v>
      </c>
      <c r="W28" s="10">
        <v>0.19</v>
      </c>
      <c r="X28" s="10">
        <v>0.19</v>
      </c>
      <c r="Y28" s="10">
        <v>0.19</v>
      </c>
      <c r="Z28" s="10">
        <v>0.19</v>
      </c>
      <c r="AB28" s="7" t="s">
        <v>41</v>
      </c>
      <c r="AC28" s="10">
        <v>0.09</v>
      </c>
      <c r="AD28" s="9">
        <v>1.1399999999999999</v>
      </c>
    </row>
    <row r="29" spans="1:116" x14ac:dyDescent="0.2">
      <c r="AB29" s="7" t="s">
        <v>42</v>
      </c>
      <c r="AC29" s="7">
        <f>NPV(AC28,U34:XFD34)+Main!O5-Main!O6</f>
        <v>256357.27795864001</v>
      </c>
    </row>
    <row r="30" spans="1:116" x14ac:dyDescent="0.2">
      <c r="B30" s="7" t="s">
        <v>24</v>
      </c>
      <c r="C30" s="10" t="e">
        <f>C13/C9</f>
        <v>#DIV/0!</v>
      </c>
      <c r="D30" s="10" t="e">
        <f t="shared" ref="D30:F30" si="79">D13/D9</f>
        <v>#DIV/0!</v>
      </c>
      <c r="E30" s="10" t="e">
        <f t="shared" si="79"/>
        <v>#DIV/0!</v>
      </c>
      <c r="F30" s="10">
        <f t="shared" si="79"/>
        <v>0.51361061213209891</v>
      </c>
      <c r="G30" s="10">
        <f>G13/G9</f>
        <v>0.50982986767485827</v>
      </c>
      <c r="H30" s="10">
        <f>H13/H9</f>
        <v>0.51449623578407822</v>
      </c>
      <c r="I30" s="10">
        <f>I13/I9</f>
        <v>0.50796839426811302</v>
      </c>
      <c r="J30" s="10">
        <f>J13/J9</f>
        <v>0.51819065097700534</v>
      </c>
      <c r="K30" s="10">
        <v>0.54</v>
      </c>
      <c r="L30" s="10">
        <v>0.51500000000000001</v>
      </c>
      <c r="M30" s="10"/>
      <c r="N30" s="10"/>
      <c r="O30" s="10"/>
      <c r="P30" s="10">
        <f>P13/P9</f>
        <v>0.49917733743472353</v>
      </c>
      <c r="Q30" s="10">
        <f>Q13/Q9</f>
        <v>0.52705389285906179</v>
      </c>
      <c r="R30" s="10">
        <f>R13/R9</f>
        <v>0.50536060076512535</v>
      </c>
      <c r="S30" s="10">
        <f t="shared" ref="S30:T30" si="80">S13/S9</f>
        <v>0.51297216880148044</v>
      </c>
      <c r="T30" s="10">
        <f t="shared" si="80"/>
        <v>0.51275519230088806</v>
      </c>
      <c r="U30" s="10">
        <v>0.52500000000000002</v>
      </c>
      <c r="V30" s="10">
        <f>U30*1.015</f>
        <v>0.53287499999999999</v>
      </c>
      <c r="W30" s="10">
        <f t="shared" ref="W30:Z30" si="81">V30*1.015</f>
        <v>0.54086812499999992</v>
      </c>
      <c r="X30" s="10">
        <f t="shared" si="81"/>
        <v>0.54898114687499988</v>
      </c>
      <c r="Y30" s="10">
        <f t="shared" si="81"/>
        <v>0.55721586407812485</v>
      </c>
      <c r="Z30" s="10">
        <f t="shared" si="81"/>
        <v>0.5655741020392967</v>
      </c>
      <c r="AB30" s="7" t="s">
        <v>45</v>
      </c>
      <c r="AC30" s="14">
        <f>AC29/Main!O3</f>
        <v>653.13956167806373</v>
      </c>
    </row>
    <row r="31" spans="1:116" x14ac:dyDescent="0.2">
      <c r="R31" s="10"/>
      <c r="S31" s="10"/>
      <c r="T31" s="10"/>
      <c r="U31" s="10"/>
      <c r="V31" s="10"/>
      <c r="W31" s="10"/>
      <c r="X31" s="10"/>
      <c r="Y31" s="10"/>
      <c r="Z31" s="10"/>
      <c r="AB31" s="7" t="s">
        <v>44</v>
      </c>
      <c r="AC31" s="9">
        <f>AC30*AD28</f>
        <v>744.57910031299264</v>
      </c>
    </row>
    <row r="32" spans="1:116" x14ac:dyDescent="0.2">
      <c r="B32" s="7" t="s">
        <v>25</v>
      </c>
      <c r="R32" s="7">
        <v>8487</v>
      </c>
      <c r="S32" s="7">
        <v>5443</v>
      </c>
      <c r="T32" s="7">
        <v>11166</v>
      </c>
      <c r="U32" s="7">
        <f>U22*1.6</f>
        <v>14314.289365969646</v>
      </c>
      <c r="V32" s="7">
        <f t="shared" ref="V32:Z32" si="82">V22*1.6</f>
        <v>16097.116412703763</v>
      </c>
      <c r="W32" s="7">
        <f t="shared" si="82"/>
        <v>18497.471420190319</v>
      </c>
      <c r="X32" s="7">
        <f t="shared" si="82"/>
        <v>21222.985572179081</v>
      </c>
      <c r="Y32" s="7">
        <f t="shared" si="82"/>
        <v>24316.865462600112</v>
      </c>
      <c r="Z32" s="7">
        <f t="shared" si="82"/>
        <v>27828.007682511736</v>
      </c>
      <c r="AB32" s="7" t="s">
        <v>43</v>
      </c>
      <c r="AC32" s="10">
        <f>AC31/Main!O2-1</f>
        <v>-3.2408295676136234E-3</v>
      </c>
    </row>
    <row r="33" spans="2:125" x14ac:dyDescent="0.2">
      <c r="B33" s="7" t="s">
        <v>26</v>
      </c>
      <c r="R33" s="7">
        <v>1282</v>
      </c>
      <c r="S33" s="7">
        <v>2155</v>
      </c>
      <c r="T33" s="7">
        <v>2067</v>
      </c>
      <c r="U33" s="7">
        <f>U9*0.07</f>
        <v>2205</v>
      </c>
      <c r="V33" s="7">
        <f t="shared" ref="V33:Z33" si="83">V9*0.07</f>
        <v>2447.5500000000002</v>
      </c>
      <c r="W33" s="7">
        <f t="shared" si="83"/>
        <v>2716.7805000000003</v>
      </c>
      <c r="X33" s="7">
        <f t="shared" si="83"/>
        <v>3015.6263550000008</v>
      </c>
      <c r="Y33" s="7">
        <f t="shared" si="83"/>
        <v>3347.3452540500011</v>
      </c>
      <c r="Z33" s="7">
        <f t="shared" si="83"/>
        <v>3715.5532319955014</v>
      </c>
    </row>
    <row r="34" spans="2:125" s="11" customFormat="1" x14ac:dyDescent="0.2">
      <c r="B34" s="11" t="s">
        <v>27</v>
      </c>
      <c r="C34" s="11">
        <f>C32-C33</f>
        <v>0</v>
      </c>
      <c r="D34" s="11">
        <f t="shared" ref="D34:K34" si="84">D32-D33</f>
        <v>0</v>
      </c>
      <c r="E34" s="11">
        <f t="shared" si="84"/>
        <v>0</v>
      </c>
      <c r="F34" s="11">
        <f t="shared" si="84"/>
        <v>0</v>
      </c>
      <c r="G34" s="11">
        <f t="shared" si="84"/>
        <v>0</v>
      </c>
      <c r="H34" s="11">
        <f t="shared" si="84"/>
        <v>0</v>
      </c>
      <c r="I34" s="11">
        <f t="shared" si="84"/>
        <v>0</v>
      </c>
      <c r="J34" s="11">
        <f t="shared" si="84"/>
        <v>0</v>
      </c>
      <c r="K34" s="11">
        <f t="shared" si="84"/>
        <v>0</v>
      </c>
      <c r="O34" s="11">
        <v>2400</v>
      </c>
      <c r="P34" s="11">
        <v>3600</v>
      </c>
      <c r="R34" s="11">
        <f>R32-R33</f>
        <v>7205</v>
      </c>
      <c r="S34" s="11">
        <f t="shared" ref="S34:Z34" si="85">S32-S33</f>
        <v>3288</v>
      </c>
      <c r="T34" s="11">
        <f t="shared" si="85"/>
        <v>9099</v>
      </c>
      <c r="U34" s="11">
        <f t="shared" si="85"/>
        <v>12109.289365969646</v>
      </c>
      <c r="V34" s="11">
        <f t="shared" si="85"/>
        <v>13649.566412703763</v>
      </c>
      <c r="W34" s="11">
        <f t="shared" si="85"/>
        <v>15780.690920190318</v>
      </c>
      <c r="X34" s="11">
        <f t="shared" si="85"/>
        <v>18207.359217179081</v>
      </c>
      <c r="Y34" s="11">
        <f t="shared" si="85"/>
        <v>20969.520208550111</v>
      </c>
      <c r="Z34" s="11">
        <f t="shared" si="85"/>
        <v>24112.454450516234</v>
      </c>
      <c r="AA34" s="11">
        <f t="shared" ref="AA34:BF34" si="86">Z34*(1+$AC$27)</f>
        <v>24353.578995021395</v>
      </c>
      <c r="AB34" s="11">
        <f t="shared" si="86"/>
        <v>24597.114784971607</v>
      </c>
      <c r="AC34" s="11">
        <f t="shared" si="86"/>
        <v>24843.085932821323</v>
      </c>
      <c r="AD34" s="11">
        <f t="shared" si="86"/>
        <v>25091.516792149538</v>
      </c>
      <c r="AE34" s="11">
        <f t="shared" si="86"/>
        <v>25342.431960071033</v>
      </c>
      <c r="AF34" s="11">
        <f t="shared" si="86"/>
        <v>25595.856279671745</v>
      </c>
      <c r="AG34" s="11">
        <f t="shared" si="86"/>
        <v>25851.814842468462</v>
      </c>
      <c r="AH34" s="11">
        <f t="shared" si="86"/>
        <v>26110.332990893148</v>
      </c>
      <c r="AI34" s="11">
        <f t="shared" si="86"/>
        <v>26371.43632080208</v>
      </c>
      <c r="AJ34" s="11">
        <f t="shared" si="86"/>
        <v>26635.150684010103</v>
      </c>
      <c r="AK34" s="11">
        <f t="shared" si="86"/>
        <v>26901.502190850206</v>
      </c>
      <c r="AL34" s="11">
        <f t="shared" si="86"/>
        <v>27170.517212758707</v>
      </c>
      <c r="AM34" s="11">
        <f t="shared" si="86"/>
        <v>27442.222384886292</v>
      </c>
      <c r="AN34" s="11">
        <f t="shared" si="86"/>
        <v>27716.644608735154</v>
      </c>
      <c r="AO34" s="11">
        <f t="shared" si="86"/>
        <v>27993.811054822505</v>
      </c>
      <c r="AP34" s="11">
        <f t="shared" si="86"/>
        <v>28273.749165370729</v>
      </c>
      <c r="AQ34" s="11">
        <f t="shared" si="86"/>
        <v>28556.486657024438</v>
      </c>
      <c r="AR34" s="11">
        <f t="shared" si="86"/>
        <v>28842.05152359468</v>
      </c>
      <c r="AS34" s="11">
        <f t="shared" si="86"/>
        <v>29130.472038830627</v>
      </c>
      <c r="AT34" s="11">
        <f t="shared" si="86"/>
        <v>29421.776759218934</v>
      </c>
      <c r="AU34" s="11">
        <f t="shared" si="86"/>
        <v>29715.994526811122</v>
      </c>
      <c r="AV34" s="11">
        <f t="shared" si="86"/>
        <v>30013.154472079234</v>
      </c>
      <c r="AW34" s="11">
        <f t="shared" si="86"/>
        <v>30313.286016800026</v>
      </c>
      <c r="AX34" s="11">
        <f t="shared" si="86"/>
        <v>30616.418876968026</v>
      </c>
      <c r="AY34" s="11">
        <f t="shared" si="86"/>
        <v>30922.583065737705</v>
      </c>
      <c r="AZ34" s="11">
        <f t="shared" si="86"/>
        <v>31231.808896395083</v>
      </c>
      <c r="BA34" s="11">
        <f t="shared" si="86"/>
        <v>31544.126985359035</v>
      </c>
      <c r="BB34" s="11">
        <f t="shared" si="86"/>
        <v>31859.568255212624</v>
      </c>
      <c r="BC34" s="11">
        <f t="shared" si="86"/>
        <v>32178.163937764752</v>
      </c>
      <c r="BD34" s="11">
        <f t="shared" si="86"/>
        <v>32499.9455771424</v>
      </c>
      <c r="BE34" s="11">
        <f t="shared" si="86"/>
        <v>32824.945032913827</v>
      </c>
      <c r="BF34" s="11">
        <f t="shared" si="86"/>
        <v>33153.194483242965</v>
      </c>
      <c r="BG34" s="11">
        <f t="shared" ref="BG34:CL34" si="87">BF34*(1+$AC$27)</f>
        <v>33484.726428075395</v>
      </c>
      <c r="BH34" s="11">
        <f t="shared" si="87"/>
        <v>33819.573692356149</v>
      </c>
      <c r="BI34" s="11">
        <f t="shared" si="87"/>
        <v>34157.76942927971</v>
      </c>
      <c r="BJ34" s="11">
        <f t="shared" si="87"/>
        <v>34499.347123572508</v>
      </c>
      <c r="BK34" s="11">
        <f t="shared" si="87"/>
        <v>34844.340594808236</v>
      </c>
      <c r="BL34" s="11">
        <f t="shared" si="87"/>
        <v>35192.784000756321</v>
      </c>
      <c r="BM34" s="11">
        <f t="shared" si="87"/>
        <v>35544.711840763885</v>
      </c>
      <c r="BN34" s="11">
        <f t="shared" si="87"/>
        <v>35900.158959171524</v>
      </c>
      <c r="BO34" s="11">
        <f t="shared" si="87"/>
        <v>36259.160548763241</v>
      </c>
      <c r="BP34" s="11">
        <f t="shared" si="87"/>
        <v>36621.752154250877</v>
      </c>
      <c r="BQ34" s="11">
        <f t="shared" si="87"/>
        <v>36987.969675793385</v>
      </c>
      <c r="BR34" s="11">
        <f t="shared" si="87"/>
        <v>37357.849372551318</v>
      </c>
      <c r="BS34" s="11">
        <f t="shared" si="87"/>
        <v>37731.427866276834</v>
      </c>
      <c r="BT34" s="11">
        <f t="shared" si="87"/>
        <v>38108.742144939606</v>
      </c>
      <c r="BU34" s="11">
        <f t="shared" si="87"/>
        <v>38489.829566389002</v>
      </c>
      <c r="BV34" s="11">
        <f t="shared" si="87"/>
        <v>38874.727862052896</v>
      </c>
      <c r="BW34" s="11">
        <f t="shared" si="87"/>
        <v>39263.475140673429</v>
      </c>
      <c r="BX34" s="11">
        <f t="shared" si="87"/>
        <v>39656.10989208016</v>
      </c>
      <c r="BY34" s="11">
        <f t="shared" si="87"/>
        <v>40052.670991000959</v>
      </c>
      <c r="BZ34" s="11">
        <f t="shared" si="87"/>
        <v>40453.197700910969</v>
      </c>
      <c r="CA34" s="11">
        <f t="shared" si="87"/>
        <v>40857.729677920077</v>
      </c>
      <c r="CB34" s="11">
        <f t="shared" si="87"/>
        <v>41266.306974699277</v>
      </c>
      <c r="CC34" s="11">
        <f t="shared" si="87"/>
        <v>41678.970044446272</v>
      </c>
      <c r="CD34" s="11">
        <f t="shared" si="87"/>
        <v>42095.759744890733</v>
      </c>
      <c r="CE34" s="11">
        <f t="shared" si="87"/>
        <v>42516.717342339638</v>
      </c>
      <c r="CF34" s="11">
        <f t="shared" si="87"/>
        <v>42941.884515763035</v>
      </c>
      <c r="CG34" s="11">
        <f t="shared" si="87"/>
        <v>43371.303360920669</v>
      </c>
      <c r="CH34" s="11">
        <f t="shared" si="87"/>
        <v>43805.016394529877</v>
      </c>
      <c r="CI34" s="11">
        <f t="shared" si="87"/>
        <v>44243.066558475177</v>
      </c>
      <c r="CJ34" s="11">
        <f t="shared" si="87"/>
        <v>44685.497224059931</v>
      </c>
      <c r="CK34" s="11">
        <f t="shared" si="87"/>
        <v>45132.352196300533</v>
      </c>
      <c r="CL34" s="11">
        <f t="shared" si="87"/>
        <v>45583.675718263541</v>
      </c>
      <c r="CM34" s="11">
        <f t="shared" ref="CM34:DU34" si="88">CL34*(1+$AC$27)</f>
        <v>46039.512475446179</v>
      </c>
      <c r="CN34" s="11">
        <f t="shared" si="88"/>
        <v>46499.90760020064</v>
      </c>
      <c r="CO34" s="11">
        <f t="shared" si="88"/>
        <v>46964.906676202649</v>
      </c>
      <c r="CP34" s="11">
        <f t="shared" si="88"/>
        <v>47434.555742964672</v>
      </c>
      <c r="CQ34" s="11">
        <f t="shared" si="88"/>
        <v>47908.901300394318</v>
      </c>
      <c r="CR34" s="11">
        <f t="shared" si="88"/>
        <v>48387.990313398259</v>
      </c>
      <c r="CS34" s="11">
        <f t="shared" si="88"/>
        <v>48871.870216532239</v>
      </c>
      <c r="CT34" s="11">
        <f t="shared" si="88"/>
        <v>49360.588918697562</v>
      </c>
      <c r="CU34" s="11">
        <f t="shared" si="88"/>
        <v>49854.194807884538</v>
      </c>
      <c r="CV34" s="11">
        <f t="shared" si="88"/>
        <v>50352.736755963386</v>
      </c>
      <c r="CW34" s="11">
        <f t="shared" si="88"/>
        <v>50856.264123523018</v>
      </c>
      <c r="CX34" s="11">
        <f t="shared" si="88"/>
        <v>51364.826764758247</v>
      </c>
      <c r="CY34" s="11">
        <f t="shared" si="88"/>
        <v>51878.475032405833</v>
      </c>
      <c r="CZ34" s="11">
        <f t="shared" si="88"/>
        <v>52397.259782729889</v>
      </c>
      <c r="DA34" s="11">
        <f t="shared" si="88"/>
        <v>52921.232380557187</v>
      </c>
      <c r="DB34" s="11">
        <f t="shared" si="88"/>
        <v>53450.444704362759</v>
      </c>
      <c r="DC34" s="11">
        <f t="shared" si="88"/>
        <v>53984.949151406385</v>
      </c>
      <c r="DD34" s="11">
        <f t="shared" si="88"/>
        <v>54524.798642920447</v>
      </c>
      <c r="DE34" s="11">
        <f t="shared" si="88"/>
        <v>55070.04662934965</v>
      </c>
      <c r="DF34" s="11">
        <f t="shared" si="88"/>
        <v>55620.74709564315</v>
      </c>
      <c r="DG34" s="11">
        <f t="shared" si="88"/>
        <v>56176.954566599583</v>
      </c>
      <c r="DH34" s="11">
        <f t="shared" si="88"/>
        <v>56738.724112265576</v>
      </c>
      <c r="DI34" s="11">
        <f t="shared" si="88"/>
        <v>57306.111353388231</v>
      </c>
      <c r="DJ34" s="11">
        <f t="shared" si="88"/>
        <v>57879.172466922115</v>
      </c>
      <c r="DK34" s="11">
        <f t="shared" si="88"/>
        <v>58457.964191591338</v>
      </c>
      <c r="DL34" s="11">
        <f t="shared" si="88"/>
        <v>59042.543833507254</v>
      </c>
      <c r="DM34" s="11">
        <f t="shared" si="88"/>
        <v>59632.969271842325</v>
      </c>
      <c r="DN34" s="11">
        <f t="shared" si="88"/>
        <v>60229.298964560752</v>
      </c>
      <c r="DO34" s="11">
        <f t="shared" si="88"/>
        <v>60831.591954206364</v>
      </c>
      <c r="DP34" s="11">
        <f t="shared" si="88"/>
        <v>61439.907873748431</v>
      </c>
      <c r="DQ34" s="11">
        <f t="shared" si="88"/>
        <v>62054.306952485917</v>
      </c>
      <c r="DR34" s="11">
        <f t="shared" si="88"/>
        <v>62674.850022010774</v>
      </c>
      <c r="DS34" s="11">
        <f t="shared" si="88"/>
        <v>63301.598522230881</v>
      </c>
      <c r="DT34" s="11">
        <f t="shared" si="88"/>
        <v>63934.614507453189</v>
      </c>
      <c r="DU34" s="11">
        <f t="shared" si="88"/>
        <v>64573.96065252772</v>
      </c>
    </row>
    <row r="35" spans="2:125" s="11" customFormat="1" x14ac:dyDescent="0.2"/>
    <row r="36" spans="2:125" x14ac:dyDescent="0.2">
      <c r="B36" s="7" t="s">
        <v>28</v>
      </c>
      <c r="C36" s="7">
        <f t="shared" ref="C36:I36" si="89">C59-C78</f>
        <v>0</v>
      </c>
      <c r="D36" s="7">
        <f t="shared" si="89"/>
        <v>0</v>
      </c>
      <c r="E36" s="7">
        <f t="shared" si="89"/>
        <v>0</v>
      </c>
      <c r="F36" s="7">
        <f t="shared" si="89"/>
        <v>2378</v>
      </c>
      <c r="G36" s="7">
        <f t="shared" si="89"/>
        <v>0</v>
      </c>
      <c r="H36" s="7">
        <f t="shared" si="89"/>
        <v>0</v>
      </c>
      <c r="I36" s="7">
        <f t="shared" si="89"/>
        <v>0</v>
      </c>
      <c r="J36" s="7">
        <f>J59-J82</f>
        <v>2680</v>
      </c>
      <c r="K36" s="7">
        <f>K59-K82</f>
        <v>-751</v>
      </c>
      <c r="R36" s="7">
        <f>R59-R78</f>
        <v>0</v>
      </c>
      <c r="S36" s="7">
        <f>S59-S82</f>
        <v>-3221</v>
      </c>
      <c r="T36" s="7">
        <f>T59-T82</f>
        <v>2680</v>
      </c>
      <c r="U36" s="7">
        <f>T36+U22</f>
        <v>11626.430853731028</v>
      </c>
      <c r="V36" s="7">
        <f>U36+V22</f>
        <v>21687.12861167088</v>
      </c>
      <c r="W36" s="7">
        <f>V36+W22</f>
        <v>33248.04824928983</v>
      </c>
      <c r="X36" s="7">
        <f>W36+X22</f>
        <v>46512.414231901756</v>
      </c>
      <c r="Y36" s="7">
        <f>X36+Y22</f>
        <v>61710.455146026827</v>
      </c>
      <c r="Z36" s="7">
        <f>Y36+Z22</f>
        <v>79102.959947596653</v>
      </c>
      <c r="AA36" s="10"/>
    </row>
    <row r="37" spans="2:125" x14ac:dyDescent="0.2">
      <c r="B37" s="7" t="s">
        <v>31</v>
      </c>
      <c r="C37" s="7">
        <f>C22</f>
        <v>0</v>
      </c>
      <c r="D37" s="7">
        <f>D22</f>
        <v>0</v>
      </c>
      <c r="E37" s="7">
        <f>E22</f>
        <v>0</v>
      </c>
      <c r="F37" s="7">
        <f>F22</f>
        <v>2047.7999999999997</v>
      </c>
      <c r="G37" s="7">
        <f>G22</f>
        <v>1224.2</v>
      </c>
      <c r="H37" s="7">
        <f>H22</f>
        <v>1578</v>
      </c>
      <c r="I37" s="7">
        <f>I22</f>
        <v>2076</v>
      </c>
      <c r="J37" s="7">
        <f>J22</f>
        <v>2703.6000000000004</v>
      </c>
      <c r="K37" s="7">
        <f>K22</f>
        <v>2370.0668077296773</v>
      </c>
      <c r="R37" s="7">
        <f>R22</f>
        <v>5625.4</v>
      </c>
      <c r="S37" s="7">
        <f>S22</f>
        <v>7840</v>
      </c>
      <c r="T37" s="7">
        <f>T22</f>
        <v>7573</v>
      </c>
    </row>
    <row r="38" spans="2:125" x14ac:dyDescent="0.2">
      <c r="B38" s="7" t="s">
        <v>32</v>
      </c>
      <c r="F38" s="7">
        <v>2048</v>
      </c>
      <c r="J38" s="7">
        <v>2693</v>
      </c>
      <c r="S38" s="7">
        <v>7839</v>
      </c>
      <c r="T38" s="7">
        <v>7572</v>
      </c>
    </row>
    <row r="39" spans="2:125" x14ac:dyDescent="0.2">
      <c r="B39" s="7" t="s">
        <v>72</v>
      </c>
      <c r="F39" s="7">
        <v>212</v>
      </c>
      <c r="J39" s="7">
        <v>241</v>
      </c>
    </row>
    <row r="40" spans="2:125" x14ac:dyDescent="0.2">
      <c r="B40" s="7" t="s">
        <v>77</v>
      </c>
      <c r="F40" s="7">
        <v>10</v>
      </c>
      <c r="J40" s="7">
        <v>11</v>
      </c>
    </row>
    <row r="41" spans="2:125" x14ac:dyDescent="0.2">
      <c r="B41" s="7" t="s">
        <v>73</v>
      </c>
      <c r="F41" s="7">
        <v>42</v>
      </c>
      <c r="J41" s="7">
        <v>53</v>
      </c>
    </row>
    <row r="42" spans="2:125" x14ac:dyDescent="0.2">
      <c r="B42" s="7" t="s">
        <v>74</v>
      </c>
      <c r="F42" s="7">
        <v>211</v>
      </c>
      <c r="J42" s="7">
        <v>168</v>
      </c>
    </row>
    <row r="43" spans="2:125" x14ac:dyDescent="0.2">
      <c r="B43" s="7" t="s">
        <v>76</v>
      </c>
      <c r="F43" s="7">
        <v>-49</v>
      </c>
      <c r="J43" s="7">
        <v>-28</v>
      </c>
    </row>
    <row r="44" spans="2:125" x14ac:dyDescent="0.2">
      <c r="B44" s="7" t="s">
        <v>21</v>
      </c>
      <c r="F44" s="7">
        <v>175</v>
      </c>
      <c r="J44" s="7">
        <v>170</v>
      </c>
    </row>
    <row r="45" spans="2:125" x14ac:dyDescent="0.2">
      <c r="B45" s="7" t="s">
        <v>75</v>
      </c>
      <c r="F45" s="7">
        <v>548</v>
      </c>
      <c r="J45" s="7">
        <v>6237</v>
      </c>
    </row>
    <row r="46" spans="2:125" s="11" customFormat="1" x14ac:dyDescent="0.2">
      <c r="B46" s="11" t="s">
        <v>25</v>
      </c>
      <c r="F46" s="11">
        <f>F38+SUM(F39:F45)</f>
        <v>3197</v>
      </c>
      <c r="J46" s="11">
        <f>J38+SUM(J39:J45)</f>
        <v>9545</v>
      </c>
    </row>
    <row r="47" spans="2:125" x14ac:dyDescent="0.2">
      <c r="B47" s="7" t="s">
        <v>66</v>
      </c>
      <c r="C47" s="11"/>
      <c r="D47" s="11"/>
      <c r="E47" s="11"/>
      <c r="F47" s="11"/>
      <c r="G47" s="11"/>
      <c r="H47" s="11"/>
      <c r="I47" s="11"/>
      <c r="J47" s="11"/>
    </row>
    <row r="48" spans="2:125" x14ac:dyDescent="0.2">
      <c r="B48" s="7" t="s">
        <v>78</v>
      </c>
      <c r="F48" s="10"/>
      <c r="J48" s="10"/>
    </row>
    <row r="49" spans="2:29" x14ac:dyDescent="0.2">
      <c r="B49" s="7" t="s">
        <v>79</v>
      </c>
      <c r="F49" s="10"/>
      <c r="J49" s="10"/>
    </row>
    <row r="50" spans="2:29" x14ac:dyDescent="0.2">
      <c r="B50" s="7" t="s">
        <v>80</v>
      </c>
      <c r="F50" s="10"/>
      <c r="J50" s="10"/>
    </row>
    <row r="51" spans="2:29" s="11" customFormat="1" x14ac:dyDescent="0.2">
      <c r="B51" s="11" t="s">
        <v>81</v>
      </c>
      <c r="F51" s="11">
        <f>SUM(F47:F50)</f>
        <v>0</v>
      </c>
      <c r="J51" s="12"/>
    </row>
    <row r="52" spans="2:29" s="11" customFormat="1" x14ac:dyDescent="0.2">
      <c r="B52" s="7" t="s">
        <v>82</v>
      </c>
      <c r="F52" s="12"/>
      <c r="J52" s="12"/>
    </row>
    <row r="53" spans="2:29" x14ac:dyDescent="0.2">
      <c r="B53" s="7" t="s">
        <v>83</v>
      </c>
      <c r="F53" s="10"/>
      <c r="J53" s="10"/>
    </row>
    <row r="54" spans="2:29" x14ac:dyDescent="0.2">
      <c r="B54" s="7" t="s">
        <v>84</v>
      </c>
      <c r="F54" s="10"/>
      <c r="J54" s="10"/>
    </row>
    <row r="55" spans="2:29" x14ac:dyDescent="0.2">
      <c r="B55" s="7" t="s">
        <v>85</v>
      </c>
      <c r="F55" s="10"/>
      <c r="J55" s="10"/>
    </row>
    <row r="56" spans="2:29" x14ac:dyDescent="0.2">
      <c r="B56" s="7" t="s">
        <v>86</v>
      </c>
      <c r="F56" s="10"/>
      <c r="J56" s="10"/>
    </row>
    <row r="57" spans="2:29" x14ac:dyDescent="0.2">
      <c r="B57" s="7" t="s">
        <v>87</v>
      </c>
      <c r="F57" s="10">
        <f>SUM(F52:F56)</f>
        <v>0</v>
      </c>
      <c r="J57" s="10"/>
    </row>
    <row r="58" spans="2:29" x14ac:dyDescent="0.2">
      <c r="F58" s="10"/>
      <c r="J58" s="10"/>
    </row>
    <row r="59" spans="2:29" x14ac:dyDescent="0.2">
      <c r="B59" s="7" t="s">
        <v>3</v>
      </c>
      <c r="F59" s="7">
        <f>7005+5</f>
        <v>7010</v>
      </c>
      <c r="J59" s="7">
        <f>12736+5</f>
        <v>12741</v>
      </c>
      <c r="K59" s="7">
        <f>9098+5</f>
        <v>9103</v>
      </c>
      <c r="S59" s="7">
        <f>7004+5</f>
        <v>7009</v>
      </c>
      <c r="T59" s="7">
        <f>12736+5</f>
        <v>12741</v>
      </c>
    </row>
    <row r="60" spans="2:29" x14ac:dyDescent="0.2">
      <c r="B60" s="7" t="s">
        <v>29</v>
      </c>
      <c r="F60" s="7">
        <f>4334+1379</f>
        <v>5713</v>
      </c>
      <c r="J60" s="7">
        <f>4477+82</f>
        <v>4559</v>
      </c>
      <c r="K60" s="7">
        <f>4597+382</f>
        <v>4979</v>
      </c>
      <c r="S60" s="7">
        <v>4334</v>
      </c>
      <c r="T60" s="7">
        <v>4477</v>
      </c>
    </row>
    <row r="61" spans="2:29" x14ac:dyDescent="0.2">
      <c r="B61" s="7" t="s">
        <v>57</v>
      </c>
      <c r="F61" s="7">
        <v>1001</v>
      </c>
      <c r="J61" s="7">
        <v>284</v>
      </c>
      <c r="AC61" s="10"/>
    </row>
    <row r="62" spans="2:29" x14ac:dyDescent="0.2">
      <c r="B62" s="7" t="s">
        <v>58</v>
      </c>
      <c r="F62" s="7">
        <v>240</v>
      </c>
      <c r="J62" s="7">
        <v>321</v>
      </c>
      <c r="AC62" s="10"/>
    </row>
    <row r="63" spans="2:29" x14ac:dyDescent="0.2">
      <c r="B63" s="7" t="s">
        <v>34</v>
      </c>
      <c r="F63" s="7">
        <v>8851</v>
      </c>
      <c r="J63" s="7">
        <v>10892</v>
      </c>
      <c r="K63" s="7">
        <v>11025</v>
      </c>
      <c r="S63" s="7">
        <v>8851</v>
      </c>
      <c r="T63" s="7">
        <v>10891</v>
      </c>
    </row>
    <row r="64" spans="2:29" x14ac:dyDescent="0.2">
      <c r="B64" s="7" t="s">
        <v>59</v>
      </c>
      <c r="F64" s="7">
        <v>1579</v>
      </c>
      <c r="J64" s="7">
        <v>1940</v>
      </c>
    </row>
    <row r="66" spans="2:20" x14ac:dyDescent="0.2">
      <c r="B66" s="7" t="s">
        <v>61</v>
      </c>
      <c r="F66" s="7">
        <v>61</v>
      </c>
      <c r="J66" s="7">
        <v>317</v>
      </c>
    </row>
    <row r="67" spans="2:20" x14ac:dyDescent="0.2">
      <c r="B67" s="7" t="s">
        <v>62</v>
      </c>
      <c r="F67" s="7">
        <v>1872</v>
      </c>
      <c r="J67" s="7">
        <v>1941</v>
      </c>
    </row>
    <row r="68" spans="2:20" x14ac:dyDescent="0.2">
      <c r="B68" s="7" t="s">
        <v>63</v>
      </c>
      <c r="F68" s="7">
        <v>929</v>
      </c>
      <c r="J68" s="7">
        <v>1457</v>
      </c>
    </row>
    <row r="69" spans="2:20" x14ac:dyDescent="0.2">
      <c r="B69" s="7" t="s">
        <v>59</v>
      </c>
      <c r="F69" s="7">
        <v>652</v>
      </c>
      <c r="J69" s="7">
        <v>791</v>
      </c>
    </row>
    <row r="70" spans="2:20" x14ac:dyDescent="0.2">
      <c r="B70" s="7" t="s">
        <v>21</v>
      </c>
      <c r="F70" s="7">
        <v>919</v>
      </c>
      <c r="J70" s="7">
        <v>903</v>
      </c>
    </row>
    <row r="71" spans="2:20" x14ac:dyDescent="0.2">
      <c r="B71" s="7" t="s">
        <v>64</v>
      </c>
      <c r="F71" s="7">
        <v>4588</v>
      </c>
      <c r="J71" s="7">
        <v>4589</v>
      </c>
    </row>
    <row r="72" spans="2:20" x14ac:dyDescent="0.2">
      <c r="B72" s="7" t="s">
        <v>65</v>
      </c>
      <c r="F72" s="7">
        <v>742</v>
      </c>
      <c r="J72" s="7">
        <v>621</v>
      </c>
    </row>
    <row r="73" spans="2:20" x14ac:dyDescent="0.2">
      <c r="B73" s="7" t="s">
        <v>66</v>
      </c>
      <c r="F73" s="7">
        <v>5493</v>
      </c>
      <c r="J73" s="7">
        <v>6847</v>
      </c>
    </row>
    <row r="74" spans="2:20" x14ac:dyDescent="0.2">
      <c r="B74" s="7" t="s">
        <v>67</v>
      </c>
      <c r="F74" s="7">
        <v>307</v>
      </c>
      <c r="J74" s="7">
        <v>387</v>
      </c>
    </row>
    <row r="75" spans="2:20" x14ac:dyDescent="0.2">
      <c r="B75" s="7" t="s">
        <v>60</v>
      </c>
      <c r="C75" s="7">
        <f>SUM(C59:C74)</f>
        <v>0</v>
      </c>
      <c r="D75" s="7">
        <f t="shared" ref="D75:K75" si="90">SUM(D59:D74)</f>
        <v>0</v>
      </c>
      <c r="E75" s="7">
        <f t="shared" si="90"/>
        <v>0</v>
      </c>
      <c r="F75" s="7">
        <f>SUM(F59:F74)</f>
        <v>39957</v>
      </c>
      <c r="G75" s="7">
        <f t="shared" si="90"/>
        <v>0</v>
      </c>
      <c r="H75" s="7">
        <f t="shared" si="90"/>
        <v>0</v>
      </c>
      <c r="I75" s="7">
        <f t="shared" si="90"/>
        <v>0</v>
      </c>
      <c r="J75" s="7">
        <f t="shared" si="90"/>
        <v>48590</v>
      </c>
      <c r="K75" s="7">
        <f t="shared" si="90"/>
        <v>25107</v>
      </c>
    </row>
    <row r="77" spans="2:20" x14ac:dyDescent="0.2">
      <c r="B77" s="7" t="s">
        <v>30</v>
      </c>
      <c r="S77" s="7">
        <v>2347</v>
      </c>
      <c r="T77" s="7">
        <v>3500</v>
      </c>
    </row>
    <row r="78" spans="2:20" x14ac:dyDescent="0.2">
      <c r="B78" s="7" t="s">
        <v>4</v>
      </c>
      <c r="F78" s="7">
        <v>4632</v>
      </c>
      <c r="J78" s="7">
        <v>3677</v>
      </c>
      <c r="K78" s="7">
        <v>3681</v>
      </c>
    </row>
    <row r="79" spans="2:20" x14ac:dyDescent="0.2">
      <c r="B79" s="7" t="s">
        <v>68</v>
      </c>
      <c r="F79" s="7">
        <v>372</v>
      </c>
      <c r="J79" s="7">
        <v>299</v>
      </c>
      <c r="K79" s="7">
        <v>336</v>
      </c>
    </row>
    <row r="80" spans="2:20" x14ac:dyDescent="0.2">
      <c r="B80" s="7" t="s">
        <v>69</v>
      </c>
      <c r="F80" s="7">
        <v>4826</v>
      </c>
      <c r="J80" s="7">
        <v>5625</v>
      </c>
      <c r="K80" s="7">
        <v>5400</v>
      </c>
    </row>
    <row r="81" spans="2:20" x14ac:dyDescent="0.2">
      <c r="B81" s="7" t="s">
        <v>70</v>
      </c>
      <c r="F81" s="7">
        <v>401</v>
      </c>
      <c r="J81" s="7">
        <v>460</v>
      </c>
      <c r="K81" s="7">
        <v>437</v>
      </c>
    </row>
    <row r="82" spans="2:20" x14ac:dyDescent="0.2">
      <c r="B82" s="7" t="s">
        <v>71</v>
      </c>
      <c r="C82" s="7">
        <f>SUM(C77:C81)</f>
        <v>0</v>
      </c>
      <c r="D82" s="7">
        <f t="shared" ref="D82:K82" si="91">SUM(D77:D81)</f>
        <v>0</v>
      </c>
      <c r="E82" s="7">
        <f t="shared" si="91"/>
        <v>0</v>
      </c>
      <c r="F82" s="7">
        <f>SUM(F77:F81)</f>
        <v>10231</v>
      </c>
      <c r="G82" s="7">
        <f t="shared" si="91"/>
        <v>0</v>
      </c>
      <c r="H82" s="7">
        <f t="shared" si="91"/>
        <v>0</v>
      </c>
      <c r="I82" s="7">
        <f t="shared" si="91"/>
        <v>0</v>
      </c>
      <c r="J82" s="7">
        <f t="shared" si="91"/>
        <v>10061</v>
      </c>
      <c r="K82" s="7">
        <f t="shared" si="91"/>
        <v>9854</v>
      </c>
      <c r="S82" s="7">
        <v>10230</v>
      </c>
      <c r="T82" s="7">
        <v>10061</v>
      </c>
    </row>
    <row r="84" spans="2:20" x14ac:dyDescent="0.2">
      <c r="B84" s="7" t="s">
        <v>33</v>
      </c>
      <c r="C84" s="7" t="e">
        <f>C60/C9*360</f>
        <v>#DIV/0!</v>
      </c>
      <c r="D84" s="7" t="e">
        <f>D60/D9*360</f>
        <v>#DIV/0!</v>
      </c>
      <c r="E84" s="7" t="e">
        <f>E60/E9*360</f>
        <v>#DIV/0!</v>
      </c>
      <c r="F84" s="7">
        <f>F60/F9*360</f>
        <v>284.18958131822581</v>
      </c>
      <c r="G84" s="7">
        <f>G60/G9*360</f>
        <v>0</v>
      </c>
      <c r="H84" s="7">
        <f>H60/H9*360</f>
        <v>0</v>
      </c>
      <c r="I84" s="7">
        <f>I60/I9*360</f>
        <v>0</v>
      </c>
      <c r="J84" s="7">
        <f>J60/J9*360</f>
        <v>177.18233833531252</v>
      </c>
      <c r="K84" s="7">
        <f>K60/K9*360</f>
        <v>231.5215706535779</v>
      </c>
      <c r="S84" s="7">
        <f>S60/S9*360</f>
        <v>56.614536086215026</v>
      </c>
      <c r="T84" s="7">
        <f>T60/T9*360</f>
        <v>57.025793440186817</v>
      </c>
    </row>
  </sheetData>
  <hyperlinks>
    <hyperlink ref="A1" location="Main!A1" display="Main" xr:uid="{A38C2740-61C4-4839-BEF1-79E2469C06E4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2025-04-13T03:10:38Z</dcterms:created>
  <dcterms:modified xsi:type="dcterms:W3CDTF">2025-08-15T23:03:02Z</dcterms:modified>
</cp:coreProperties>
</file>