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433D08C-8714-4121-BE60-E3197E4C11DE}" xr6:coauthVersionLast="47" xr6:coauthVersionMax="47" xr10:uidLastSave="{00000000-0000-0000-0000-000000000000}"/>
  <bookViews>
    <workbookView xWindow="3570" yWindow="465" windowWidth="21750" windowHeight="15015" activeTab="1" xr2:uid="{83ED8510-C560-4055-98B8-98F2B5E35FF5}"/>
  </bookViews>
  <sheets>
    <sheet name="Main" sheetId="1" r:id="rId1"/>
    <sheet name="Model" sheetId="2" r:id="rId2"/>
    <sheet name="golcadomide" sheetId="3" r:id="rId3"/>
    <sheet name="BMS-986365" sheetId="6" r:id="rId4"/>
    <sheet name="iberdomide" sheetId="5" r:id="rId5"/>
    <sheet name="obexlimab" sheetId="7" r:id="rId6"/>
    <sheet name="milvexian" sheetId="8" r:id="rId7"/>
    <sheet name="admilparant" sheetId="9" r:id="rId8"/>
    <sheet name="Matrix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8" i="2" l="1"/>
  <c r="S26" i="2"/>
  <c r="T26" i="2"/>
  <c r="U26" i="2"/>
  <c r="V26" i="2" s="1"/>
  <c r="R26" i="2"/>
  <c r="S25" i="2"/>
  <c r="T25" i="2"/>
  <c r="U25" i="2"/>
  <c r="V25" i="2" s="1"/>
  <c r="R25" i="2"/>
  <c r="S24" i="2"/>
  <c r="T24" i="2" s="1"/>
  <c r="U24" i="2" s="1"/>
  <c r="V24" i="2" s="1"/>
  <c r="R24" i="2"/>
  <c r="S8" i="2"/>
  <c r="T8" i="2" s="1"/>
  <c r="U8" i="2" s="1"/>
  <c r="V8" i="2" s="1"/>
  <c r="R8" i="2"/>
  <c r="I38" i="3"/>
  <c r="J38" i="3"/>
  <c r="K38" i="3"/>
  <c r="L38" i="3"/>
  <c r="H38" i="3"/>
  <c r="G40" i="3"/>
  <c r="H40" i="3" s="1"/>
  <c r="I40" i="3" s="1"/>
  <c r="J40" i="3" s="1"/>
  <c r="K40" i="3" s="1"/>
  <c r="L40" i="3" s="1"/>
  <c r="G21" i="6"/>
  <c r="R35" i="3"/>
  <c r="S35" i="3" s="1"/>
  <c r="R36" i="3"/>
  <c r="U34" i="3"/>
  <c r="R34" i="3"/>
  <c r="S34" i="3" s="1"/>
  <c r="T34" i="3" s="1"/>
  <c r="F38" i="3"/>
  <c r="M38" i="3" l="1"/>
  <c r="N38" i="3" s="1"/>
  <c r="O38" i="3" s="1"/>
  <c r="P38" i="3" s="1"/>
  <c r="Q38" i="3" s="1"/>
  <c r="R38" i="3" s="1"/>
  <c r="S38" i="3" s="1"/>
  <c r="T38" i="3" s="1"/>
  <c r="U38" i="3" s="1"/>
  <c r="M40" i="3"/>
  <c r="N40" i="3" s="1"/>
  <c r="O40" i="3" s="1"/>
  <c r="P40" i="3" s="1"/>
  <c r="Q40" i="3" s="1"/>
  <c r="R40" i="3" s="1"/>
  <c r="S40" i="3" s="1"/>
  <c r="T40" i="3" s="1"/>
  <c r="U40" i="3" s="1"/>
  <c r="S36" i="3"/>
  <c r="T35" i="3"/>
  <c r="H18" i="6"/>
  <c r="I17" i="6"/>
  <c r="I18" i="6" s="1"/>
  <c r="H16" i="6"/>
  <c r="I16" i="6"/>
  <c r="J16" i="6"/>
  <c r="K16" i="6"/>
  <c r="L16" i="6"/>
  <c r="M16" i="6"/>
  <c r="N16" i="6"/>
  <c r="O16" i="6"/>
  <c r="P16" i="6"/>
  <c r="Q16" i="6"/>
  <c r="R16" i="6"/>
  <c r="G16" i="6"/>
  <c r="I15" i="6"/>
  <c r="J15" i="6"/>
  <c r="K15" i="6"/>
  <c r="L15" i="6"/>
  <c r="M15" i="6"/>
  <c r="N15" i="6"/>
  <c r="O15" i="6"/>
  <c r="P15" i="6"/>
  <c r="Q15" i="6"/>
  <c r="R15" i="6"/>
  <c r="H15" i="6"/>
  <c r="G15" i="6"/>
  <c r="I15" i="9"/>
  <c r="J14" i="9"/>
  <c r="K14" i="9" s="1"/>
  <c r="R12" i="9"/>
  <c r="H12" i="9"/>
  <c r="I12" i="9"/>
  <c r="J12" i="9"/>
  <c r="K12" i="9" s="1"/>
  <c r="L12" i="9" s="1"/>
  <c r="M12" i="9" s="1"/>
  <c r="N12" i="9" s="1"/>
  <c r="O12" i="9" s="1"/>
  <c r="P12" i="9" s="1"/>
  <c r="Q12" i="9" s="1"/>
  <c r="G12" i="9"/>
  <c r="H32" i="2"/>
  <c r="I32" i="2" s="1"/>
  <c r="H26" i="2"/>
  <c r="I26" i="2" s="1"/>
  <c r="J26" i="2" s="1"/>
  <c r="H25" i="2"/>
  <c r="I25" i="2" s="1"/>
  <c r="J25" i="2" s="1"/>
  <c r="H22" i="2"/>
  <c r="I22" i="2" s="1"/>
  <c r="J22" i="2" s="1"/>
  <c r="H8" i="2"/>
  <c r="I8" i="2" s="1"/>
  <c r="J8" i="2" s="1"/>
  <c r="Q33" i="2"/>
  <c r="Q34" i="2"/>
  <c r="Q75" i="2"/>
  <c r="R75" i="2"/>
  <c r="S75" i="2" s="1"/>
  <c r="T75" i="2" s="1"/>
  <c r="U75" i="2" s="1"/>
  <c r="V75" i="2" s="1"/>
  <c r="Q77" i="2"/>
  <c r="R77" i="2" s="1"/>
  <c r="S77" i="2" s="1"/>
  <c r="T77" i="2" s="1"/>
  <c r="U77" i="2" s="1"/>
  <c r="V77" i="2" s="1"/>
  <c r="Q86" i="2"/>
  <c r="R86" i="2" s="1"/>
  <c r="S86" i="2" s="1"/>
  <c r="T86" i="2" s="1"/>
  <c r="U86" i="2" s="1"/>
  <c r="V86" i="2" s="1"/>
  <c r="R78" i="2"/>
  <c r="S78" i="2" s="1"/>
  <c r="T78" i="2" s="1"/>
  <c r="U78" i="2" s="1"/>
  <c r="V78" i="2" s="1"/>
  <c r="R79" i="2"/>
  <c r="S79" i="2" s="1"/>
  <c r="T79" i="2" s="1"/>
  <c r="U79" i="2" s="1"/>
  <c r="V79" i="2" s="1"/>
  <c r="R80" i="2"/>
  <c r="S80" i="2" s="1"/>
  <c r="T80" i="2" s="1"/>
  <c r="U80" i="2" s="1"/>
  <c r="V80" i="2" s="1"/>
  <c r="R81" i="2"/>
  <c r="S81" i="2" s="1"/>
  <c r="T81" i="2" s="1"/>
  <c r="U81" i="2" s="1"/>
  <c r="V81" i="2" s="1"/>
  <c r="R82" i="2"/>
  <c r="S82" i="2" s="1"/>
  <c r="T82" i="2" s="1"/>
  <c r="U82" i="2" s="1"/>
  <c r="V82" i="2" s="1"/>
  <c r="R83" i="2"/>
  <c r="S83" i="2" s="1"/>
  <c r="T83" i="2" s="1"/>
  <c r="U83" i="2" s="1"/>
  <c r="V83" i="2" s="1"/>
  <c r="R84" i="2"/>
  <c r="S84" i="2" s="1"/>
  <c r="T84" i="2" s="1"/>
  <c r="U84" i="2" s="1"/>
  <c r="V84" i="2" s="1"/>
  <c r="R87" i="2"/>
  <c r="S87" i="2" s="1"/>
  <c r="T87" i="2" s="1"/>
  <c r="U87" i="2" s="1"/>
  <c r="V87" i="2" s="1"/>
  <c r="H11" i="2"/>
  <c r="I11" i="2" s="1"/>
  <c r="J11" i="2" s="1"/>
  <c r="H13" i="2"/>
  <c r="I13" i="2" s="1"/>
  <c r="J13" i="2" s="1"/>
  <c r="H14" i="2"/>
  <c r="I14" i="2" s="1"/>
  <c r="J14" i="2" s="1"/>
  <c r="H23" i="2"/>
  <c r="I23" i="2" s="1"/>
  <c r="J23" i="2" s="1"/>
  <c r="M2" i="2"/>
  <c r="N2" i="2" s="1"/>
  <c r="R85" i="2"/>
  <c r="S85" i="2" s="1"/>
  <c r="T85" i="2" s="1"/>
  <c r="U85" i="2" s="1"/>
  <c r="V85" i="2" s="1"/>
  <c r="Q76" i="2"/>
  <c r="R76" i="2" s="1"/>
  <c r="S76" i="2" s="1"/>
  <c r="T76" i="2" s="1"/>
  <c r="U76" i="2" s="1"/>
  <c r="V76" i="2" s="1"/>
  <c r="Q91" i="2"/>
  <c r="R91" i="2" s="1"/>
  <c r="S91" i="2" s="1"/>
  <c r="T91" i="2" s="1"/>
  <c r="U91" i="2" s="1"/>
  <c r="V91" i="2" s="1"/>
  <c r="P87" i="2"/>
  <c r="O87" i="2"/>
  <c r="N87" i="2"/>
  <c r="N75" i="2"/>
  <c r="P74" i="2"/>
  <c r="O74" i="2"/>
  <c r="N74" i="2"/>
  <c r="E42" i="3" l="1"/>
  <c r="U35" i="3"/>
  <c r="U36" i="3" s="1"/>
  <c r="T36" i="3"/>
  <c r="J17" i="6"/>
  <c r="K15" i="9"/>
  <c r="L14" i="9"/>
  <c r="J15" i="9"/>
  <c r="N88" i="2"/>
  <c r="N95" i="2" s="1"/>
  <c r="P88" i="2"/>
  <c r="P95" i="2" s="1"/>
  <c r="O88" i="2"/>
  <c r="O95" i="2" s="1"/>
  <c r="J32" i="2"/>
  <c r="C38" i="3"/>
  <c r="D34" i="3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D35" i="3"/>
  <c r="D36" i="3" s="1"/>
  <c r="D38" i="3" s="1"/>
  <c r="J18" i="6" l="1"/>
  <c r="K17" i="6"/>
  <c r="L15" i="9"/>
  <c r="M14" i="9"/>
  <c r="E35" i="3"/>
  <c r="Q35" i="2"/>
  <c r="H19" i="2"/>
  <c r="I19" i="2" s="1"/>
  <c r="Q13" i="2"/>
  <c r="R13" i="2" s="1"/>
  <c r="S13" i="2" s="1"/>
  <c r="T13" i="2" s="1"/>
  <c r="U13" i="2" s="1"/>
  <c r="V13" i="2" s="1"/>
  <c r="H12" i="2"/>
  <c r="H10" i="2"/>
  <c r="I10" i="2" s="1"/>
  <c r="J10" i="2" s="1"/>
  <c r="H9" i="2"/>
  <c r="I9" i="2" s="1"/>
  <c r="J9" i="2" s="1"/>
  <c r="Q9" i="2" s="1"/>
  <c r="R9" i="2" s="1"/>
  <c r="S9" i="2" s="1"/>
  <c r="T9" i="2" s="1"/>
  <c r="U9" i="2" s="1"/>
  <c r="V9" i="2" s="1"/>
  <c r="H21" i="2"/>
  <c r="I21" i="2" s="1"/>
  <c r="J21" i="2" s="1"/>
  <c r="Q21" i="2" s="1"/>
  <c r="R21" i="2" s="1"/>
  <c r="S21" i="2" s="1"/>
  <c r="H24" i="2"/>
  <c r="I24" i="2" s="1"/>
  <c r="J24" i="2" s="1"/>
  <c r="Q24" i="2" s="1"/>
  <c r="H20" i="2"/>
  <c r="I20" i="2" s="1"/>
  <c r="H15" i="2"/>
  <c r="I15" i="2" s="1"/>
  <c r="H7" i="2"/>
  <c r="I7" i="2" s="1"/>
  <c r="J7" i="2" s="1"/>
  <c r="Q7" i="2" s="1"/>
  <c r="R7" i="2" s="1"/>
  <c r="S7" i="2" s="1"/>
  <c r="Q16" i="2"/>
  <c r="R16" i="2" s="1"/>
  <c r="S16" i="2" s="1"/>
  <c r="T16" i="2" s="1"/>
  <c r="U16" i="2" s="1"/>
  <c r="V16" i="2" s="1"/>
  <c r="Q17" i="2"/>
  <c r="R17" i="2" s="1"/>
  <c r="S17" i="2" s="1"/>
  <c r="T17" i="2" s="1"/>
  <c r="U17" i="2" s="1"/>
  <c r="V17" i="2" s="1"/>
  <c r="Q18" i="2"/>
  <c r="R18" i="2" s="1"/>
  <c r="S18" i="2" s="1"/>
  <c r="T18" i="2" s="1"/>
  <c r="U18" i="2" s="1"/>
  <c r="V18" i="2" s="1"/>
  <c r="K18" i="6" l="1"/>
  <c r="L17" i="6"/>
  <c r="N14" i="9"/>
  <c r="M15" i="9"/>
  <c r="H29" i="2"/>
  <c r="I12" i="2"/>
  <c r="J12" i="2" s="1"/>
  <c r="Q10" i="2"/>
  <c r="R10" i="2" s="1"/>
  <c r="S10" i="2" s="1"/>
  <c r="T10" i="2" s="1"/>
  <c r="U10" i="2" s="1"/>
  <c r="V10" i="2" s="1"/>
  <c r="F35" i="3"/>
  <c r="E36" i="3"/>
  <c r="E38" i="3" s="1"/>
  <c r="J15" i="2"/>
  <c r="Q15" i="2" s="1"/>
  <c r="R15" i="2" s="1"/>
  <c r="S15" i="2" s="1"/>
  <c r="T15" i="2" s="1"/>
  <c r="U15" i="2" s="1"/>
  <c r="V15" i="2" s="1"/>
  <c r="J20" i="2"/>
  <c r="Q20" i="2" s="1"/>
  <c r="R20" i="2" s="1"/>
  <c r="S20" i="2" s="1"/>
  <c r="T20" i="2" s="1"/>
  <c r="U20" i="2" s="1"/>
  <c r="V20" i="2" s="1"/>
  <c r="Q22" i="2"/>
  <c r="R22" i="2" s="1"/>
  <c r="S22" i="2" s="1"/>
  <c r="T22" i="2" s="1"/>
  <c r="U22" i="2" s="1"/>
  <c r="V22" i="2" s="1"/>
  <c r="J19" i="2"/>
  <c r="Q19" i="2" s="1"/>
  <c r="R19" i="2" s="1"/>
  <c r="S19" i="2" s="1"/>
  <c r="T19" i="2" s="1"/>
  <c r="U19" i="2" s="1"/>
  <c r="V19" i="2" s="1"/>
  <c r="Q14" i="2"/>
  <c r="R14" i="2" s="1"/>
  <c r="S14" i="2" s="1"/>
  <c r="T14" i="2" s="1"/>
  <c r="U14" i="2" s="1"/>
  <c r="V14" i="2" s="1"/>
  <c r="Q11" i="2"/>
  <c r="R11" i="2" s="1"/>
  <c r="S11" i="2" s="1"/>
  <c r="T11" i="2" s="1"/>
  <c r="U11" i="2" s="1"/>
  <c r="V11" i="2" s="1"/>
  <c r="O27" i="2"/>
  <c r="G65" i="2"/>
  <c r="P60" i="2"/>
  <c r="O60" i="2"/>
  <c r="P68" i="2"/>
  <c r="O68" i="2"/>
  <c r="P67" i="2"/>
  <c r="O67" i="2"/>
  <c r="P66" i="2"/>
  <c r="O66" i="2"/>
  <c r="P65" i="2"/>
  <c r="O65" i="2"/>
  <c r="P64" i="2"/>
  <c r="O64" i="2"/>
  <c r="P63" i="2"/>
  <c r="O63" i="2"/>
  <c r="P59" i="2"/>
  <c r="O59" i="2"/>
  <c r="P58" i="2"/>
  <c r="O58" i="2"/>
  <c r="N61" i="2"/>
  <c r="J61" i="2"/>
  <c r="I61" i="2"/>
  <c r="H61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30" i="2"/>
  <c r="N41" i="2"/>
  <c r="N28" i="2"/>
  <c r="N27" i="2"/>
  <c r="O41" i="2"/>
  <c r="N36" i="2"/>
  <c r="N35" i="2"/>
  <c r="N34" i="2"/>
  <c r="N33" i="2"/>
  <c r="N32" i="2"/>
  <c r="N30" i="2"/>
  <c r="O36" i="2"/>
  <c r="O35" i="2"/>
  <c r="O34" i="2"/>
  <c r="O33" i="2"/>
  <c r="O32" i="2"/>
  <c r="O30" i="2"/>
  <c r="O28" i="2"/>
  <c r="M17" i="6" l="1"/>
  <c r="L18" i="6"/>
  <c r="O14" i="9"/>
  <c r="N15" i="9"/>
  <c r="Q23" i="2"/>
  <c r="R23" i="2" s="1"/>
  <c r="H30" i="2"/>
  <c r="J29" i="2"/>
  <c r="J30" i="2" s="1"/>
  <c r="Q12" i="2"/>
  <c r="R12" i="2" s="1"/>
  <c r="S12" i="2" s="1"/>
  <c r="T12" i="2" s="1"/>
  <c r="U12" i="2" s="1"/>
  <c r="V12" i="2" s="1"/>
  <c r="E40" i="3"/>
  <c r="F36" i="3"/>
  <c r="F40" i="3" s="1"/>
  <c r="G35" i="3"/>
  <c r="I29" i="2"/>
  <c r="I30" i="2" s="1"/>
  <c r="Q26" i="2"/>
  <c r="Q25" i="2"/>
  <c r="Q8" i="2"/>
  <c r="P69" i="2"/>
  <c r="P61" i="2"/>
  <c r="O69" i="2"/>
  <c r="O61" i="2"/>
  <c r="P70" i="2"/>
  <c r="P71" i="2" s="1"/>
  <c r="P43" i="2"/>
  <c r="P36" i="2"/>
  <c r="P35" i="2"/>
  <c r="P34" i="2"/>
  <c r="P33" i="2"/>
  <c r="P32" i="2"/>
  <c r="O48" i="2"/>
  <c r="H48" i="2"/>
  <c r="I48" i="2"/>
  <c r="J48" i="2"/>
  <c r="C36" i="2"/>
  <c r="C35" i="2"/>
  <c r="C34" i="2"/>
  <c r="C33" i="2"/>
  <c r="C32" i="2"/>
  <c r="G48" i="2" s="1"/>
  <c r="C30" i="2"/>
  <c r="C28" i="2"/>
  <c r="C27" i="2"/>
  <c r="Q27" i="2"/>
  <c r="Q28" i="2"/>
  <c r="Q32" i="2"/>
  <c r="R32" i="2" s="1"/>
  <c r="Q43" i="2"/>
  <c r="R43" i="2" s="1"/>
  <c r="S43" i="2" s="1"/>
  <c r="T43" i="2" s="1"/>
  <c r="U43" i="2" s="1"/>
  <c r="I37" i="2"/>
  <c r="P50" i="2"/>
  <c r="O50" i="2"/>
  <c r="N50" i="2"/>
  <c r="G67" i="2"/>
  <c r="G63" i="2"/>
  <c r="G59" i="2"/>
  <c r="G52" i="2"/>
  <c r="G68" i="2"/>
  <c r="G66" i="2"/>
  <c r="G64" i="2"/>
  <c r="G60" i="2"/>
  <c r="G51" i="2"/>
  <c r="O37" i="2"/>
  <c r="N37" i="2"/>
  <c r="D37" i="2"/>
  <c r="E37" i="2"/>
  <c r="F37" i="2"/>
  <c r="G37" i="2"/>
  <c r="H37" i="2"/>
  <c r="N17" i="6" l="1"/>
  <c r="M18" i="6"/>
  <c r="P14" i="9"/>
  <c r="O15" i="9"/>
  <c r="S32" i="2"/>
  <c r="T32" i="2" s="1"/>
  <c r="U32" i="2" s="1"/>
  <c r="V32" i="2" s="1"/>
  <c r="V48" i="2" s="1"/>
  <c r="J31" i="2"/>
  <c r="J47" i="2" s="1"/>
  <c r="S23" i="2"/>
  <c r="R29" i="2"/>
  <c r="R30" i="2" s="1"/>
  <c r="Q30" i="2"/>
  <c r="I31" i="2"/>
  <c r="I47" i="2" s="1"/>
  <c r="H35" i="3"/>
  <c r="G36" i="3"/>
  <c r="V37" i="2"/>
  <c r="P37" i="2"/>
  <c r="O70" i="2"/>
  <c r="O71" i="2" s="1"/>
  <c r="P48" i="2"/>
  <c r="G69" i="2"/>
  <c r="C37" i="2"/>
  <c r="I38" i="2"/>
  <c r="Q48" i="2"/>
  <c r="R48" i="2"/>
  <c r="S37" i="2"/>
  <c r="R37" i="2"/>
  <c r="T37" i="2"/>
  <c r="U37" i="2"/>
  <c r="V43" i="2"/>
  <c r="G50" i="2"/>
  <c r="H39" i="2" s="1"/>
  <c r="G61" i="2"/>
  <c r="O29" i="2"/>
  <c r="P29" i="2"/>
  <c r="N29" i="2"/>
  <c r="N31" i="2" s="1"/>
  <c r="N47" i="2" s="1"/>
  <c r="D29" i="2"/>
  <c r="D31" i="2" s="1"/>
  <c r="E29" i="2"/>
  <c r="E31" i="2" s="1"/>
  <c r="F29" i="2"/>
  <c r="F31" i="2" s="1"/>
  <c r="G29" i="2"/>
  <c r="Q29" i="2" s="1"/>
  <c r="C29" i="2"/>
  <c r="C31" i="2" s="1"/>
  <c r="O17" i="6" l="1"/>
  <c r="N18" i="6"/>
  <c r="Q14" i="9"/>
  <c r="P15" i="9"/>
  <c r="T48" i="2"/>
  <c r="U48" i="2"/>
  <c r="S48" i="2"/>
  <c r="T23" i="2"/>
  <c r="S29" i="2"/>
  <c r="S30" i="2" s="1"/>
  <c r="S31" i="2" s="1"/>
  <c r="S47" i="2" s="1"/>
  <c r="I35" i="3"/>
  <c r="H36" i="3"/>
  <c r="C38" i="2"/>
  <c r="R46" i="2"/>
  <c r="F38" i="2"/>
  <c r="F40" i="2" s="1"/>
  <c r="F42" i="2" s="1"/>
  <c r="F44" i="2" s="1"/>
  <c r="F47" i="2"/>
  <c r="D38" i="2"/>
  <c r="D40" i="2" s="1"/>
  <c r="D42" i="2" s="1"/>
  <c r="D47" i="2"/>
  <c r="H31" i="2"/>
  <c r="H46" i="2"/>
  <c r="I46" i="2"/>
  <c r="E38" i="2"/>
  <c r="E40" i="2" s="1"/>
  <c r="E42" i="2" s="1"/>
  <c r="E44" i="2" s="1"/>
  <c r="E47" i="2"/>
  <c r="J46" i="2"/>
  <c r="R31" i="2"/>
  <c r="R47" i="2" s="1"/>
  <c r="N38" i="2"/>
  <c r="N40" i="2" s="1"/>
  <c r="N42" i="2" s="1"/>
  <c r="N43" i="2" s="1"/>
  <c r="O31" i="2"/>
  <c r="O47" i="2" s="1"/>
  <c r="O46" i="2"/>
  <c r="P31" i="2"/>
  <c r="P47" i="2" s="1"/>
  <c r="P46" i="2"/>
  <c r="Q46" i="2"/>
  <c r="C40" i="2"/>
  <c r="C42" i="2" s="1"/>
  <c r="C43" i="2" s="1"/>
  <c r="C47" i="2"/>
  <c r="G70" i="2"/>
  <c r="G71" i="2" s="1"/>
  <c r="G31" i="2"/>
  <c r="G46" i="2"/>
  <c r="O2" i="2"/>
  <c r="P2" i="2" s="1"/>
  <c r="Q2" i="2" s="1"/>
  <c r="R2" i="2" s="1"/>
  <c r="S2" i="2" s="1"/>
  <c r="T2" i="2" s="1"/>
  <c r="U2" i="2" s="1"/>
  <c r="V2" i="2" s="1"/>
  <c r="L6" i="1"/>
  <c r="L5" i="1"/>
  <c r="L4" i="1"/>
  <c r="P17" i="6" l="1"/>
  <c r="O18" i="6"/>
  <c r="R14" i="9"/>
  <c r="R15" i="9" s="1"/>
  <c r="Q15" i="9"/>
  <c r="S46" i="2"/>
  <c r="U23" i="2"/>
  <c r="T29" i="2"/>
  <c r="J35" i="3"/>
  <c r="I36" i="3"/>
  <c r="Q31" i="2"/>
  <c r="Q47" i="2" s="1"/>
  <c r="H38" i="2"/>
  <c r="H40" i="2" s="1"/>
  <c r="H41" i="2" s="1"/>
  <c r="H47" i="2"/>
  <c r="S38" i="2"/>
  <c r="R38" i="2"/>
  <c r="O38" i="2"/>
  <c r="O40" i="2" s="1"/>
  <c r="O42" i="2" s="1"/>
  <c r="P38" i="2"/>
  <c r="P40" i="2" s="1"/>
  <c r="P42" i="2" s="1"/>
  <c r="G38" i="2"/>
  <c r="G47" i="2"/>
  <c r="L7" i="1"/>
  <c r="P18" i="6" l="1"/>
  <c r="Q17" i="6"/>
  <c r="G18" i="9"/>
  <c r="T30" i="2"/>
  <c r="T31" i="2" s="1"/>
  <c r="T46" i="2"/>
  <c r="V23" i="2"/>
  <c r="V29" i="2" s="1"/>
  <c r="U29" i="2"/>
  <c r="K35" i="3"/>
  <c r="J36" i="3"/>
  <c r="P44" i="2"/>
  <c r="P73" i="2"/>
  <c r="O43" i="2"/>
  <c r="O73" i="2"/>
  <c r="H42" i="2"/>
  <c r="J37" i="2"/>
  <c r="Q36" i="2"/>
  <c r="G40" i="2"/>
  <c r="R17" i="6" l="1"/>
  <c r="R18" i="6" s="1"/>
  <c r="Q18" i="6"/>
  <c r="H44" i="2"/>
  <c r="U30" i="2"/>
  <c r="U31" i="2" s="1"/>
  <c r="U46" i="2"/>
  <c r="T47" i="2"/>
  <c r="T38" i="2"/>
  <c r="V46" i="2"/>
  <c r="V30" i="2"/>
  <c r="V31" i="2" s="1"/>
  <c r="L35" i="3"/>
  <c r="K36" i="3"/>
  <c r="H50" i="2"/>
  <c r="I39" i="2" s="1"/>
  <c r="I40" i="2" s="1"/>
  <c r="Q37" i="2"/>
  <c r="J38" i="2"/>
  <c r="G42" i="2"/>
  <c r="V47" i="2" l="1"/>
  <c r="V38" i="2"/>
  <c r="U47" i="2"/>
  <c r="U38" i="2"/>
  <c r="M35" i="3"/>
  <c r="L36" i="3"/>
  <c r="I41" i="2"/>
  <c r="I42" i="2" s="1"/>
  <c r="Q38" i="2"/>
  <c r="G44" i="2"/>
  <c r="N35" i="3" l="1"/>
  <c r="M36" i="3"/>
  <c r="I44" i="2"/>
  <c r="I50" i="2"/>
  <c r="J39" i="2" s="1"/>
  <c r="Q39" i="2" s="1"/>
  <c r="O35" i="3" l="1"/>
  <c r="N36" i="3"/>
  <c r="J40" i="2"/>
  <c r="Q40" i="2" s="1"/>
  <c r="J41" i="2" l="1"/>
  <c r="P35" i="3"/>
  <c r="O36" i="3"/>
  <c r="Q41" i="2"/>
  <c r="J42" i="2"/>
  <c r="Q42" i="2" s="1"/>
  <c r="P36" i="3" l="1"/>
  <c r="Q35" i="3"/>
  <c r="Q36" i="3" s="1"/>
  <c r="J44" i="2"/>
  <c r="J50" i="2"/>
  <c r="Q50" i="2" s="1"/>
  <c r="R39" i="2" s="1"/>
  <c r="R40" i="2" s="1"/>
  <c r="R41" i="2" s="1"/>
  <c r="Q73" i="2"/>
  <c r="Q88" i="2" s="1"/>
  <c r="Q95" i="2" s="1"/>
  <c r="R42" i="2" l="1"/>
  <c r="Q44" i="2"/>
  <c r="R44" i="2" l="1"/>
  <c r="R73" i="2"/>
  <c r="R88" i="2" s="1"/>
  <c r="R95" i="2" s="1"/>
  <c r="R50" i="2"/>
  <c r="S39" i="2" s="1"/>
  <c r="S40" i="2" s="1"/>
  <c r="S41" i="2" s="1"/>
  <c r="S42" i="2" l="1"/>
  <c r="S44" i="2" l="1"/>
  <c r="S50" i="2"/>
  <c r="T39" i="2" s="1"/>
  <c r="T40" i="2" s="1"/>
  <c r="T41" i="2" s="1"/>
  <c r="T42" i="2" s="1"/>
  <c r="T73" i="2" s="1"/>
  <c r="T88" i="2" s="1"/>
  <c r="T95" i="2" s="1"/>
  <c r="S73" i="2"/>
  <c r="S88" i="2" s="1"/>
  <c r="S95" i="2" s="1"/>
  <c r="T44" i="2" l="1"/>
  <c r="T50" i="2"/>
  <c r="U39" i="2" s="1"/>
  <c r="U40" i="2" s="1"/>
  <c r="D44" i="2"/>
  <c r="U41" i="2" l="1"/>
  <c r="U42" i="2" s="1"/>
  <c r="U73" i="2" l="1"/>
  <c r="U88" i="2" s="1"/>
  <c r="U95" i="2" s="1"/>
  <c r="U44" i="2"/>
  <c r="U50" i="2"/>
  <c r="V39" i="2" s="1"/>
  <c r="V40" i="2" s="1"/>
  <c r="V41" i="2" l="1"/>
  <c r="V42" i="2" s="1"/>
  <c r="V73" i="2" s="1"/>
  <c r="V88" i="2" s="1"/>
  <c r="V95" i="2" s="1"/>
  <c r="W95" i="2" l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C95" i="2" s="1"/>
  <c r="DD95" i="2" s="1"/>
  <c r="DE95" i="2" s="1"/>
  <c r="DF95" i="2" s="1"/>
  <c r="DG95" i="2" s="1"/>
  <c r="DH95" i="2" s="1"/>
  <c r="DI95" i="2" s="1"/>
  <c r="DJ95" i="2" s="1"/>
  <c r="DK95" i="2" s="1"/>
  <c r="DL95" i="2" s="1"/>
  <c r="DM95" i="2" s="1"/>
  <c r="DN95" i="2" s="1"/>
  <c r="DO95" i="2" s="1"/>
  <c r="DP95" i="2" s="1"/>
  <c r="DQ95" i="2" s="1"/>
  <c r="V50" i="2"/>
  <c r="V44" i="2"/>
  <c r="W42" i="2"/>
  <c r="X42" i="2" l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  <c r="DT42" i="2" s="1"/>
  <c r="DU42" i="2" s="1"/>
  <c r="DV42" i="2" s="1"/>
  <c r="DW42" i="2" s="1"/>
  <c r="DX42" i="2" s="1"/>
  <c r="DY42" i="2" s="1"/>
  <c r="DZ42" i="2" s="1"/>
  <c r="Y49" i="2" l="1"/>
  <c r="Y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tc={01339D03-544D-490D-871D-1D3C5F8D0B2A}</author>
    <author>tc={C387B238-6C23-4FA3-B5CC-CB204A82E884}</author>
  </authors>
  <commentList>
    <comment ref="B7" authorId="0" shapeId="0" xr:uid="{01339D03-544D-490D-871D-1D3C5F8D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  <comment ref="B21" authorId="1" shapeId="0" xr:uid="{C387B238-6C23-4FA3-B5CC-CB204A82E884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</commentList>
</comments>
</file>

<file path=xl/sharedStrings.xml><?xml version="1.0" encoding="utf-8"?>
<sst xmlns="http://schemas.openxmlformats.org/spreadsheetml/2006/main" count="235" uniqueCount="184">
  <si>
    <t>Indication</t>
  </si>
  <si>
    <t>MOA</t>
  </si>
  <si>
    <t>IP</t>
  </si>
  <si>
    <t>Economics</t>
  </si>
  <si>
    <t>Price</t>
  </si>
  <si>
    <t>Shares</t>
  </si>
  <si>
    <t>MC</t>
  </si>
  <si>
    <t>Cash</t>
  </si>
  <si>
    <t>Debt</t>
  </si>
  <si>
    <t>EV</t>
  </si>
  <si>
    <t>Q125</t>
  </si>
  <si>
    <t>Q124</t>
  </si>
  <si>
    <t>Q224</t>
  </si>
  <si>
    <t>Q324</t>
  </si>
  <si>
    <t>Q424</t>
  </si>
  <si>
    <t>Q225</t>
  </si>
  <si>
    <t>Main</t>
  </si>
  <si>
    <t>Revenue</t>
  </si>
  <si>
    <t>Product</t>
  </si>
  <si>
    <t>Royalty</t>
  </si>
  <si>
    <t>COGS</t>
  </si>
  <si>
    <t>Gross Profit</t>
  </si>
  <si>
    <t>SG&amp;A</t>
  </si>
  <si>
    <t>R&amp;D</t>
  </si>
  <si>
    <t>Acquired IPRD</t>
  </si>
  <si>
    <t>Amort</t>
  </si>
  <si>
    <t>Other Expense</t>
  </si>
  <si>
    <t>Operating Expenses</t>
  </si>
  <si>
    <t>Operating Income</t>
  </si>
  <si>
    <t>Tax</t>
  </si>
  <si>
    <t>Pretax Income</t>
  </si>
  <si>
    <t>Interest Income</t>
  </si>
  <si>
    <t>Net Income</t>
  </si>
  <si>
    <t>EPS</t>
  </si>
  <si>
    <t>Revenue y/y</t>
  </si>
  <si>
    <t>Gross Margin</t>
  </si>
  <si>
    <t>SG&amp;A y/y</t>
  </si>
  <si>
    <t>Net Cash</t>
  </si>
  <si>
    <t>AR</t>
  </si>
  <si>
    <t>Inventories</t>
  </si>
  <si>
    <t>PP&amp;E</t>
  </si>
  <si>
    <t>GW</t>
  </si>
  <si>
    <t>Intangible Assets</t>
  </si>
  <si>
    <t>Other Assets</t>
  </si>
  <si>
    <t>Assets</t>
  </si>
  <si>
    <t>AP</t>
  </si>
  <si>
    <t>DT</t>
  </si>
  <si>
    <t>Liabilities</t>
  </si>
  <si>
    <t>L+SE</t>
  </si>
  <si>
    <t>SE</t>
  </si>
  <si>
    <t>LT Securities</t>
  </si>
  <si>
    <t>ST Securities</t>
  </si>
  <si>
    <t>ST Obligations</t>
  </si>
  <si>
    <t>ROIC</t>
  </si>
  <si>
    <t>Maturity</t>
  </si>
  <si>
    <t>Discount</t>
  </si>
  <si>
    <t>NPV</t>
  </si>
  <si>
    <t>Share</t>
  </si>
  <si>
    <t>Q325</t>
  </si>
  <si>
    <t>Q425</t>
  </si>
  <si>
    <t>Name</t>
  </si>
  <si>
    <t>Approved</t>
  </si>
  <si>
    <t>Admin</t>
  </si>
  <si>
    <t>Phase</t>
  </si>
  <si>
    <t>Other LT</t>
  </si>
  <si>
    <t>Other ST</t>
  </si>
  <si>
    <t>CEO: Chris Boerner</t>
  </si>
  <si>
    <t>CCO: Adam Lenkowsky</t>
  </si>
  <si>
    <t>RYZ101</t>
  </si>
  <si>
    <t>III</t>
  </si>
  <si>
    <t>2L+SSTR2+GEP-NETs</t>
  </si>
  <si>
    <t>AR LDD</t>
  </si>
  <si>
    <t>mCRPC</t>
  </si>
  <si>
    <t>iberdomide</t>
  </si>
  <si>
    <t>2L+Multiple Myeloma</t>
  </si>
  <si>
    <t>mezigdomide</t>
  </si>
  <si>
    <t>2L+Multiple Myeloma Vd&amp;Kd</t>
  </si>
  <si>
    <t>II</t>
  </si>
  <si>
    <t>golcadomide</t>
  </si>
  <si>
    <t>High Risk 1L LBCL</t>
  </si>
  <si>
    <t>admilparant</t>
  </si>
  <si>
    <t>obexelimab</t>
  </si>
  <si>
    <t>Ig64-Related Disease</t>
  </si>
  <si>
    <t>FAAH/MAGL Dual Inhibitor</t>
  </si>
  <si>
    <t>Anti-MTBR Tau</t>
  </si>
  <si>
    <t>Alzheimer's</t>
  </si>
  <si>
    <t>MYK-224</t>
  </si>
  <si>
    <t>milvexian</t>
  </si>
  <si>
    <t>MRK</t>
  </si>
  <si>
    <t>Zenas BioPharma</t>
  </si>
  <si>
    <t>Ono</t>
  </si>
  <si>
    <t>Zai Lab</t>
  </si>
  <si>
    <t>Juno Therapeutics</t>
  </si>
  <si>
    <t>CAR-T</t>
  </si>
  <si>
    <t>USA</t>
  </si>
  <si>
    <t>International</t>
  </si>
  <si>
    <t>Other</t>
  </si>
  <si>
    <t>Opdivo</t>
  </si>
  <si>
    <t>Orencia</t>
  </si>
  <si>
    <t>Yervoy</t>
  </si>
  <si>
    <t>Reblozyl</t>
  </si>
  <si>
    <t>Opdualag</t>
  </si>
  <si>
    <t>Breyanzi</t>
  </si>
  <si>
    <t>Camzyos</t>
  </si>
  <si>
    <t>Zeposia</t>
  </si>
  <si>
    <t>Abecma</t>
  </si>
  <si>
    <t>Sotyktu</t>
  </si>
  <si>
    <t>Krazati</t>
  </si>
  <si>
    <t>Augtyro</t>
  </si>
  <si>
    <t>Cobenfy</t>
  </si>
  <si>
    <t>Other Growth</t>
  </si>
  <si>
    <t>Eliquis</t>
  </si>
  <si>
    <t>Revlimid</t>
  </si>
  <si>
    <t>Pomalyst/Imnovid</t>
  </si>
  <si>
    <t>Sprycel</t>
  </si>
  <si>
    <t>Abraxane</t>
  </si>
  <si>
    <t>Other Legacy</t>
  </si>
  <si>
    <t>Breyanzi (lisocabtagene maraleucel)</t>
  </si>
  <si>
    <t>Sotyktu (deucravacitinib)</t>
  </si>
  <si>
    <t>Reblozyl (luspatercept-aamt)</t>
  </si>
  <si>
    <t>Krazati (adagrasib)</t>
  </si>
  <si>
    <t>Opdivo (nivolumab)</t>
  </si>
  <si>
    <t>Yervoy (ipilimumab)</t>
  </si>
  <si>
    <t>Augtyro (repotrectinib)</t>
  </si>
  <si>
    <t>Eliquis (apixaban)</t>
  </si>
  <si>
    <t>Clinical Trials</t>
  </si>
  <si>
    <t>GOLSEEK-1 Phase 3</t>
  </si>
  <si>
    <t>GOLSEEK-2 Phase 2</t>
  </si>
  <si>
    <t>What can the growth drugs do?</t>
  </si>
  <si>
    <t>What can golcadomide do and will it work?</t>
  </si>
  <si>
    <t>Are there any other drugs in pipeline that look good?</t>
  </si>
  <si>
    <t>What will the main drugs (Eliquis Orencia Opdivo) do?</t>
  </si>
  <si>
    <t>Regulatory</t>
  </si>
  <si>
    <t>Brand</t>
  </si>
  <si>
    <t>Generic</t>
  </si>
  <si>
    <t>Competition</t>
  </si>
  <si>
    <t>Orencia (abatacept)</t>
  </si>
  <si>
    <t>High risk 1L LBCL</t>
  </si>
  <si>
    <t>CELMOD</t>
  </si>
  <si>
    <t>CELLMOD</t>
  </si>
  <si>
    <t>US Patient Pool</t>
  </si>
  <si>
    <t>Treated</t>
  </si>
  <si>
    <t>R-CHOP (combination of rituximab, cyclophosphamide, doxorubicin, vincristine, &amp; prednisone)</t>
  </si>
  <si>
    <t>Cumulative</t>
  </si>
  <si>
    <t>Model NI</t>
  </si>
  <si>
    <t>Reported NI</t>
  </si>
  <si>
    <t>D&amp;A</t>
  </si>
  <si>
    <t>SBC</t>
  </si>
  <si>
    <t>Impairment</t>
  </si>
  <si>
    <t>Divestiture &amp; Royalties</t>
  </si>
  <si>
    <t>Investment Losses</t>
  </si>
  <si>
    <t>Rebates &amp; Discounts</t>
  </si>
  <si>
    <t>Tax Payable</t>
  </si>
  <si>
    <t>CFFO</t>
  </si>
  <si>
    <t>Securities</t>
  </si>
  <si>
    <t>CAPEX</t>
  </si>
  <si>
    <t>Acquisition</t>
  </si>
  <si>
    <t>Divestiture</t>
  </si>
  <si>
    <t>FCF</t>
  </si>
  <si>
    <t>IPF, PPF</t>
  </si>
  <si>
    <t>MS Spasticity, Alzheimer's Agitation</t>
  </si>
  <si>
    <t>ACS, Afib, Secondary Stroke Prevention</t>
  </si>
  <si>
    <t>Afib, VTE, DVT, PE</t>
  </si>
  <si>
    <t>2-4L Multiple Myeloma</t>
  </si>
  <si>
    <t>search sec filings for what they say the drug will be generic by and the patent type</t>
  </si>
  <si>
    <t>IV</t>
  </si>
  <si>
    <t>Oral</t>
  </si>
  <si>
    <t>Subcutaneous</t>
  </si>
  <si>
    <t>Injection</t>
  </si>
  <si>
    <t>Opdualag (nivolumab/relatlimab-rmbw)</t>
  </si>
  <si>
    <t>Camzyos (mavacamten)</t>
  </si>
  <si>
    <t>Zeposia (ozanimod)</t>
  </si>
  <si>
    <t>Abecma (idecabtagene vicleucel)</t>
  </si>
  <si>
    <t>Cobenfy (xanomelin/trospium)</t>
  </si>
  <si>
    <t>Revlimid (lenalidomide)</t>
  </si>
  <si>
    <t>Pomalyst/Imnovid (pomalidomide)</t>
  </si>
  <si>
    <t>Sprycel (dasatinib)</t>
  </si>
  <si>
    <t>Abraxane (nab-paclitaxel)</t>
  </si>
  <si>
    <t>RayzeBio</t>
  </si>
  <si>
    <t>BMS-986365</t>
  </si>
  <si>
    <t>BMS-986393 (ario-cel)</t>
  </si>
  <si>
    <t>GPRC5D</t>
  </si>
  <si>
    <t>market</t>
  </si>
  <si>
    <t>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</si>
</sst>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1" applyBorder="1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3" xfId="1" applyBorder="1"/>
    <xf numFmtId="3" fontId="2" fillId="0" borderId="0" xfId="1" applyNumberFormat="1"/>
    <xf numFmtId="3" fontId="4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  <xf numFmtId="0" fontId="1" fillId="0" borderId="1" xfId="0" applyFont="1" applyBorder="1"/>
    <xf numFmtId="0" fontId="1" fillId="0" borderId="3" xfId="0" applyFont="1" applyBorder="1"/>
    <xf numFmtId="3" fontId="0" fillId="0" borderId="0" xfId="0" applyNumberFormat="1" applyFont="1"/>
    <xf numFmtId="1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21981</xdr:rowOff>
    </xdr:from>
    <xdr:to>
      <xdr:col>16</xdr:col>
      <xdr:colOff>14654</xdr:colOff>
      <xdr:row>102</xdr:row>
      <xdr:rowOff>51289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0A282C7-E715-EE07-F6D6-574DC3734496}"/>
            </a:ext>
          </a:extLst>
        </xdr:cNvPr>
        <xdr:cNvCxnSpPr/>
      </xdr:nvCxnSpPr>
      <xdr:spPr>
        <a:xfrm>
          <a:off x="8946173" y="21981"/>
          <a:ext cx="14654" cy="16309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7327</xdr:colOff>
      <xdr:row>81</xdr:row>
      <xdr:rowOff>131884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F293A7-4F82-42CA-86DE-C637E7F8C375}"/>
            </a:ext>
          </a:extLst>
        </xdr:cNvPr>
        <xdr:cNvCxnSpPr/>
      </xdr:nvCxnSpPr>
      <xdr:spPr>
        <a:xfrm>
          <a:off x="4491404" y="0"/>
          <a:ext cx="7327" cy="8997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488F597-88AC-4FBC-B19C-F3F699AAA13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6-05T03:19:04.88" personId="{C488F597-88AC-4FBC-B19C-F3F699AAA13F}" id="{01339D03-544D-490D-871D-1D3C5F8D0B2A}">
    <text>Expire 2028</text>
  </threadedComment>
  <threadedComment ref="B21" dT="2025-06-05T03:18:39.63" personId="{C488F597-88AC-4FBC-B19C-F3F699AAA13F}" id="{C387B238-6C23-4FA3-B5CC-CB204A82E884}">
    <text>Expire 2028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4D59-1CB2-4A24-A9E5-2B8BEE45A87C}">
  <dimension ref="B2:M39"/>
  <sheetViews>
    <sheetView zoomScale="115" zoomScaleNormal="115" workbookViewId="0">
      <selection activeCell="B12" sqref="B12"/>
    </sheetView>
  </sheetViews>
  <sheetFormatPr defaultRowHeight="12.75" x14ac:dyDescent="0.2"/>
  <cols>
    <col min="1" max="1" width="2.5703125" customWidth="1"/>
    <col min="2" max="2" width="32" customWidth="1"/>
    <col min="3" max="3" width="28.5703125" customWidth="1"/>
    <col min="4" max="4" width="11.42578125" customWidth="1"/>
    <col min="5" max="5" width="15.7109375" customWidth="1"/>
    <col min="7" max="7" width="12.7109375" customWidth="1"/>
    <col min="8" max="8" width="10.28515625" customWidth="1"/>
    <col min="9" max="10" width="4.85546875" customWidth="1"/>
  </cols>
  <sheetData>
    <row r="2" spans="2:13" x14ac:dyDescent="0.2">
      <c r="B2" s="12" t="s">
        <v>60</v>
      </c>
      <c r="C2" s="13" t="s">
        <v>0</v>
      </c>
      <c r="D2" s="13" t="s">
        <v>61</v>
      </c>
      <c r="E2" s="13" t="s">
        <v>3</v>
      </c>
      <c r="F2" s="13" t="s">
        <v>1</v>
      </c>
      <c r="G2" s="13" t="s">
        <v>62</v>
      </c>
      <c r="H2" s="14" t="s">
        <v>2</v>
      </c>
      <c r="K2" t="s">
        <v>4</v>
      </c>
      <c r="L2" s="5">
        <v>44</v>
      </c>
    </row>
    <row r="3" spans="2:13" x14ac:dyDescent="0.2">
      <c r="B3" s="25" t="s">
        <v>177</v>
      </c>
      <c r="C3" s="19"/>
      <c r="D3" s="2">
        <v>38359</v>
      </c>
      <c r="E3" s="19"/>
      <c r="F3" s="19"/>
      <c r="G3" s="19" t="s">
        <v>165</v>
      </c>
      <c r="H3" s="20"/>
      <c r="K3" t="s">
        <v>5</v>
      </c>
      <c r="L3" s="1">
        <v>2035.08</v>
      </c>
      <c r="M3" t="s">
        <v>10</v>
      </c>
    </row>
    <row r="4" spans="2:13" x14ac:dyDescent="0.2">
      <c r="B4" s="25" t="s">
        <v>176</v>
      </c>
      <c r="C4" s="19"/>
      <c r="D4" s="2">
        <v>38896</v>
      </c>
      <c r="E4" s="19"/>
      <c r="F4" s="19"/>
      <c r="G4" s="19" t="s">
        <v>166</v>
      </c>
      <c r="H4" s="20"/>
      <c r="K4" t="s">
        <v>6</v>
      </c>
      <c r="L4" s="1">
        <f>L3*L2</f>
        <v>89543.51999999999</v>
      </c>
    </row>
    <row r="5" spans="2:13" x14ac:dyDescent="0.2">
      <c r="B5" s="25" t="s">
        <v>175</v>
      </c>
      <c r="C5" s="19"/>
      <c r="D5" s="2">
        <v>41313</v>
      </c>
      <c r="E5" s="19"/>
      <c r="F5" s="19"/>
      <c r="G5" s="19" t="s">
        <v>166</v>
      </c>
      <c r="H5" s="20"/>
      <c r="K5" t="s">
        <v>7</v>
      </c>
      <c r="L5" s="1">
        <f>10875+907</f>
        <v>11782</v>
      </c>
      <c r="M5" t="s">
        <v>10</v>
      </c>
    </row>
    <row r="6" spans="2:13" x14ac:dyDescent="0.2">
      <c r="B6" s="25" t="s">
        <v>174</v>
      </c>
      <c r="C6" s="19"/>
      <c r="D6" s="2">
        <v>38713</v>
      </c>
      <c r="E6" s="19"/>
      <c r="F6" s="19"/>
      <c r="G6" s="19" t="s">
        <v>166</v>
      </c>
      <c r="H6" s="20"/>
      <c r="K6" t="s">
        <v>8</v>
      </c>
      <c r="L6" s="1">
        <f>276+46157+4477</f>
        <v>50910</v>
      </c>
      <c r="M6" t="s">
        <v>10</v>
      </c>
    </row>
    <row r="7" spans="2:13" x14ac:dyDescent="0.2">
      <c r="B7" s="25" t="s">
        <v>173</v>
      </c>
      <c r="C7" s="19"/>
      <c r="D7" s="2">
        <v>45561</v>
      </c>
      <c r="E7" s="19"/>
      <c r="F7" s="19"/>
      <c r="G7" s="19" t="s">
        <v>166</v>
      </c>
      <c r="H7" s="20"/>
      <c r="K7" t="s">
        <v>9</v>
      </c>
      <c r="L7" s="1">
        <f>L4+L6-L5</f>
        <v>128671.51999999999</v>
      </c>
    </row>
    <row r="8" spans="2:13" x14ac:dyDescent="0.2">
      <c r="B8" s="25" t="s">
        <v>172</v>
      </c>
      <c r="C8" s="19"/>
      <c r="D8" s="2">
        <v>44258</v>
      </c>
      <c r="E8" s="19"/>
      <c r="F8" s="19"/>
      <c r="G8" s="19" t="s">
        <v>165</v>
      </c>
      <c r="H8" s="20" t="s">
        <v>93</v>
      </c>
    </row>
    <row r="9" spans="2:13" x14ac:dyDescent="0.2">
      <c r="B9" s="25" t="s">
        <v>171</v>
      </c>
      <c r="C9" s="19"/>
      <c r="D9" s="2">
        <v>43915</v>
      </c>
      <c r="E9" s="19"/>
      <c r="F9" s="19"/>
      <c r="G9" s="19" t="s">
        <v>166</v>
      </c>
      <c r="H9" s="20"/>
      <c r="K9" t="s">
        <v>66</v>
      </c>
    </row>
    <row r="10" spans="2:13" x14ac:dyDescent="0.2">
      <c r="B10" s="25" t="s">
        <v>170</v>
      </c>
      <c r="C10" s="19"/>
      <c r="D10" s="2">
        <v>44679</v>
      </c>
      <c r="E10" s="19"/>
      <c r="F10" s="19"/>
      <c r="G10" s="19" t="s">
        <v>166</v>
      </c>
      <c r="H10" s="20"/>
      <c r="K10" t="s">
        <v>67</v>
      </c>
    </row>
    <row r="11" spans="2:13" x14ac:dyDescent="0.2">
      <c r="B11" s="25" t="s">
        <v>169</v>
      </c>
      <c r="C11" s="19"/>
      <c r="D11" s="2">
        <v>44638</v>
      </c>
      <c r="G11" s="19" t="s">
        <v>165</v>
      </c>
      <c r="I11" s="19"/>
      <c r="J11" s="19"/>
      <c r="L11" s="20"/>
    </row>
    <row r="12" spans="2:13" x14ac:dyDescent="0.2">
      <c r="B12" s="25" t="s">
        <v>136</v>
      </c>
      <c r="C12" s="19"/>
      <c r="D12" s="2">
        <v>38709</v>
      </c>
      <c r="E12" s="19"/>
      <c r="F12" s="19"/>
      <c r="G12" s="19" t="s">
        <v>165</v>
      </c>
      <c r="H12" s="20"/>
    </row>
    <row r="13" spans="2:13" x14ac:dyDescent="0.2">
      <c r="B13" s="7" t="s">
        <v>124</v>
      </c>
      <c r="C13" t="s">
        <v>162</v>
      </c>
      <c r="D13" s="2">
        <v>41271</v>
      </c>
      <c r="G13" s="19" t="s">
        <v>166</v>
      </c>
      <c r="H13" s="20"/>
    </row>
    <row r="14" spans="2:13" x14ac:dyDescent="0.2">
      <c r="B14" s="34" t="s">
        <v>117</v>
      </c>
      <c r="D14" s="2">
        <v>44232</v>
      </c>
      <c r="E14" t="s">
        <v>92</v>
      </c>
      <c r="G14" s="19" t="s">
        <v>165</v>
      </c>
      <c r="H14" s="20" t="s">
        <v>93</v>
      </c>
    </row>
    <row r="15" spans="2:13" x14ac:dyDescent="0.2">
      <c r="B15" s="34" t="s">
        <v>118</v>
      </c>
      <c r="D15" s="2">
        <v>44813</v>
      </c>
      <c r="G15" s="19" t="s">
        <v>166</v>
      </c>
      <c r="H15" s="20"/>
    </row>
    <row r="16" spans="2:13" x14ac:dyDescent="0.2">
      <c r="B16" s="34" t="s">
        <v>119</v>
      </c>
      <c r="D16" s="2">
        <v>43777</v>
      </c>
      <c r="E16" t="s">
        <v>88</v>
      </c>
      <c r="G16" s="19" t="s">
        <v>167</v>
      </c>
      <c r="H16" s="20"/>
    </row>
    <row r="17" spans="2:8" x14ac:dyDescent="0.2">
      <c r="B17" s="34" t="s">
        <v>120</v>
      </c>
      <c r="D17" s="2">
        <v>44907</v>
      </c>
      <c r="E17" t="s">
        <v>91</v>
      </c>
      <c r="G17" s="19" t="s">
        <v>166</v>
      </c>
      <c r="H17" s="20"/>
    </row>
    <row r="18" spans="2:8" x14ac:dyDescent="0.2">
      <c r="B18" s="7" t="s">
        <v>121</v>
      </c>
      <c r="D18" s="2">
        <v>41995</v>
      </c>
      <c r="E18" t="s">
        <v>90</v>
      </c>
      <c r="G18" s="19" t="s">
        <v>168</v>
      </c>
      <c r="H18" s="20"/>
    </row>
    <row r="19" spans="2:8" x14ac:dyDescent="0.2">
      <c r="B19" s="34" t="s">
        <v>122</v>
      </c>
      <c r="D19" s="2">
        <v>45758</v>
      </c>
      <c r="E19" t="s">
        <v>90</v>
      </c>
      <c r="G19" s="19" t="s">
        <v>168</v>
      </c>
      <c r="H19" s="20"/>
    </row>
    <row r="20" spans="2:8" x14ac:dyDescent="0.2">
      <c r="B20" s="35" t="s">
        <v>123</v>
      </c>
      <c r="C20" s="9"/>
      <c r="D20" s="18">
        <v>45456</v>
      </c>
      <c r="E20" s="9" t="s">
        <v>91</v>
      </c>
      <c r="F20" s="9"/>
      <c r="G20" s="11" t="s">
        <v>166</v>
      </c>
      <c r="H20" s="26"/>
    </row>
    <row r="21" spans="2:8" x14ac:dyDescent="0.2">
      <c r="B21" s="15"/>
      <c r="C21" s="16"/>
      <c r="D21" s="13" t="s">
        <v>63</v>
      </c>
      <c r="E21" s="16"/>
      <c r="F21" s="16"/>
      <c r="G21" s="16"/>
      <c r="H21" s="17"/>
    </row>
    <row r="22" spans="2:8" x14ac:dyDescent="0.2">
      <c r="B22" s="7" t="s">
        <v>68</v>
      </c>
      <c r="C22" t="s">
        <v>70</v>
      </c>
      <c r="D22" s="19" t="s">
        <v>69</v>
      </c>
      <c r="E22" t="s">
        <v>178</v>
      </c>
      <c r="H22" s="8"/>
    </row>
    <row r="23" spans="2:8" x14ac:dyDescent="0.2">
      <c r="B23" s="21" t="s">
        <v>179</v>
      </c>
      <c r="C23" t="s">
        <v>72</v>
      </c>
      <c r="D23" s="19" t="s">
        <v>69</v>
      </c>
      <c r="F23" t="s">
        <v>71</v>
      </c>
      <c r="H23" s="8" t="s">
        <v>71</v>
      </c>
    </row>
    <row r="24" spans="2:8" x14ac:dyDescent="0.2">
      <c r="B24" s="21" t="s">
        <v>73</v>
      </c>
      <c r="C24" t="s">
        <v>74</v>
      </c>
      <c r="D24" s="19" t="s">
        <v>69</v>
      </c>
      <c r="H24" s="8"/>
    </row>
    <row r="25" spans="2:8" x14ac:dyDescent="0.2">
      <c r="B25" s="7" t="s">
        <v>75</v>
      </c>
      <c r="C25" t="s">
        <v>76</v>
      </c>
      <c r="D25" s="19" t="s">
        <v>69</v>
      </c>
      <c r="H25" s="8"/>
    </row>
    <row r="26" spans="2:8" x14ac:dyDescent="0.2">
      <c r="B26" s="7" t="s">
        <v>180</v>
      </c>
      <c r="C26" t="s">
        <v>163</v>
      </c>
      <c r="D26" s="19" t="s">
        <v>69</v>
      </c>
      <c r="F26" t="s">
        <v>181</v>
      </c>
      <c r="H26" s="8"/>
    </row>
    <row r="27" spans="2:8" x14ac:dyDescent="0.2">
      <c r="B27" s="21" t="s">
        <v>78</v>
      </c>
      <c r="C27" t="s">
        <v>79</v>
      </c>
      <c r="D27" s="19" t="s">
        <v>69</v>
      </c>
      <c r="F27" t="s">
        <v>138</v>
      </c>
      <c r="H27" s="8" t="s">
        <v>138</v>
      </c>
    </row>
    <row r="28" spans="2:8" x14ac:dyDescent="0.2">
      <c r="B28" s="21" t="s">
        <v>80</v>
      </c>
      <c r="C28" t="s">
        <v>159</v>
      </c>
      <c r="D28" s="19" t="s">
        <v>69</v>
      </c>
      <c r="H28" s="8"/>
    </row>
    <row r="29" spans="2:8" x14ac:dyDescent="0.2">
      <c r="B29" s="21" t="s">
        <v>81</v>
      </c>
      <c r="C29" t="s">
        <v>82</v>
      </c>
      <c r="D29" s="19" t="s">
        <v>69</v>
      </c>
      <c r="E29" t="s">
        <v>89</v>
      </c>
      <c r="H29" s="8"/>
    </row>
    <row r="30" spans="2:8" x14ac:dyDescent="0.2">
      <c r="B30" s="7" t="s">
        <v>83</v>
      </c>
      <c r="C30" t="s">
        <v>160</v>
      </c>
      <c r="D30" s="19" t="s">
        <v>77</v>
      </c>
      <c r="H30" s="8"/>
    </row>
    <row r="31" spans="2:8" x14ac:dyDescent="0.2">
      <c r="B31" s="7" t="s">
        <v>84</v>
      </c>
      <c r="C31" t="s">
        <v>85</v>
      </c>
      <c r="D31" s="19" t="s">
        <v>77</v>
      </c>
      <c r="H31" s="8"/>
    </row>
    <row r="32" spans="2:8" x14ac:dyDescent="0.2">
      <c r="B32" s="7" t="s">
        <v>86</v>
      </c>
      <c r="D32" s="19" t="s">
        <v>77</v>
      </c>
      <c r="H32" s="8"/>
    </row>
    <row r="33" spans="2:8" x14ac:dyDescent="0.2">
      <c r="B33" s="27" t="s">
        <v>87</v>
      </c>
      <c r="C33" s="9" t="s">
        <v>161</v>
      </c>
      <c r="D33" s="11" t="s">
        <v>69</v>
      </c>
      <c r="E33" s="9"/>
      <c r="F33" s="9"/>
      <c r="G33" s="9"/>
      <c r="H33" s="10"/>
    </row>
    <row r="36" spans="2:8" x14ac:dyDescent="0.2">
      <c r="C36">
        <v>1</v>
      </c>
      <c r="D36" t="s">
        <v>131</v>
      </c>
    </row>
    <row r="37" spans="2:8" x14ac:dyDescent="0.2">
      <c r="C37">
        <v>2</v>
      </c>
      <c r="D37" t="s">
        <v>128</v>
      </c>
    </row>
    <row r="38" spans="2:8" x14ac:dyDescent="0.2">
      <c r="C38">
        <v>3</v>
      </c>
      <c r="D38" t="s">
        <v>129</v>
      </c>
    </row>
    <row r="39" spans="2:8" x14ac:dyDescent="0.2">
      <c r="C39">
        <v>4</v>
      </c>
      <c r="D39" t="s">
        <v>130</v>
      </c>
    </row>
  </sheetData>
  <hyperlinks>
    <hyperlink ref="B27" location="golcadomide!A1" display="golcadomide" xr:uid="{CE94D3E4-668B-4EC7-A589-411EBF2CDE51}"/>
    <hyperlink ref="B23" location="'BMS-986365'!A1" display="BMS-986365" xr:uid="{F8ABEC5A-B630-493F-A5E8-4E23266187C8}"/>
    <hyperlink ref="B24" location="iberdomide!A1" display="iberdomide" xr:uid="{EBA13268-CE72-4D74-8E77-9846D0396F4A}"/>
    <hyperlink ref="B29" location="obexlimab!A1" display="obexelimab" xr:uid="{EDA32FDC-BE46-4FDA-8635-86762BC02DD6}"/>
    <hyperlink ref="B28" location="admilparant!A1" display="admilparant" xr:uid="{368544B8-F76D-4554-8C3C-A2BE3B689705}"/>
    <hyperlink ref="B33" location="milvexian!A1" display="milvexian" xr:uid="{C50D9CE3-46B1-49AA-8CD6-AE66D9485286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08B-354D-406F-81C7-71B6E19A8D24}">
  <dimension ref="A1:DZ101"/>
  <sheetViews>
    <sheetView tabSelected="1" zoomScale="130" zoomScaleNormal="130" workbookViewId="0">
      <pane xSplit="2" ySplit="2" topLeftCell="P30" activePane="bottomRight" state="frozen"/>
      <selection pane="topRight" activeCell="C1" sqref="C1"/>
      <selection pane="bottomLeft" activeCell="A3" sqref="A3"/>
      <selection pane="bottomRight" activeCell="Z53" sqref="Z53"/>
    </sheetView>
  </sheetViews>
  <sheetFormatPr defaultRowHeight="12.75" x14ac:dyDescent="0.2"/>
  <cols>
    <col min="1" max="1" width="4.5703125" style="29" customWidth="1"/>
    <col min="2" max="2" width="18.85546875" style="29" customWidth="1"/>
    <col min="3" max="6" width="9.42578125" style="29" bestFit="1" customWidth="1"/>
    <col min="7" max="8" width="11.28515625" style="29" bestFit="1" customWidth="1"/>
    <col min="9" max="10" width="10" style="29" bestFit="1" customWidth="1"/>
    <col min="11" max="11" width="9.140625" style="29"/>
    <col min="12" max="13" width="9.42578125" style="29" bestFit="1" customWidth="1"/>
    <col min="14" max="14" width="10.42578125" style="29" bestFit="1" customWidth="1"/>
    <col min="15" max="16" width="12.42578125" style="29" bestFit="1" customWidth="1"/>
    <col min="17" max="130" width="9.42578125" style="29" bestFit="1" customWidth="1"/>
    <col min="131" max="16384" width="9.140625" style="29"/>
  </cols>
  <sheetData>
    <row r="1" spans="1:22" x14ac:dyDescent="0.2">
      <c r="A1" s="28" t="s">
        <v>16</v>
      </c>
      <c r="C1" s="30"/>
      <c r="G1" s="30">
        <v>45747</v>
      </c>
      <c r="H1" s="30">
        <v>45863</v>
      </c>
      <c r="N1" s="30"/>
      <c r="O1" s="30">
        <v>45291</v>
      </c>
      <c r="P1" s="30">
        <v>45657</v>
      </c>
    </row>
    <row r="2" spans="1:22" x14ac:dyDescent="0.2"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10</v>
      </c>
      <c r="H2" s="29" t="s">
        <v>15</v>
      </c>
      <c r="I2" s="29" t="s">
        <v>58</v>
      </c>
      <c r="J2" s="29" t="s">
        <v>59</v>
      </c>
      <c r="L2" s="31">
        <v>2020</v>
      </c>
      <c r="M2" s="31">
        <f>L2+1</f>
        <v>2021</v>
      </c>
      <c r="N2" s="31">
        <f>M2+1</f>
        <v>2022</v>
      </c>
      <c r="O2" s="31">
        <f>N2+1</f>
        <v>2023</v>
      </c>
      <c r="P2" s="31">
        <f t="shared" ref="P2:V2" si="0">O2+1</f>
        <v>2024</v>
      </c>
      <c r="Q2" s="31">
        <f t="shared" si="0"/>
        <v>2025</v>
      </c>
      <c r="R2" s="31">
        <f t="shared" si="0"/>
        <v>2026</v>
      </c>
      <c r="S2" s="31">
        <f t="shared" si="0"/>
        <v>2027</v>
      </c>
      <c r="T2" s="31">
        <f t="shared" si="0"/>
        <v>2028</v>
      </c>
      <c r="U2" s="31">
        <f t="shared" si="0"/>
        <v>2029</v>
      </c>
      <c r="V2" s="31">
        <f t="shared" si="0"/>
        <v>2030</v>
      </c>
    </row>
    <row r="3" spans="1:22" x14ac:dyDescent="0.2">
      <c r="B3" s="29" t="s">
        <v>94</v>
      </c>
      <c r="N3" s="31"/>
      <c r="O3" s="29">
        <v>31210</v>
      </c>
      <c r="P3" s="29">
        <v>34105</v>
      </c>
      <c r="Q3" s="31"/>
      <c r="R3" s="31"/>
      <c r="S3" s="31"/>
      <c r="T3" s="31"/>
      <c r="U3" s="31"/>
      <c r="V3" s="31"/>
    </row>
    <row r="4" spans="1:22" x14ac:dyDescent="0.2">
      <c r="B4" s="29" t="s">
        <v>95</v>
      </c>
      <c r="N4" s="31"/>
      <c r="O4" s="29">
        <v>13097</v>
      </c>
      <c r="P4" s="29">
        <v>13199</v>
      </c>
      <c r="Q4" s="31"/>
      <c r="R4" s="31"/>
      <c r="S4" s="31"/>
      <c r="T4" s="31"/>
      <c r="U4" s="31"/>
      <c r="V4" s="31"/>
    </row>
    <row r="5" spans="1:22" x14ac:dyDescent="0.2">
      <c r="B5" s="29" t="s">
        <v>96</v>
      </c>
      <c r="N5" s="31"/>
      <c r="O5" s="29">
        <v>699</v>
      </c>
      <c r="P5" s="29">
        <v>996</v>
      </c>
      <c r="Q5" s="31"/>
      <c r="R5" s="31"/>
      <c r="S5" s="31"/>
      <c r="T5" s="31"/>
      <c r="U5" s="31"/>
      <c r="V5" s="31"/>
    </row>
    <row r="6" spans="1:22" x14ac:dyDescent="0.2">
      <c r="N6" s="31"/>
      <c r="Q6" s="31"/>
      <c r="R6" s="31"/>
      <c r="S6" s="31"/>
      <c r="T6" s="31"/>
      <c r="U6" s="31"/>
      <c r="V6" s="31"/>
    </row>
    <row r="7" spans="1:22" x14ac:dyDescent="0.2">
      <c r="B7" s="29" t="s">
        <v>97</v>
      </c>
      <c r="G7" s="29">
        <v>2265</v>
      </c>
      <c r="H7" s="29">
        <f t="shared" ref="H7:J7" si="1">G7*1.01</f>
        <v>2287.65</v>
      </c>
      <c r="I7" s="29">
        <f t="shared" si="1"/>
        <v>2310.5264999999999</v>
      </c>
      <c r="J7" s="29">
        <f t="shared" si="1"/>
        <v>2333.6317650000001</v>
      </c>
      <c r="L7" s="29">
        <v>6992</v>
      </c>
      <c r="M7" s="29">
        <v>7523</v>
      </c>
      <c r="N7" s="29">
        <v>8249</v>
      </c>
      <c r="O7" s="29">
        <v>9009</v>
      </c>
      <c r="P7" s="29">
        <v>9304</v>
      </c>
      <c r="Q7" s="29">
        <f t="shared" ref="Q7:Q19" si="2">SUM(G7:J7)</f>
        <v>9196.8082649999997</v>
      </c>
      <c r="R7" s="29">
        <f>Q7*1.03</f>
        <v>9472.71251295</v>
      </c>
      <c r="S7" s="29">
        <f>R7*1.03</f>
        <v>9756.8938883384999</v>
      </c>
      <c r="T7" s="29">
        <v>0</v>
      </c>
      <c r="U7" s="29">
        <v>0</v>
      </c>
      <c r="V7" s="29">
        <v>0</v>
      </c>
    </row>
    <row r="8" spans="1:22" x14ac:dyDescent="0.2">
      <c r="B8" s="29" t="s">
        <v>98</v>
      </c>
      <c r="G8" s="29">
        <v>770</v>
      </c>
      <c r="H8" s="29">
        <f>G8*1.15</f>
        <v>885.49999999999989</v>
      </c>
      <c r="I8" s="29">
        <f t="shared" ref="I8:J8" si="3">H8*1.15</f>
        <v>1018.3249999999998</v>
      </c>
      <c r="J8" s="29">
        <f t="shared" si="3"/>
        <v>1171.0737499999998</v>
      </c>
      <c r="L8" s="29">
        <v>3157</v>
      </c>
      <c r="M8" s="29">
        <v>3306</v>
      </c>
      <c r="N8" s="29">
        <v>3464</v>
      </c>
      <c r="O8" s="29">
        <v>3601</v>
      </c>
      <c r="P8" s="29">
        <v>3682</v>
      </c>
      <c r="Q8" s="29">
        <f t="shared" si="2"/>
        <v>3844.8987499999994</v>
      </c>
      <c r="R8" s="29">
        <f>Q8*0.9</f>
        <v>3460.4088749999996</v>
      </c>
      <c r="S8" s="29">
        <f t="shared" ref="S8:V8" si="4">R8*0.9</f>
        <v>3114.3679874999998</v>
      </c>
      <c r="T8" s="29">
        <f t="shared" si="4"/>
        <v>2802.9311887499998</v>
      </c>
      <c r="U8" s="29">
        <f t="shared" si="4"/>
        <v>2522.6380698749999</v>
      </c>
      <c r="V8" s="29">
        <f t="shared" si="4"/>
        <v>2270.3742628875002</v>
      </c>
    </row>
    <row r="9" spans="1:22" s="4" customFormat="1" x14ac:dyDescent="0.2">
      <c r="A9" s="29"/>
      <c r="B9" s="36" t="s">
        <v>99</v>
      </c>
      <c r="C9" s="36"/>
      <c r="D9" s="36"/>
      <c r="E9" s="36"/>
      <c r="F9" s="36"/>
      <c r="G9" s="36">
        <v>624</v>
      </c>
      <c r="H9" s="36">
        <f t="shared" ref="H9:J12" si="5">G9*1.03</f>
        <v>642.72</v>
      </c>
      <c r="I9" s="36">
        <f t="shared" si="5"/>
        <v>662.00160000000005</v>
      </c>
      <c r="J9" s="36">
        <f t="shared" si="5"/>
        <v>681.86164800000006</v>
      </c>
      <c r="K9" s="36"/>
      <c r="L9" s="36">
        <v>1682</v>
      </c>
      <c r="M9" s="36">
        <v>2026</v>
      </c>
      <c r="N9" s="36">
        <v>2131</v>
      </c>
      <c r="O9" s="36">
        <v>2238</v>
      </c>
      <c r="P9" s="36">
        <v>2530</v>
      </c>
      <c r="Q9" s="36">
        <f t="shared" si="2"/>
        <v>2610.5832479999999</v>
      </c>
      <c r="R9" s="36">
        <f>Q9*1.05</f>
        <v>2741.1124104</v>
      </c>
      <c r="S9" s="36">
        <f t="shared" ref="S9:V10" si="6">R9*1.05</f>
        <v>2878.1680309200001</v>
      </c>
      <c r="T9" s="36">
        <f t="shared" si="6"/>
        <v>3022.0764324660004</v>
      </c>
      <c r="U9" s="36">
        <f t="shared" si="6"/>
        <v>3173.1802540893004</v>
      </c>
      <c r="V9" s="36">
        <f t="shared" si="6"/>
        <v>3331.8392667937655</v>
      </c>
    </row>
    <row r="10" spans="1:22" s="4" customFormat="1" x14ac:dyDescent="0.2">
      <c r="A10" s="29"/>
      <c r="B10" s="36" t="s">
        <v>100</v>
      </c>
      <c r="C10" s="36"/>
      <c r="D10" s="36"/>
      <c r="E10" s="36"/>
      <c r="F10" s="36"/>
      <c r="G10" s="36">
        <v>478</v>
      </c>
      <c r="H10" s="36">
        <f t="shared" si="5"/>
        <v>492.34000000000003</v>
      </c>
      <c r="I10" s="36">
        <f t="shared" si="5"/>
        <v>507.11020000000002</v>
      </c>
      <c r="J10" s="36">
        <f t="shared" si="5"/>
        <v>522.32350600000007</v>
      </c>
      <c r="K10" s="36"/>
      <c r="L10" s="36">
        <v>274</v>
      </c>
      <c r="M10" s="36">
        <v>551</v>
      </c>
      <c r="N10" s="37">
        <v>717</v>
      </c>
      <c r="O10" s="36">
        <v>1008</v>
      </c>
      <c r="P10" s="36">
        <v>1773</v>
      </c>
      <c r="Q10" s="36">
        <f t="shared" si="2"/>
        <v>1999.7737059999999</v>
      </c>
      <c r="R10" s="36">
        <f>Q10*1.05</f>
        <v>2099.7623913000002</v>
      </c>
      <c r="S10" s="36">
        <f t="shared" si="6"/>
        <v>2204.7505108650003</v>
      </c>
      <c r="T10" s="36">
        <f t="shared" si="6"/>
        <v>2314.9880364082505</v>
      </c>
      <c r="U10" s="36">
        <f t="shared" si="6"/>
        <v>2430.737438228663</v>
      </c>
      <c r="V10" s="36">
        <f t="shared" si="6"/>
        <v>2552.2743101400961</v>
      </c>
    </row>
    <row r="11" spans="1:22" s="4" customFormat="1" x14ac:dyDescent="0.2">
      <c r="A11" s="29"/>
      <c r="B11" s="36" t="s">
        <v>101</v>
      </c>
      <c r="C11" s="36"/>
      <c r="D11" s="36"/>
      <c r="E11" s="36"/>
      <c r="F11" s="36"/>
      <c r="G11" s="36">
        <v>252</v>
      </c>
      <c r="H11" s="36">
        <f>G11*1.05</f>
        <v>264.60000000000002</v>
      </c>
      <c r="I11" s="36">
        <f t="shared" ref="I11:J11" si="7">H11*1.05</f>
        <v>277.83000000000004</v>
      </c>
      <c r="J11" s="36">
        <f t="shared" si="7"/>
        <v>291.72150000000005</v>
      </c>
      <c r="K11" s="36"/>
      <c r="L11" s="36"/>
      <c r="M11" s="36"/>
      <c r="N11" s="37">
        <v>252</v>
      </c>
      <c r="O11" s="36">
        <v>627</v>
      </c>
      <c r="P11" s="36">
        <v>928</v>
      </c>
      <c r="Q11" s="36">
        <f t="shared" si="2"/>
        <v>1086.1515000000002</v>
      </c>
      <c r="R11" s="36">
        <f>Q11*1.05</f>
        <v>1140.4590750000002</v>
      </c>
      <c r="S11" s="36">
        <f t="shared" ref="S11:V11" si="8">R11*1.05</f>
        <v>1197.4820287500004</v>
      </c>
      <c r="T11" s="36">
        <f t="shared" si="8"/>
        <v>1257.3561301875004</v>
      </c>
      <c r="U11" s="36">
        <f t="shared" si="8"/>
        <v>1320.2239366968754</v>
      </c>
      <c r="V11" s="36">
        <f t="shared" si="8"/>
        <v>1386.2351335317192</v>
      </c>
    </row>
    <row r="12" spans="1:22" s="4" customFormat="1" x14ac:dyDescent="0.2">
      <c r="A12" s="29"/>
      <c r="B12" s="36" t="s">
        <v>102</v>
      </c>
      <c r="C12" s="36"/>
      <c r="D12" s="36"/>
      <c r="E12" s="36"/>
      <c r="F12" s="36"/>
      <c r="G12" s="36">
        <v>263</v>
      </c>
      <c r="H12" s="36">
        <f t="shared" si="5"/>
        <v>270.89</v>
      </c>
      <c r="I12" s="36">
        <f t="shared" si="5"/>
        <v>279.01670000000001</v>
      </c>
      <c r="J12" s="36">
        <f t="shared" si="5"/>
        <v>287.387201</v>
      </c>
      <c r="K12" s="36"/>
      <c r="L12" s="36"/>
      <c r="M12" s="36">
        <v>87</v>
      </c>
      <c r="N12" s="37">
        <v>182</v>
      </c>
      <c r="O12" s="36">
        <v>364</v>
      </c>
      <c r="P12" s="36">
        <v>747</v>
      </c>
      <c r="Q12" s="36">
        <f t="shared" si="2"/>
        <v>1100.293901</v>
      </c>
      <c r="R12" s="36">
        <f t="shared" ref="R12" si="9">Q12*1.03</f>
        <v>1133.3027180300001</v>
      </c>
      <c r="S12" s="36">
        <f t="shared" ref="S12:V12" si="10">R12*1.03</f>
        <v>1167.3017995709001</v>
      </c>
      <c r="T12" s="36">
        <f t="shared" si="10"/>
        <v>1202.3208535580272</v>
      </c>
      <c r="U12" s="36">
        <f t="shared" si="10"/>
        <v>1238.3904791647681</v>
      </c>
      <c r="V12" s="36">
        <f t="shared" si="10"/>
        <v>1275.5421935397112</v>
      </c>
    </row>
    <row r="13" spans="1:22" s="4" customFormat="1" x14ac:dyDescent="0.2">
      <c r="A13" s="29"/>
      <c r="B13" s="36" t="s">
        <v>103</v>
      </c>
      <c r="C13" s="36"/>
      <c r="D13" s="36"/>
      <c r="E13" s="36"/>
      <c r="F13" s="36"/>
      <c r="G13" s="36">
        <v>159</v>
      </c>
      <c r="H13" s="36">
        <f>G13*1.2</f>
        <v>190.79999999999998</v>
      </c>
      <c r="I13" s="36">
        <f t="shared" ref="I13:J13" si="11">H13*1.2</f>
        <v>228.95999999999998</v>
      </c>
      <c r="J13" s="36">
        <f t="shared" si="11"/>
        <v>274.75199999999995</v>
      </c>
      <c r="K13" s="36"/>
      <c r="L13" s="36"/>
      <c r="M13" s="36"/>
      <c r="N13" s="37">
        <v>24</v>
      </c>
      <c r="O13" s="36">
        <v>231</v>
      </c>
      <c r="P13" s="36">
        <v>602</v>
      </c>
      <c r="Q13" s="36">
        <f t="shared" si="2"/>
        <v>853.51199999999994</v>
      </c>
      <c r="R13" s="36">
        <f>Q13*1.1</f>
        <v>938.86320000000001</v>
      </c>
      <c r="S13" s="36">
        <f t="shared" ref="S13:V13" si="12">R13*1.1</f>
        <v>1032.7495200000001</v>
      </c>
      <c r="T13" s="36">
        <f t="shared" si="12"/>
        <v>1136.0244720000003</v>
      </c>
      <c r="U13" s="36">
        <f t="shared" si="12"/>
        <v>1249.6269192000004</v>
      </c>
      <c r="V13" s="36">
        <f t="shared" si="12"/>
        <v>1374.5896111200007</v>
      </c>
    </row>
    <row r="14" spans="1:22" s="4" customFormat="1" x14ac:dyDescent="0.2">
      <c r="A14" s="29"/>
      <c r="B14" s="36" t="s">
        <v>104</v>
      </c>
      <c r="C14" s="36"/>
      <c r="D14" s="36"/>
      <c r="E14" s="36"/>
      <c r="F14" s="36"/>
      <c r="G14" s="36">
        <v>107</v>
      </c>
      <c r="H14" s="36">
        <f>G14*1.3</f>
        <v>139.1</v>
      </c>
      <c r="I14" s="36">
        <f t="shared" ref="I14:J14" si="13">H14*1.3</f>
        <v>180.83</v>
      </c>
      <c r="J14" s="36">
        <f t="shared" si="13"/>
        <v>235.07900000000004</v>
      </c>
      <c r="K14" s="36"/>
      <c r="L14" s="36">
        <v>12</v>
      </c>
      <c r="M14" s="36">
        <v>134</v>
      </c>
      <c r="N14" s="36">
        <v>252</v>
      </c>
      <c r="O14" s="36">
        <v>434</v>
      </c>
      <c r="P14" s="36">
        <v>566</v>
      </c>
      <c r="Q14" s="36">
        <f t="shared" si="2"/>
        <v>662.00900000000001</v>
      </c>
      <c r="R14" s="36">
        <f>Q14*1.1</f>
        <v>728.20990000000006</v>
      </c>
      <c r="S14" s="36">
        <f t="shared" ref="S14:V14" si="14">R14*1.1</f>
        <v>801.03089000000011</v>
      </c>
      <c r="T14" s="36">
        <f t="shared" si="14"/>
        <v>881.13397900000018</v>
      </c>
      <c r="U14" s="36">
        <f t="shared" si="14"/>
        <v>969.24737690000029</v>
      </c>
      <c r="V14" s="36">
        <f t="shared" si="14"/>
        <v>1066.1721145900003</v>
      </c>
    </row>
    <row r="15" spans="1:22" x14ac:dyDescent="0.2">
      <c r="B15" s="29" t="s">
        <v>105</v>
      </c>
      <c r="G15" s="29">
        <v>103</v>
      </c>
      <c r="H15" s="29">
        <f>G15*1.01</f>
        <v>104.03</v>
      </c>
      <c r="I15" s="29">
        <f>H15*1.01</f>
        <v>105.0703</v>
      </c>
      <c r="J15" s="29">
        <f>I15*1.01</f>
        <v>106.121003</v>
      </c>
      <c r="M15" s="29">
        <v>164</v>
      </c>
      <c r="N15" s="31">
        <v>388</v>
      </c>
      <c r="O15" s="29">
        <v>472</v>
      </c>
      <c r="P15" s="29">
        <v>406</v>
      </c>
      <c r="Q15" s="29">
        <f t="shared" si="2"/>
        <v>418.22130300000003</v>
      </c>
      <c r="R15" s="29">
        <f>Q15*1.03</f>
        <v>430.76794209000002</v>
      </c>
      <c r="S15" s="29">
        <f t="shared" ref="S15:V15" si="15">R15*1.03</f>
        <v>443.69098035270002</v>
      </c>
      <c r="T15" s="29">
        <f t="shared" si="15"/>
        <v>457.00170976328104</v>
      </c>
      <c r="U15" s="29">
        <f t="shared" si="15"/>
        <v>470.71176105617951</v>
      </c>
      <c r="V15" s="29">
        <f t="shared" si="15"/>
        <v>484.8331138878649</v>
      </c>
    </row>
    <row r="16" spans="1:22" s="4" customFormat="1" x14ac:dyDescent="0.2">
      <c r="A16" s="29"/>
      <c r="B16" s="36" t="s">
        <v>106</v>
      </c>
      <c r="C16" s="36"/>
      <c r="D16" s="36"/>
      <c r="E16" s="36"/>
      <c r="F16" s="36"/>
      <c r="G16" s="36">
        <v>55</v>
      </c>
      <c r="H16" s="36">
        <v>100</v>
      </c>
      <c r="I16" s="36">
        <v>100</v>
      </c>
      <c r="J16" s="36">
        <v>100</v>
      </c>
      <c r="K16" s="36"/>
      <c r="L16" s="36"/>
      <c r="M16" s="36"/>
      <c r="N16" s="37">
        <v>8</v>
      </c>
      <c r="O16" s="36">
        <v>170</v>
      </c>
      <c r="P16" s="36">
        <v>246</v>
      </c>
      <c r="Q16" s="36">
        <f t="shared" si="2"/>
        <v>355</v>
      </c>
      <c r="R16" s="36">
        <f>Q16*1.2</f>
        <v>426</v>
      </c>
      <c r="S16" s="36">
        <f t="shared" ref="S16:V16" si="16">R16*1.2</f>
        <v>511.2</v>
      </c>
      <c r="T16" s="36">
        <f t="shared" si="16"/>
        <v>613.43999999999994</v>
      </c>
      <c r="U16" s="36">
        <f t="shared" si="16"/>
        <v>736.12799999999993</v>
      </c>
      <c r="V16" s="36">
        <f t="shared" si="16"/>
        <v>883.35359999999991</v>
      </c>
    </row>
    <row r="17" spans="1:22" x14ac:dyDescent="0.2">
      <c r="B17" s="29" t="s">
        <v>107</v>
      </c>
      <c r="G17" s="29">
        <v>48</v>
      </c>
      <c r="H17" s="29">
        <v>70</v>
      </c>
      <c r="I17" s="29">
        <v>70</v>
      </c>
      <c r="J17" s="29">
        <v>70</v>
      </c>
      <c r="N17" s="31"/>
      <c r="O17" s="31">
        <v>0</v>
      </c>
      <c r="P17" s="31">
        <v>126</v>
      </c>
      <c r="Q17" s="29">
        <f t="shared" si="2"/>
        <v>258</v>
      </c>
      <c r="R17" s="29">
        <f>Q17*1.4</f>
        <v>361.2</v>
      </c>
      <c r="S17" s="29">
        <f t="shared" ref="S17:V17" si="17">R17*1.4</f>
        <v>505.67999999999995</v>
      </c>
      <c r="T17" s="29">
        <f t="shared" si="17"/>
        <v>707.95199999999988</v>
      </c>
      <c r="U17" s="29">
        <f t="shared" si="17"/>
        <v>991.13279999999975</v>
      </c>
      <c r="V17" s="29">
        <f t="shared" si="17"/>
        <v>1387.5859199999995</v>
      </c>
    </row>
    <row r="18" spans="1:22" s="4" customFormat="1" x14ac:dyDescent="0.2">
      <c r="A18" s="29"/>
      <c r="B18" s="36" t="s">
        <v>108</v>
      </c>
      <c r="C18" s="36"/>
      <c r="D18" s="36"/>
      <c r="E18" s="36"/>
      <c r="F18" s="36"/>
      <c r="G18" s="36"/>
      <c r="H18" s="36">
        <v>25</v>
      </c>
      <c r="I18" s="36">
        <v>25</v>
      </c>
      <c r="J18" s="36">
        <v>25</v>
      </c>
      <c r="K18" s="36"/>
      <c r="L18" s="36"/>
      <c r="M18" s="36"/>
      <c r="N18" s="37"/>
      <c r="O18" s="37">
        <v>1</v>
      </c>
      <c r="P18" s="37">
        <v>38</v>
      </c>
      <c r="Q18" s="36">
        <f t="shared" si="2"/>
        <v>75</v>
      </c>
      <c r="R18" s="36">
        <f>Q18*1.5</f>
        <v>112.5</v>
      </c>
      <c r="S18" s="36">
        <f t="shared" ref="S18:V18" si="18">R18*1.5</f>
        <v>168.75</v>
      </c>
      <c r="T18" s="36">
        <f t="shared" si="18"/>
        <v>253.125</v>
      </c>
      <c r="U18" s="36">
        <f t="shared" si="18"/>
        <v>379.6875</v>
      </c>
      <c r="V18" s="36">
        <f t="shared" si="18"/>
        <v>569.53125</v>
      </c>
    </row>
    <row r="19" spans="1:22" s="4" customFormat="1" x14ac:dyDescent="0.2">
      <c r="A19" s="29"/>
      <c r="B19" s="36" t="s">
        <v>109</v>
      </c>
      <c r="C19" s="36"/>
      <c r="D19" s="36"/>
      <c r="E19" s="36"/>
      <c r="F19" s="36"/>
      <c r="G19" s="36">
        <v>27</v>
      </c>
      <c r="H19" s="36">
        <f>G19*1.03</f>
        <v>27.810000000000002</v>
      </c>
      <c r="I19" s="36">
        <f>H19*1.03</f>
        <v>28.644300000000005</v>
      </c>
      <c r="J19" s="36">
        <f>I19*1.03</f>
        <v>29.503629000000007</v>
      </c>
      <c r="K19" s="36"/>
      <c r="L19" s="36"/>
      <c r="M19" s="36"/>
      <c r="N19" s="37"/>
      <c r="O19" s="37">
        <v>0</v>
      </c>
      <c r="P19" s="37">
        <v>10</v>
      </c>
      <c r="Q19" s="36">
        <f t="shared" si="2"/>
        <v>112.95792900000001</v>
      </c>
      <c r="R19" s="36">
        <f>Q19*1.5</f>
        <v>169.4368935</v>
      </c>
      <c r="S19" s="36">
        <f t="shared" ref="S19:V19" si="19">R19*1.5</f>
        <v>254.15534024999999</v>
      </c>
      <c r="T19" s="36">
        <f t="shared" si="19"/>
        <v>381.23301037499999</v>
      </c>
      <c r="U19" s="36">
        <f t="shared" si="19"/>
        <v>571.84951556249996</v>
      </c>
      <c r="V19" s="36">
        <f t="shared" si="19"/>
        <v>857.77427334374988</v>
      </c>
    </row>
    <row r="20" spans="1:22" x14ac:dyDescent="0.2">
      <c r="B20" s="29" t="s">
        <v>110</v>
      </c>
      <c r="G20" s="29">
        <v>403</v>
      </c>
      <c r="H20" s="29">
        <f t="shared" ref="H20:H24" si="20">G20*1.01</f>
        <v>407.03000000000003</v>
      </c>
      <c r="I20" s="29">
        <f t="shared" ref="I20:J20" si="21">H20*1.01</f>
        <v>411.10030000000006</v>
      </c>
      <c r="J20" s="29">
        <f t="shared" si="21"/>
        <v>415.21130300000004</v>
      </c>
      <c r="N20" s="31"/>
      <c r="O20" s="29">
        <v>1211</v>
      </c>
      <c r="P20" s="29">
        <v>1605</v>
      </c>
      <c r="Q20" s="29">
        <f t="shared" ref="Q20:Q26" si="22">SUM(G20:J20)</f>
        <v>1636.3416030000001</v>
      </c>
      <c r="R20" s="29">
        <f>Q20*1.03</f>
        <v>1685.4318510900002</v>
      </c>
      <c r="S20" s="29">
        <f t="shared" ref="S20:V20" si="23">R20*1.03</f>
        <v>1735.9948066227003</v>
      </c>
      <c r="T20" s="29">
        <f t="shared" si="23"/>
        <v>1788.0746508213813</v>
      </c>
      <c r="U20" s="29">
        <f t="shared" si="23"/>
        <v>1841.7168903460229</v>
      </c>
      <c r="V20" s="29">
        <f t="shared" si="23"/>
        <v>1896.9683970564035</v>
      </c>
    </row>
    <row r="21" spans="1:22" x14ac:dyDescent="0.2">
      <c r="B21" s="29" t="s">
        <v>111</v>
      </c>
      <c r="G21" s="29">
        <v>3565</v>
      </c>
      <c r="H21" s="29">
        <f t="shared" si="20"/>
        <v>3600.65</v>
      </c>
      <c r="I21" s="29">
        <f t="shared" ref="I21:J21" si="24">H21*1.01</f>
        <v>3636.6565000000001</v>
      </c>
      <c r="J21" s="29">
        <f t="shared" si="24"/>
        <v>3673.0230649999999</v>
      </c>
      <c r="L21" s="29">
        <v>9168</v>
      </c>
      <c r="M21" s="29">
        <v>10762</v>
      </c>
      <c r="N21" s="29">
        <v>11789</v>
      </c>
      <c r="O21" s="29">
        <v>12206</v>
      </c>
      <c r="P21" s="29">
        <v>13333</v>
      </c>
      <c r="Q21" s="29">
        <f t="shared" si="22"/>
        <v>14475.329564999998</v>
      </c>
      <c r="R21" s="29">
        <f>Q21*1.03</f>
        <v>14909.589451949998</v>
      </c>
      <c r="S21" s="29">
        <f>R21*1.03</f>
        <v>15356.877135508499</v>
      </c>
      <c r="T21" s="29">
        <v>0</v>
      </c>
      <c r="U21" s="29">
        <v>0</v>
      </c>
      <c r="V21" s="29">
        <v>0</v>
      </c>
    </row>
    <row r="22" spans="1:22" x14ac:dyDescent="0.2">
      <c r="B22" s="29" t="s">
        <v>112</v>
      </c>
      <c r="G22" s="29">
        <v>936</v>
      </c>
      <c r="H22" s="29">
        <f>G22*1.05</f>
        <v>982.80000000000007</v>
      </c>
      <c r="I22" s="29">
        <f t="shared" ref="I22:J22" si="25">H22*1.05</f>
        <v>1031.94</v>
      </c>
      <c r="J22" s="29">
        <f t="shared" si="25"/>
        <v>1083.537</v>
      </c>
      <c r="L22" s="29">
        <v>12106</v>
      </c>
      <c r="M22" s="29">
        <v>12821</v>
      </c>
      <c r="N22" s="29">
        <v>9978</v>
      </c>
      <c r="O22" s="29">
        <v>6097</v>
      </c>
      <c r="P22" s="29">
        <v>5773</v>
      </c>
      <c r="Q22" s="29">
        <f t="shared" si="22"/>
        <v>4034.277</v>
      </c>
      <c r="R22" s="29">
        <f>Q22*0.95</f>
        <v>3832.56315</v>
      </c>
      <c r="S22" s="29">
        <f t="shared" ref="S22:V22" si="26">R22*0.95</f>
        <v>3640.9349924999997</v>
      </c>
      <c r="T22" s="29">
        <f t="shared" si="26"/>
        <v>3458.8882428749994</v>
      </c>
      <c r="U22" s="29">
        <f t="shared" si="26"/>
        <v>3285.9438307312494</v>
      </c>
      <c r="V22" s="29">
        <f t="shared" si="26"/>
        <v>3121.6466391946869</v>
      </c>
    </row>
    <row r="23" spans="1:22" x14ac:dyDescent="0.2">
      <c r="B23" s="29" t="s">
        <v>113</v>
      </c>
      <c r="G23" s="29">
        <v>658</v>
      </c>
      <c r="H23" s="29">
        <f>G23*1.2</f>
        <v>789.6</v>
      </c>
      <c r="I23" s="29">
        <f t="shared" ref="I23:J23" si="27">H23*1.2</f>
        <v>947.52</v>
      </c>
      <c r="J23" s="29">
        <f t="shared" si="27"/>
        <v>1137.0239999999999</v>
      </c>
      <c r="L23" s="29">
        <v>3070</v>
      </c>
      <c r="M23" s="29">
        <v>3332</v>
      </c>
      <c r="N23" s="29">
        <v>3497</v>
      </c>
      <c r="O23" s="29">
        <v>3441</v>
      </c>
      <c r="P23" s="29">
        <v>3545</v>
      </c>
      <c r="Q23" s="29">
        <f t="shared" si="22"/>
        <v>3532.1439999999998</v>
      </c>
      <c r="R23" s="29">
        <f>Q23*1.03</f>
        <v>3638.1083199999998</v>
      </c>
      <c r="S23" s="29">
        <f t="shared" ref="S23:V23" si="28">R23*1.03</f>
        <v>3747.2515696</v>
      </c>
      <c r="T23" s="29">
        <f t="shared" si="28"/>
        <v>3859.669116688</v>
      </c>
      <c r="U23" s="29">
        <f t="shared" si="28"/>
        <v>3975.4591901886402</v>
      </c>
      <c r="V23" s="29">
        <f t="shared" si="28"/>
        <v>4094.7229658942993</v>
      </c>
    </row>
    <row r="24" spans="1:22" x14ac:dyDescent="0.2">
      <c r="B24" s="29" t="s">
        <v>114</v>
      </c>
      <c r="G24" s="29">
        <v>175</v>
      </c>
      <c r="H24" s="29">
        <f t="shared" si="20"/>
        <v>176.75</v>
      </c>
      <c r="I24" s="29">
        <f t="shared" ref="I24:J24" si="29">H24*1.01</f>
        <v>178.51750000000001</v>
      </c>
      <c r="J24" s="29">
        <f t="shared" si="29"/>
        <v>180.30267500000002</v>
      </c>
      <c r="L24" s="29">
        <v>2140</v>
      </c>
      <c r="M24" s="29">
        <v>2117</v>
      </c>
      <c r="N24" s="29">
        <v>2165</v>
      </c>
      <c r="O24" s="29">
        <v>1930</v>
      </c>
      <c r="P24" s="29">
        <v>1286</v>
      </c>
      <c r="Q24" s="29">
        <f t="shared" si="22"/>
        <v>710.57017500000006</v>
      </c>
      <c r="R24" s="29">
        <f>Q24*0.8</f>
        <v>568.45614000000012</v>
      </c>
      <c r="S24" s="29">
        <f t="shared" ref="S24:V24" si="30">R24*0.8</f>
        <v>454.76491200000009</v>
      </c>
      <c r="T24" s="29">
        <f t="shared" si="30"/>
        <v>363.8119296000001</v>
      </c>
      <c r="U24" s="29">
        <f t="shared" si="30"/>
        <v>291.04954368000011</v>
      </c>
      <c r="V24" s="29">
        <f t="shared" si="30"/>
        <v>232.8396349440001</v>
      </c>
    </row>
    <row r="25" spans="1:22" x14ac:dyDescent="0.2">
      <c r="B25" s="29" t="s">
        <v>115</v>
      </c>
      <c r="G25" s="29">
        <v>105</v>
      </c>
      <c r="H25" s="29">
        <f>G25*1.4</f>
        <v>147</v>
      </c>
      <c r="I25" s="29">
        <f t="shared" ref="I25:J25" si="31">H25*1.4</f>
        <v>205.79999999999998</v>
      </c>
      <c r="J25" s="29">
        <f t="shared" si="31"/>
        <v>288.11999999999995</v>
      </c>
      <c r="L25" s="29">
        <v>1247</v>
      </c>
      <c r="M25" s="29">
        <v>1181</v>
      </c>
      <c r="N25" s="31">
        <v>811</v>
      </c>
      <c r="O25" s="29">
        <v>1004</v>
      </c>
      <c r="P25" s="29">
        <v>875</v>
      </c>
      <c r="Q25" s="29">
        <f t="shared" si="22"/>
        <v>745.91999999999985</v>
      </c>
      <c r="R25" s="29">
        <f>Q25*0.9</f>
        <v>671.32799999999986</v>
      </c>
      <c r="S25" s="29">
        <f t="shared" ref="S25:V25" si="32">R25*0.9</f>
        <v>604.19519999999989</v>
      </c>
      <c r="T25" s="29">
        <f t="shared" si="32"/>
        <v>543.77567999999997</v>
      </c>
      <c r="U25" s="29">
        <f t="shared" si="32"/>
        <v>489.39811199999997</v>
      </c>
      <c r="V25" s="29">
        <f t="shared" si="32"/>
        <v>440.45830079999996</v>
      </c>
    </row>
    <row r="26" spans="1:22" x14ac:dyDescent="0.2">
      <c r="B26" s="29" t="s">
        <v>116</v>
      </c>
      <c r="G26" s="29">
        <v>199</v>
      </c>
      <c r="H26" s="29">
        <f>G26*1.1</f>
        <v>218.9</v>
      </c>
      <c r="I26" s="29">
        <f t="shared" ref="I26:J26" si="33">H26*1.1</f>
        <v>240.79000000000002</v>
      </c>
      <c r="J26" s="29">
        <f t="shared" si="33"/>
        <v>264.86900000000003</v>
      </c>
      <c r="N26" s="31"/>
      <c r="O26" s="29">
        <v>962</v>
      </c>
      <c r="P26" s="29">
        <v>925</v>
      </c>
      <c r="Q26" s="29">
        <f t="shared" si="22"/>
        <v>923.55900000000008</v>
      </c>
      <c r="R26" s="29">
        <f>Q26*0.9</f>
        <v>831.20310000000006</v>
      </c>
      <c r="S26" s="29">
        <f t="shared" ref="S26:V26" si="34">R26*0.9</f>
        <v>748.08279000000005</v>
      </c>
      <c r="T26" s="29">
        <f t="shared" si="34"/>
        <v>673.27451100000008</v>
      </c>
      <c r="U26" s="29">
        <f t="shared" si="34"/>
        <v>605.94705990000011</v>
      </c>
      <c r="V26" s="29">
        <f t="shared" si="34"/>
        <v>545.35235391000015</v>
      </c>
    </row>
    <row r="27" spans="1:22" x14ac:dyDescent="0.2">
      <c r="B27" s="29" t="s">
        <v>18</v>
      </c>
      <c r="C27" s="29">
        <f>11559</f>
        <v>11559</v>
      </c>
      <c r="G27" s="29">
        <v>10886</v>
      </c>
      <c r="N27" s="29">
        <f>44671</f>
        <v>44671</v>
      </c>
      <c r="O27" s="29">
        <f>43778</f>
        <v>43778</v>
      </c>
      <c r="P27" s="29">
        <v>46778</v>
      </c>
      <c r="Q27" s="29">
        <f t="shared" ref="Q27:Q42" si="35">SUM(G27:J27)</f>
        <v>10886</v>
      </c>
    </row>
    <row r="28" spans="1:22" x14ac:dyDescent="0.2">
      <c r="B28" s="29" t="s">
        <v>19</v>
      </c>
      <c r="C28" s="29">
        <f>306</f>
        <v>306</v>
      </c>
      <c r="G28" s="29">
        <v>315</v>
      </c>
      <c r="N28" s="29">
        <f>1488</f>
        <v>1488</v>
      </c>
      <c r="O28" s="29">
        <f>1228</f>
        <v>1228</v>
      </c>
      <c r="P28" s="29">
        <v>1522</v>
      </c>
      <c r="Q28" s="29">
        <f t="shared" si="35"/>
        <v>315</v>
      </c>
    </row>
    <row r="29" spans="1:22" s="4" customFormat="1" x14ac:dyDescent="0.2">
      <c r="A29" s="29"/>
      <c r="B29" s="4" t="s">
        <v>17</v>
      </c>
      <c r="C29" s="4">
        <f>SUM(C27:C28)</f>
        <v>11865</v>
      </c>
      <c r="D29" s="4">
        <f t="shared" ref="D29:N29" si="36">SUM(D27:D28)</f>
        <v>0</v>
      </c>
      <c r="E29" s="4">
        <f t="shared" si="36"/>
        <v>0</v>
      </c>
      <c r="F29" s="4">
        <f t="shared" si="36"/>
        <v>0</v>
      </c>
      <c r="G29" s="4">
        <f t="shared" si="36"/>
        <v>11201</v>
      </c>
      <c r="H29" s="4">
        <f>SUM(H7:H26)</f>
        <v>11823.17</v>
      </c>
      <c r="I29" s="4">
        <f t="shared" ref="I29:J29" si="37">SUM(I7:I26)</f>
        <v>12445.638900000002</v>
      </c>
      <c r="J29" s="4">
        <f t="shared" si="37"/>
        <v>13170.542045000002</v>
      </c>
      <c r="K29" s="6"/>
      <c r="L29" s="6"/>
      <c r="M29" s="6"/>
      <c r="N29" s="4">
        <f t="shared" si="36"/>
        <v>46159</v>
      </c>
      <c r="O29" s="4">
        <f t="shared" ref="O29" si="38">SUM(O27:O28)</f>
        <v>45006</v>
      </c>
      <c r="P29" s="4">
        <f t="shared" ref="P29" si="39">SUM(P27:P28)</f>
        <v>48300</v>
      </c>
      <c r="Q29" s="4">
        <f>SUM(G29:J29)</f>
        <v>48640.350945000006</v>
      </c>
      <c r="R29" s="4">
        <f>SUM(R7:R26)</f>
        <v>49351.415931310003</v>
      </c>
      <c r="S29" s="4">
        <f t="shared" ref="S29:V29" si="40">SUM(S7:S26)</f>
        <v>50324.322382778308</v>
      </c>
      <c r="T29" s="4">
        <f t="shared" si="40"/>
        <v>25717.07694349244</v>
      </c>
      <c r="U29" s="4">
        <f t="shared" si="40"/>
        <v>26543.068677619201</v>
      </c>
      <c r="V29" s="4">
        <f t="shared" si="40"/>
        <v>27772.093341633801</v>
      </c>
    </row>
    <row r="30" spans="1:22" x14ac:dyDescent="0.2">
      <c r="B30" s="29" t="s">
        <v>20</v>
      </c>
      <c r="C30" s="29">
        <f>2932</f>
        <v>2932</v>
      </c>
      <c r="G30" s="29">
        <v>3033</v>
      </c>
      <c r="H30" s="29">
        <f>H29*0.25</f>
        <v>2955.7925</v>
      </c>
      <c r="I30" s="29">
        <f t="shared" ref="I30:J30" si="41">I29*0.25</f>
        <v>3111.4097250000004</v>
      </c>
      <c r="J30" s="29">
        <f t="shared" si="41"/>
        <v>3292.6355112500005</v>
      </c>
      <c r="N30" s="29">
        <f>10137</f>
        <v>10137</v>
      </c>
      <c r="O30" s="29">
        <f>10693</f>
        <v>10693</v>
      </c>
      <c r="P30" s="29">
        <f>13968</f>
        <v>13968</v>
      </c>
      <c r="Q30" s="29">
        <f t="shared" si="35"/>
        <v>12392.837736250001</v>
      </c>
      <c r="R30" s="29">
        <f>R29*0.25</f>
        <v>12337.853982827501</v>
      </c>
      <c r="S30" s="29">
        <f t="shared" ref="S30:V30" si="42">S29*0.25</f>
        <v>12581.080595694577</v>
      </c>
      <c r="T30" s="29">
        <f t="shared" si="42"/>
        <v>6429.2692358731101</v>
      </c>
      <c r="U30" s="29">
        <f t="shared" si="42"/>
        <v>6635.7671694048004</v>
      </c>
      <c r="V30" s="29">
        <f t="shared" si="42"/>
        <v>6943.0233354084503</v>
      </c>
    </row>
    <row r="31" spans="1:22" x14ac:dyDescent="0.2">
      <c r="B31" s="29" t="s">
        <v>21</v>
      </c>
      <c r="C31" s="29">
        <f>C29-C30</f>
        <v>8933</v>
      </c>
      <c r="D31" s="29">
        <f t="shared" ref="D31:N31" si="43">D29-D30</f>
        <v>0</v>
      </c>
      <c r="E31" s="29">
        <f t="shared" si="43"/>
        <v>0</v>
      </c>
      <c r="F31" s="29">
        <f t="shared" si="43"/>
        <v>0</v>
      </c>
      <c r="G31" s="29">
        <f t="shared" si="43"/>
        <v>8168</v>
      </c>
      <c r="H31" s="29">
        <f t="shared" si="43"/>
        <v>8867.3775000000005</v>
      </c>
      <c r="I31" s="29">
        <f t="shared" ref="I31" si="44">I29-I30</f>
        <v>9334.2291750000004</v>
      </c>
      <c r="J31" s="29">
        <f t="shared" ref="J31" si="45">J29-J30</f>
        <v>9877.9065337500015</v>
      </c>
      <c r="N31" s="29">
        <f t="shared" si="43"/>
        <v>36022</v>
      </c>
      <c r="O31" s="29">
        <f t="shared" ref="O31" si="46">O29-O30</f>
        <v>34313</v>
      </c>
      <c r="P31" s="29">
        <f t="shared" ref="P31" si="47">P29-P30</f>
        <v>34332</v>
      </c>
      <c r="Q31" s="29">
        <f t="shared" si="35"/>
        <v>36247.513208750002</v>
      </c>
      <c r="R31" s="29">
        <f t="shared" ref="R31" si="48">R29-R30</f>
        <v>37013.5619484825</v>
      </c>
      <c r="S31" s="29">
        <f t="shared" ref="S31" si="49">S29-S30</f>
        <v>37743.241787083731</v>
      </c>
      <c r="T31" s="29">
        <f t="shared" ref="T31" si="50">T29-T30</f>
        <v>19287.807707619329</v>
      </c>
      <c r="U31" s="29">
        <f t="shared" ref="U31:V31" si="51">U29-U30</f>
        <v>19907.301508214401</v>
      </c>
      <c r="V31" s="29">
        <f t="shared" si="51"/>
        <v>20829.070006225353</v>
      </c>
    </row>
    <row r="32" spans="1:22" x14ac:dyDescent="0.2">
      <c r="B32" s="29" t="s">
        <v>22</v>
      </c>
      <c r="C32" s="29">
        <f>2367</f>
        <v>2367</v>
      </c>
      <c r="G32" s="29">
        <v>1584</v>
      </c>
      <c r="H32" s="29">
        <f>G32*1.25</f>
        <v>1980</v>
      </c>
      <c r="I32" s="29">
        <f t="shared" ref="I32:J32" si="52">H32*1.2</f>
        <v>2376</v>
      </c>
      <c r="J32" s="29">
        <f t="shared" si="52"/>
        <v>2851.2</v>
      </c>
      <c r="N32" s="29">
        <f>7814</f>
        <v>7814</v>
      </c>
      <c r="O32" s="29">
        <f>7772</f>
        <v>7772</v>
      </c>
      <c r="P32" s="29">
        <f>8414</f>
        <v>8414</v>
      </c>
      <c r="Q32" s="29">
        <f t="shared" si="35"/>
        <v>8791.2000000000007</v>
      </c>
      <c r="R32" s="29">
        <f>Q32*1.04</f>
        <v>9142.8480000000018</v>
      </c>
      <c r="S32" s="29">
        <f t="shared" ref="S32:V32" si="53">R32*1.04</f>
        <v>9508.5619200000019</v>
      </c>
      <c r="T32" s="29">
        <f t="shared" si="53"/>
        <v>9888.9043968000024</v>
      </c>
      <c r="U32" s="29">
        <f t="shared" si="53"/>
        <v>10284.460572672002</v>
      </c>
      <c r="V32" s="29">
        <f t="shared" si="53"/>
        <v>10695.838995578883</v>
      </c>
    </row>
    <row r="33" spans="1:130" x14ac:dyDescent="0.2">
      <c r="B33" s="29" t="s">
        <v>23</v>
      </c>
      <c r="C33" s="29">
        <f>2695</f>
        <v>2695</v>
      </c>
      <c r="G33" s="29">
        <v>2257</v>
      </c>
      <c r="N33" s="29">
        <f>9509</f>
        <v>9509</v>
      </c>
      <c r="O33" s="29">
        <f>9299</f>
        <v>9299</v>
      </c>
      <c r="P33" s="29">
        <f>11159</f>
        <v>11159</v>
      </c>
      <c r="Q33" s="29">
        <f t="shared" si="35"/>
        <v>2257</v>
      </c>
    </row>
    <row r="34" spans="1:130" x14ac:dyDescent="0.2">
      <c r="B34" s="29" t="s">
        <v>24</v>
      </c>
      <c r="C34" s="29">
        <f>12949</f>
        <v>12949</v>
      </c>
      <c r="G34" s="29">
        <v>188</v>
      </c>
      <c r="N34" s="29">
        <f>815</f>
        <v>815</v>
      </c>
      <c r="O34" s="29">
        <f>913</f>
        <v>913</v>
      </c>
      <c r="P34" s="29">
        <f>13363</f>
        <v>13363</v>
      </c>
      <c r="Q34" s="29">
        <f t="shared" si="35"/>
        <v>188</v>
      </c>
    </row>
    <row r="35" spans="1:130" x14ac:dyDescent="0.2">
      <c r="B35" s="29" t="s">
        <v>25</v>
      </c>
      <c r="C35" s="29">
        <f>2357</f>
        <v>2357</v>
      </c>
      <c r="G35" s="29">
        <v>830</v>
      </c>
      <c r="N35" s="29">
        <f>9595</f>
        <v>9595</v>
      </c>
      <c r="O35" s="29">
        <f>9047</f>
        <v>9047</v>
      </c>
      <c r="P35" s="29">
        <f>8872</f>
        <v>8872</v>
      </c>
      <c r="Q35" s="29">
        <f t="shared" si="35"/>
        <v>830</v>
      </c>
    </row>
    <row r="36" spans="1:130" x14ac:dyDescent="0.2">
      <c r="B36" s="29" t="s">
        <v>26</v>
      </c>
      <c r="C36" s="29">
        <f>81</f>
        <v>81</v>
      </c>
      <c r="G36" s="29">
        <v>339</v>
      </c>
      <c r="N36" s="29">
        <f>576</f>
        <v>576</v>
      </c>
      <c r="O36" s="29">
        <f>-1158</f>
        <v>-1158</v>
      </c>
      <c r="P36" s="29">
        <f>893</f>
        <v>893</v>
      </c>
      <c r="Q36" s="29">
        <f t="shared" si="35"/>
        <v>339</v>
      </c>
    </row>
    <row r="37" spans="1:130" x14ac:dyDescent="0.2">
      <c r="B37" s="29" t="s">
        <v>27</v>
      </c>
      <c r="C37" s="29">
        <f>SUM(C32:C36)</f>
        <v>20449</v>
      </c>
      <c r="D37" s="29">
        <f t="shared" ref="D37:N37" si="54">SUM(D32:D36)</f>
        <v>0</v>
      </c>
      <c r="E37" s="29">
        <f t="shared" si="54"/>
        <v>0</v>
      </c>
      <c r="F37" s="29">
        <f t="shared" si="54"/>
        <v>0</v>
      </c>
      <c r="G37" s="29">
        <f t="shared" si="54"/>
        <v>5198</v>
      </c>
      <c r="H37" s="29">
        <f t="shared" si="54"/>
        <v>1980</v>
      </c>
      <c r="I37" s="29">
        <f t="shared" ref="I37" si="55">SUM(I32:I36)</f>
        <v>2376</v>
      </c>
      <c r="J37" s="29">
        <f t="shared" ref="J37" si="56">SUM(J32:J36)</f>
        <v>2851.2</v>
      </c>
      <c r="N37" s="29">
        <f t="shared" si="54"/>
        <v>28309</v>
      </c>
      <c r="O37" s="29">
        <f t="shared" ref="O37" si="57">SUM(O32:O36)</f>
        <v>25873</v>
      </c>
      <c r="P37" s="29">
        <f t="shared" ref="P37" si="58">SUM(P32:P36)</f>
        <v>42701</v>
      </c>
      <c r="Q37" s="29">
        <f t="shared" si="35"/>
        <v>12405.2</v>
      </c>
      <c r="R37" s="29">
        <f t="shared" ref="R37" si="59">SUM(R32:R36)</f>
        <v>9142.8480000000018</v>
      </c>
      <c r="S37" s="29">
        <f t="shared" ref="S37" si="60">SUM(S32:S36)</f>
        <v>9508.5619200000019</v>
      </c>
      <c r="T37" s="29">
        <f t="shared" ref="T37" si="61">SUM(T32:T36)</f>
        <v>9888.9043968000024</v>
      </c>
      <c r="U37" s="29">
        <f t="shared" ref="U37" si="62">SUM(U32:U36)</f>
        <v>10284.460572672002</v>
      </c>
      <c r="V37" s="29">
        <f t="shared" ref="V37" si="63">SUM(V32:V36)</f>
        <v>10695.838995578883</v>
      </c>
    </row>
    <row r="38" spans="1:130" x14ac:dyDescent="0.2">
      <c r="B38" s="29" t="s">
        <v>28</v>
      </c>
      <c r="C38" s="29">
        <f>C31-C37</f>
        <v>-11516</v>
      </c>
      <c r="D38" s="29">
        <f t="shared" ref="D38:N38" si="64">D31-D37</f>
        <v>0</v>
      </c>
      <c r="E38" s="29">
        <f t="shared" si="64"/>
        <v>0</v>
      </c>
      <c r="F38" s="29">
        <f t="shared" si="64"/>
        <v>0</v>
      </c>
      <c r="G38" s="29">
        <f t="shared" si="64"/>
        <v>2970</v>
      </c>
      <c r="H38" s="29">
        <f t="shared" si="64"/>
        <v>6887.3775000000005</v>
      </c>
      <c r="I38" s="29">
        <f t="shared" ref="I38" si="65">I31-I37</f>
        <v>6958.2291750000004</v>
      </c>
      <c r="J38" s="29">
        <f t="shared" ref="J38" si="66">J31-J37</f>
        <v>7026.7065337500017</v>
      </c>
      <c r="N38" s="29">
        <f t="shared" si="64"/>
        <v>7713</v>
      </c>
      <c r="O38" s="29">
        <f t="shared" ref="O38" si="67">O31-O37</f>
        <v>8440</v>
      </c>
      <c r="P38" s="29">
        <f t="shared" ref="P38" si="68">P31-P37</f>
        <v>-8369</v>
      </c>
      <c r="Q38" s="29">
        <f t="shared" si="35"/>
        <v>23842.313208750005</v>
      </c>
      <c r="R38" s="29">
        <f t="shared" ref="R38" si="69">R31-R37</f>
        <v>27870.713948482498</v>
      </c>
      <c r="S38" s="29">
        <f t="shared" ref="S38" si="70">S31-S37</f>
        <v>28234.679867083731</v>
      </c>
      <c r="T38" s="29">
        <f t="shared" ref="T38" si="71">T31-T37</f>
        <v>9398.9033108193271</v>
      </c>
      <c r="U38" s="29">
        <f t="shared" ref="U38" si="72">U31-U37</f>
        <v>9622.8409355423992</v>
      </c>
      <c r="V38" s="29">
        <f t="shared" ref="V38" si="73">V31-V37</f>
        <v>10133.23101064647</v>
      </c>
    </row>
    <row r="39" spans="1:130" x14ac:dyDescent="0.2">
      <c r="B39" s="29" t="s">
        <v>31</v>
      </c>
      <c r="C39" s="29">
        <v>0</v>
      </c>
      <c r="G39" s="29">
        <v>0</v>
      </c>
      <c r="H39" s="29">
        <f>G50*$Y$45/4</f>
        <v>-195.63499999999999</v>
      </c>
      <c r="I39" s="29">
        <f>H50*$Y$45/4</f>
        <v>-165.52215875000002</v>
      </c>
      <c r="J39" s="29">
        <f>I50*$Y$45/4</f>
        <v>-134.95497717687502</v>
      </c>
      <c r="Q39" s="29">
        <f t="shared" si="35"/>
        <v>-496.112135926875</v>
      </c>
      <c r="R39" s="29">
        <f>Q50*$Y$45</f>
        <v>-415.76838068918386</v>
      </c>
      <c r="S39" s="29">
        <f>R50*$Y$45</f>
        <v>23.510748395509218</v>
      </c>
      <c r="T39" s="29">
        <f>S50*$Y$45</f>
        <v>475.64179824317711</v>
      </c>
      <c r="U39" s="29">
        <f>T50*$Y$45</f>
        <v>633.6345199881772</v>
      </c>
      <c r="V39" s="29">
        <f>U50*$Y$45</f>
        <v>797.73812727666632</v>
      </c>
    </row>
    <row r="40" spans="1:130" x14ac:dyDescent="0.2">
      <c r="B40" s="29" t="s">
        <v>30</v>
      </c>
      <c r="C40" s="29">
        <f>C38+C39</f>
        <v>-11516</v>
      </c>
      <c r="D40" s="29">
        <f t="shared" ref="D40:N40" si="74">D38+D39</f>
        <v>0</v>
      </c>
      <c r="E40" s="29">
        <f t="shared" si="74"/>
        <v>0</v>
      </c>
      <c r="F40" s="29">
        <f t="shared" si="74"/>
        <v>0</v>
      </c>
      <c r="G40" s="29">
        <f t="shared" si="74"/>
        <v>2970</v>
      </c>
      <c r="H40" s="29">
        <f t="shared" si="74"/>
        <v>6691.7425000000003</v>
      </c>
      <c r="I40" s="29">
        <f t="shared" ref="I40" si="75">I38+I39</f>
        <v>6792.7070162500004</v>
      </c>
      <c r="J40" s="29">
        <f t="shared" ref="J40" si="76">J38+J39</f>
        <v>6891.7515565731264</v>
      </c>
      <c r="N40" s="29">
        <f t="shared" si="74"/>
        <v>7713</v>
      </c>
      <c r="O40" s="29">
        <f t="shared" ref="O40" si="77">O38+O39</f>
        <v>8440</v>
      </c>
      <c r="P40" s="29">
        <f t="shared" ref="P40" si="78">P38+P39</f>
        <v>-8369</v>
      </c>
      <c r="Q40" s="29">
        <f t="shared" si="35"/>
        <v>23346.201072823129</v>
      </c>
      <c r="R40" s="29">
        <f t="shared" ref="R40" si="79">R38+R39</f>
        <v>27454.945567793315</v>
      </c>
      <c r="S40" s="29">
        <f t="shared" ref="S40" si="80">S38+S39</f>
        <v>28258.190615479241</v>
      </c>
      <c r="T40" s="29">
        <f t="shared" ref="T40" si="81">T38+T39</f>
        <v>9874.5451090625047</v>
      </c>
      <c r="U40" s="29">
        <f t="shared" ref="U40" si="82">U38+U39</f>
        <v>10256.475455530577</v>
      </c>
      <c r="V40" s="29">
        <f t="shared" ref="V40" si="83">V38+V39</f>
        <v>10930.969137923137</v>
      </c>
    </row>
    <row r="41" spans="1:130" x14ac:dyDescent="0.2">
      <c r="B41" s="29" t="s">
        <v>29</v>
      </c>
      <c r="G41" s="29">
        <v>509</v>
      </c>
      <c r="H41" s="29">
        <f>H40*0.1</f>
        <v>669.17425000000003</v>
      </c>
      <c r="I41" s="29">
        <f t="shared" ref="I41:J41" si="84">I40*0.1</f>
        <v>679.27070162500013</v>
      </c>
      <c r="J41" s="29">
        <f t="shared" si="84"/>
        <v>689.17515565731264</v>
      </c>
      <c r="N41" s="29">
        <f>1368</f>
        <v>1368</v>
      </c>
      <c r="O41" s="29">
        <f>400</f>
        <v>400</v>
      </c>
      <c r="P41" s="29">
        <v>554</v>
      </c>
      <c r="Q41" s="29">
        <f t="shared" si="35"/>
        <v>2546.6201072823128</v>
      </c>
      <c r="R41" s="29">
        <f>R40*0.2</f>
        <v>5490.9891135586631</v>
      </c>
      <c r="S41" s="29">
        <f t="shared" ref="S41:V41" si="85">S40*0.2</f>
        <v>5651.6381230958486</v>
      </c>
      <c r="T41" s="29">
        <f t="shared" si="85"/>
        <v>1974.9090218125011</v>
      </c>
      <c r="U41" s="29">
        <f t="shared" si="85"/>
        <v>2051.2950911061157</v>
      </c>
      <c r="V41" s="29">
        <f t="shared" si="85"/>
        <v>2186.1938275846273</v>
      </c>
    </row>
    <row r="42" spans="1:130" x14ac:dyDescent="0.2">
      <c r="B42" s="29" t="s">
        <v>32</v>
      </c>
      <c r="C42" s="29">
        <f>C40-C41</f>
        <v>-11516</v>
      </c>
      <c r="D42" s="29">
        <f t="shared" ref="D42:N42" si="86">D40-D41</f>
        <v>0</v>
      </c>
      <c r="E42" s="29">
        <f t="shared" si="86"/>
        <v>0</v>
      </c>
      <c r="F42" s="29">
        <f t="shared" si="86"/>
        <v>0</v>
      </c>
      <c r="G42" s="29">
        <f t="shared" si="86"/>
        <v>2461</v>
      </c>
      <c r="H42" s="29">
        <f t="shared" si="86"/>
        <v>6022.5682500000003</v>
      </c>
      <c r="I42" s="29">
        <f t="shared" ref="I42" si="87">I40-I41</f>
        <v>6113.4363146249998</v>
      </c>
      <c r="J42" s="29">
        <f t="shared" ref="J42" si="88">J40-J41</f>
        <v>6202.5764009158138</v>
      </c>
      <c r="N42" s="29">
        <f t="shared" si="86"/>
        <v>6345</v>
      </c>
      <c r="O42" s="29">
        <f t="shared" ref="O42" si="89">O40-O41</f>
        <v>8040</v>
      </c>
      <c r="P42" s="29">
        <f t="shared" ref="P42" si="90">P40-P41</f>
        <v>-8923</v>
      </c>
      <c r="Q42" s="29">
        <f t="shared" si="35"/>
        <v>20799.580965540816</v>
      </c>
      <c r="R42" s="29">
        <f t="shared" ref="R42" si="91">R40-R41</f>
        <v>21963.956454234652</v>
      </c>
      <c r="S42" s="29">
        <f t="shared" ref="S42" si="92">S40-S41</f>
        <v>22606.552492383395</v>
      </c>
      <c r="T42" s="29">
        <f t="shared" ref="T42" si="93">T40-T41</f>
        <v>7899.6360872500036</v>
      </c>
      <c r="U42" s="29">
        <f t="shared" ref="U42" si="94">U40-U41</f>
        <v>8205.180364424461</v>
      </c>
      <c r="V42" s="29">
        <f t="shared" ref="V42" si="95">V40-V41</f>
        <v>8744.7753103385094</v>
      </c>
      <c r="W42" s="29">
        <f t="shared" ref="W42:BB42" si="96">V42*(1+$Y$46)</f>
        <v>8657.3275572351249</v>
      </c>
      <c r="X42" s="29">
        <f t="shared" si="96"/>
        <v>8570.7542816627738</v>
      </c>
      <c r="Y42" s="29">
        <f t="shared" si="96"/>
        <v>8485.0467388461457</v>
      </c>
      <c r="Z42" s="29">
        <f t="shared" si="96"/>
        <v>8400.1962714576839</v>
      </c>
      <c r="AA42" s="29">
        <f t="shared" si="96"/>
        <v>8316.1943087431064</v>
      </c>
      <c r="AB42" s="29">
        <f t="shared" si="96"/>
        <v>8233.0323656556757</v>
      </c>
      <c r="AC42" s="29">
        <f t="shared" si="96"/>
        <v>8150.7020419991186</v>
      </c>
      <c r="AD42" s="29">
        <f t="shared" si="96"/>
        <v>8069.1950215791276</v>
      </c>
      <c r="AE42" s="29">
        <f t="shared" si="96"/>
        <v>7988.5030713633359</v>
      </c>
      <c r="AF42" s="29">
        <f t="shared" si="96"/>
        <v>7908.6180406497024</v>
      </c>
      <c r="AG42" s="29">
        <f t="shared" si="96"/>
        <v>7829.5318602432053</v>
      </c>
      <c r="AH42" s="29">
        <f t="shared" si="96"/>
        <v>7751.2365416407729</v>
      </c>
      <c r="AI42" s="29">
        <f t="shared" si="96"/>
        <v>7673.7241762243648</v>
      </c>
      <c r="AJ42" s="29">
        <f t="shared" si="96"/>
        <v>7596.9869344621211</v>
      </c>
      <c r="AK42" s="29">
        <f t="shared" si="96"/>
        <v>7521.0170651174994</v>
      </c>
      <c r="AL42" s="29">
        <f t="shared" si="96"/>
        <v>7445.8068944663246</v>
      </c>
      <c r="AM42" s="29">
        <f t="shared" si="96"/>
        <v>7371.3488255216616</v>
      </c>
      <c r="AN42" s="29">
        <f t="shared" si="96"/>
        <v>7297.6353372664453</v>
      </c>
      <c r="AO42" s="29">
        <f t="shared" si="96"/>
        <v>7224.6589838937807</v>
      </c>
      <c r="AP42" s="29">
        <f t="shared" si="96"/>
        <v>7152.4123940548425</v>
      </c>
      <c r="AQ42" s="29">
        <f t="shared" si="96"/>
        <v>7080.8882701142938</v>
      </c>
      <c r="AR42" s="29">
        <f t="shared" si="96"/>
        <v>7010.0793874131505</v>
      </c>
      <c r="AS42" s="29">
        <f t="shared" si="96"/>
        <v>6939.9785935390191</v>
      </c>
      <c r="AT42" s="29">
        <f t="shared" si="96"/>
        <v>6870.5788076036288</v>
      </c>
      <c r="AU42" s="29">
        <f t="shared" si="96"/>
        <v>6801.8730195275921</v>
      </c>
      <c r="AV42" s="29">
        <f t="shared" si="96"/>
        <v>6733.8542893323165</v>
      </c>
      <c r="AW42" s="29">
        <f t="shared" si="96"/>
        <v>6666.5157464389931</v>
      </c>
      <c r="AX42" s="29">
        <f t="shared" si="96"/>
        <v>6599.8505889746029</v>
      </c>
      <c r="AY42" s="29">
        <f t="shared" si="96"/>
        <v>6533.8520830848565</v>
      </c>
      <c r="AZ42" s="29">
        <f t="shared" si="96"/>
        <v>6468.5135622540083</v>
      </c>
      <c r="BA42" s="29">
        <f t="shared" si="96"/>
        <v>6403.8284266314686</v>
      </c>
      <c r="BB42" s="29">
        <f t="shared" si="96"/>
        <v>6339.7901423651538</v>
      </c>
      <c r="BC42" s="29">
        <f t="shared" ref="BC42:CH42" si="97">BB42*(1+$Y$46)</f>
        <v>6276.3922409415018</v>
      </c>
      <c r="BD42" s="29">
        <f t="shared" si="97"/>
        <v>6213.6283185320863</v>
      </c>
      <c r="BE42" s="29">
        <f t="shared" si="97"/>
        <v>6151.4920353467651</v>
      </c>
      <c r="BF42" s="29">
        <f t="shared" si="97"/>
        <v>6089.9771149932976</v>
      </c>
      <c r="BG42" s="29">
        <f t="shared" si="97"/>
        <v>6029.0773438433644</v>
      </c>
      <c r="BH42" s="29">
        <f t="shared" si="97"/>
        <v>5968.7865704049309</v>
      </c>
      <c r="BI42" s="29">
        <f t="shared" si="97"/>
        <v>5909.0987047008812</v>
      </c>
      <c r="BJ42" s="29">
        <f t="shared" si="97"/>
        <v>5850.0077176538725</v>
      </c>
      <c r="BK42" s="29">
        <f t="shared" si="97"/>
        <v>5791.5076404773336</v>
      </c>
      <c r="BL42" s="29">
        <f t="shared" si="97"/>
        <v>5733.59256407256</v>
      </c>
      <c r="BM42" s="29">
        <f t="shared" si="97"/>
        <v>5676.2566384318343</v>
      </c>
      <c r="BN42" s="29">
        <f t="shared" si="97"/>
        <v>5619.4940720475161</v>
      </c>
      <c r="BO42" s="29">
        <f t="shared" si="97"/>
        <v>5563.2991313270404</v>
      </c>
      <c r="BP42" s="29">
        <f t="shared" si="97"/>
        <v>5507.66614001377</v>
      </c>
      <c r="BQ42" s="29">
        <f t="shared" si="97"/>
        <v>5452.5894786136323</v>
      </c>
      <c r="BR42" s="29">
        <f t="shared" si="97"/>
        <v>5398.0635838274957</v>
      </c>
      <c r="BS42" s="29">
        <f t="shared" si="97"/>
        <v>5344.0829479892209</v>
      </c>
      <c r="BT42" s="29">
        <f t="shared" si="97"/>
        <v>5290.6421185093286</v>
      </c>
      <c r="BU42" s="29">
        <f t="shared" si="97"/>
        <v>5237.7356973242349</v>
      </c>
      <c r="BV42" s="29">
        <f t="shared" si="97"/>
        <v>5185.3583403509929</v>
      </c>
      <c r="BW42" s="29">
        <f t="shared" si="97"/>
        <v>5133.5047569474827</v>
      </c>
      <c r="BX42" s="29">
        <f t="shared" si="97"/>
        <v>5082.1697093780076</v>
      </c>
      <c r="BY42" s="29">
        <f t="shared" si="97"/>
        <v>5031.3480122842275</v>
      </c>
      <c r="BZ42" s="29">
        <f t="shared" si="97"/>
        <v>4981.034532161385</v>
      </c>
      <c r="CA42" s="29">
        <f t="shared" si="97"/>
        <v>4931.2241868397714</v>
      </c>
      <c r="CB42" s="29">
        <f t="shared" si="97"/>
        <v>4881.9119449713735</v>
      </c>
      <c r="CC42" s="29">
        <f t="shared" si="97"/>
        <v>4833.0928255216595</v>
      </c>
      <c r="CD42" s="29">
        <f t="shared" si="97"/>
        <v>4784.7618972664432</v>
      </c>
      <c r="CE42" s="29">
        <f t="shared" si="97"/>
        <v>4736.9142782937788</v>
      </c>
      <c r="CF42" s="29">
        <f t="shared" si="97"/>
        <v>4689.5451355108407</v>
      </c>
      <c r="CG42" s="29">
        <f t="shared" si="97"/>
        <v>4642.6496841557318</v>
      </c>
      <c r="CH42" s="29">
        <f t="shared" si="97"/>
        <v>4596.2231873141745</v>
      </c>
      <c r="CI42" s="29">
        <f t="shared" ref="CI42:DN42" si="98">CH42*(1+$Y$46)</f>
        <v>4550.2609554410328</v>
      </c>
      <c r="CJ42" s="29">
        <f t="shared" si="98"/>
        <v>4504.758345886622</v>
      </c>
      <c r="CK42" s="29">
        <f t="shared" si="98"/>
        <v>4459.710762427756</v>
      </c>
      <c r="CL42" s="29">
        <f t="shared" si="98"/>
        <v>4415.1136548034783</v>
      </c>
      <c r="CM42" s="29">
        <f t="shared" si="98"/>
        <v>4370.9625182554437</v>
      </c>
      <c r="CN42" s="29">
        <f t="shared" si="98"/>
        <v>4327.2528930728895</v>
      </c>
      <c r="CO42" s="29">
        <f t="shared" si="98"/>
        <v>4283.9803641421604</v>
      </c>
      <c r="CP42" s="29">
        <f t="shared" si="98"/>
        <v>4241.1405605007385</v>
      </c>
      <c r="CQ42" s="29">
        <f t="shared" si="98"/>
        <v>4198.729154895731</v>
      </c>
      <c r="CR42" s="29">
        <f t="shared" si="98"/>
        <v>4156.7418633467732</v>
      </c>
      <c r="CS42" s="29">
        <f t="shared" si="98"/>
        <v>4115.1744447133051</v>
      </c>
      <c r="CT42" s="29">
        <f t="shared" si="98"/>
        <v>4074.0227002661718</v>
      </c>
      <c r="CU42" s="29">
        <f t="shared" si="98"/>
        <v>4033.2824732635099</v>
      </c>
      <c r="CV42" s="29">
        <f t="shared" si="98"/>
        <v>3992.9496485308746</v>
      </c>
      <c r="CW42" s="29">
        <f t="shared" si="98"/>
        <v>3953.0201520455657</v>
      </c>
      <c r="CX42" s="29">
        <f t="shared" si="98"/>
        <v>3913.4899505251101</v>
      </c>
      <c r="CY42" s="29">
        <f t="shared" si="98"/>
        <v>3874.3550510198588</v>
      </c>
      <c r="CZ42" s="29">
        <f t="shared" si="98"/>
        <v>3835.6115005096603</v>
      </c>
      <c r="DA42" s="29">
        <f t="shared" si="98"/>
        <v>3797.2553855045635</v>
      </c>
      <c r="DB42" s="29">
        <f t="shared" si="98"/>
        <v>3759.2828316495179</v>
      </c>
      <c r="DC42" s="29">
        <f t="shared" si="98"/>
        <v>3721.6900033330226</v>
      </c>
      <c r="DD42" s="29">
        <f t="shared" si="98"/>
        <v>3684.4731032996924</v>
      </c>
      <c r="DE42" s="29">
        <f t="shared" si="98"/>
        <v>3647.6283722666954</v>
      </c>
      <c r="DF42" s="29">
        <f t="shared" si="98"/>
        <v>3611.1520885440282</v>
      </c>
      <c r="DG42" s="29">
        <f t="shared" si="98"/>
        <v>3575.0405676585879</v>
      </c>
      <c r="DH42" s="29">
        <f t="shared" si="98"/>
        <v>3539.2901619820018</v>
      </c>
      <c r="DI42" s="29">
        <f t="shared" si="98"/>
        <v>3503.8972603621819</v>
      </c>
      <c r="DJ42" s="29">
        <f t="shared" si="98"/>
        <v>3468.85828775856</v>
      </c>
      <c r="DK42" s="29">
        <f t="shared" si="98"/>
        <v>3434.1697048809742</v>
      </c>
      <c r="DL42" s="29">
        <f t="shared" si="98"/>
        <v>3399.8280078321645</v>
      </c>
      <c r="DM42" s="29">
        <f t="shared" si="98"/>
        <v>3365.8297277538427</v>
      </c>
      <c r="DN42" s="29">
        <f t="shared" si="98"/>
        <v>3332.1714304763041</v>
      </c>
      <c r="DO42" s="29">
        <f t="shared" ref="DO42:DZ42" si="99">DN42*(1+$Y$46)</f>
        <v>3298.8497161715409</v>
      </c>
      <c r="DP42" s="29">
        <f t="shared" si="99"/>
        <v>3265.8612190098256</v>
      </c>
      <c r="DQ42" s="29">
        <f t="shared" si="99"/>
        <v>3233.2026068197274</v>
      </c>
      <c r="DR42" s="29">
        <f t="shared" si="99"/>
        <v>3200.8705807515303</v>
      </c>
      <c r="DS42" s="29">
        <f t="shared" si="99"/>
        <v>3168.8618749440147</v>
      </c>
      <c r="DT42" s="29">
        <f t="shared" si="99"/>
        <v>3137.1732561945746</v>
      </c>
      <c r="DU42" s="29">
        <f t="shared" si="99"/>
        <v>3105.8015236326287</v>
      </c>
      <c r="DV42" s="29">
        <f t="shared" si="99"/>
        <v>3074.7435083963023</v>
      </c>
      <c r="DW42" s="29">
        <f t="shared" si="99"/>
        <v>3043.9960733123394</v>
      </c>
      <c r="DX42" s="29">
        <f t="shared" si="99"/>
        <v>3013.556112579216</v>
      </c>
      <c r="DY42" s="29">
        <f t="shared" si="99"/>
        <v>2983.4205514534237</v>
      </c>
      <c r="DZ42" s="29">
        <f t="shared" si="99"/>
        <v>2953.5863459388893</v>
      </c>
    </row>
    <row r="43" spans="1:130" x14ac:dyDescent="0.2">
      <c r="B43" s="29" t="s">
        <v>5</v>
      </c>
      <c r="C43" s="29">
        <f>C42/C44</f>
        <v>1955.1782682512735</v>
      </c>
      <c r="G43" s="29">
        <v>2035.08</v>
      </c>
      <c r="H43" s="29">
        <v>2035.08</v>
      </c>
      <c r="I43" s="29">
        <v>2035.08</v>
      </c>
      <c r="J43" s="29">
        <v>2035.08</v>
      </c>
      <c r="N43" s="29">
        <f>N42/N44</f>
        <v>2136.363636363636</v>
      </c>
      <c r="O43" s="29">
        <f>O42/O44</f>
        <v>2072.1649484536083</v>
      </c>
      <c r="P43" s="29">
        <f>2029.312</f>
        <v>2029.3119999999999</v>
      </c>
      <c r="Q43" s="29">
        <f>J43</f>
        <v>2035.08</v>
      </c>
      <c r="R43" s="29">
        <f>Q43</f>
        <v>2035.08</v>
      </c>
      <c r="S43" s="29">
        <f t="shared" ref="S43:V43" si="100">R43</f>
        <v>2035.08</v>
      </c>
      <c r="T43" s="29">
        <f t="shared" si="100"/>
        <v>2035.08</v>
      </c>
      <c r="U43" s="29">
        <f t="shared" si="100"/>
        <v>2035.08</v>
      </c>
      <c r="V43" s="29">
        <f t="shared" si="100"/>
        <v>2035.08</v>
      </c>
    </row>
    <row r="44" spans="1:130" x14ac:dyDescent="0.2">
      <c r="B44" s="29" t="s">
        <v>33</v>
      </c>
      <c r="C44" s="32">
        <v>-5.89</v>
      </c>
      <c r="D44" s="29" t="e">
        <f>D42/D43</f>
        <v>#DIV/0!</v>
      </c>
      <c r="E44" s="29" t="e">
        <f>E42/E43</f>
        <v>#DIV/0!</v>
      </c>
      <c r="F44" s="29" t="e">
        <f>F42/F43</f>
        <v>#DIV/0!</v>
      </c>
      <c r="G44" s="32">
        <f>G42/G43</f>
        <v>1.209289069717161</v>
      </c>
      <c r="H44" s="32">
        <f>H42/H43</f>
        <v>2.9593766584114634</v>
      </c>
      <c r="I44" s="32">
        <f t="shared" ref="I44:J44" si="101">I42/I43</f>
        <v>3.0040275147045818</v>
      </c>
      <c r="J44" s="32">
        <f t="shared" si="101"/>
        <v>3.0478292749748483</v>
      </c>
      <c r="K44" s="32"/>
      <c r="L44" s="32"/>
      <c r="N44" s="32">
        <v>2.97</v>
      </c>
      <c r="O44" s="32">
        <v>3.88</v>
      </c>
      <c r="P44" s="32">
        <f t="shared" ref="P44:Q44" si="102">P42/P43</f>
        <v>-4.3970567364702919</v>
      </c>
      <c r="Q44" s="32">
        <f t="shared" si="102"/>
        <v>10.220522517808055</v>
      </c>
      <c r="R44" s="32">
        <f t="shared" ref="R44" si="103">R42/R43</f>
        <v>10.792674712657318</v>
      </c>
      <c r="S44" s="32">
        <f t="shared" ref="S44" si="104">S42/S43</f>
        <v>11.108434308421977</v>
      </c>
      <c r="T44" s="32">
        <f t="shared" ref="T44" si="105">T42/T43</f>
        <v>3.8817324563407847</v>
      </c>
      <c r="U44" s="32">
        <f t="shared" ref="U44" si="106">U42/U43</f>
        <v>4.031871162030221</v>
      </c>
      <c r="V44" s="32">
        <f t="shared" ref="V44" si="107">V42/V43</f>
        <v>4.2970179601482545</v>
      </c>
    </row>
    <row r="45" spans="1:130" x14ac:dyDescent="0.2">
      <c r="R45" s="33"/>
      <c r="X45" s="29" t="s">
        <v>53</v>
      </c>
      <c r="Y45" s="33">
        <v>0.02</v>
      </c>
    </row>
    <row r="46" spans="1:130" s="4" customFormat="1" x14ac:dyDescent="0.2">
      <c r="A46" s="29"/>
      <c r="B46" s="4" t="s">
        <v>34</v>
      </c>
      <c r="G46" s="6">
        <f>G29/C29-1</f>
        <v>-5.5962916139907337E-2</v>
      </c>
      <c r="H46" s="6" t="e">
        <f t="shared" ref="H46:J46" si="108">H29/D29-1</f>
        <v>#DIV/0!</v>
      </c>
      <c r="I46" s="6" t="e">
        <f t="shared" si="108"/>
        <v>#DIV/0!</v>
      </c>
      <c r="J46" s="6" t="e">
        <f t="shared" si="108"/>
        <v>#DIV/0!</v>
      </c>
      <c r="K46" s="6"/>
      <c r="L46" s="6"/>
      <c r="O46" s="6">
        <f t="shared" ref="O46:V46" si="109">O29/N29-1</f>
        <v>-2.4978877358694973E-2</v>
      </c>
      <c r="P46" s="6">
        <f t="shared" si="109"/>
        <v>7.3190241301159809E-2</v>
      </c>
      <c r="Q46" s="6">
        <f t="shared" si="109"/>
        <v>7.0466034161491553E-3</v>
      </c>
      <c r="R46" s="6">
        <f t="shared" si="109"/>
        <v>1.4618829274361866E-2</v>
      </c>
      <c r="S46" s="6">
        <f t="shared" si="109"/>
        <v>1.9713850820864964E-2</v>
      </c>
      <c r="T46" s="6">
        <f t="shared" si="109"/>
        <v>-0.48897320965630753</v>
      </c>
      <c r="U46" s="6">
        <f t="shared" si="109"/>
        <v>3.2118414388295102E-2</v>
      </c>
      <c r="V46" s="6">
        <f t="shared" si="109"/>
        <v>4.630303598057206E-2</v>
      </c>
      <c r="X46" s="29" t="s">
        <v>54</v>
      </c>
      <c r="Y46" s="33">
        <v>-0.01</v>
      </c>
    </row>
    <row r="47" spans="1:130" x14ac:dyDescent="0.2">
      <c r="B47" s="29" t="s">
        <v>35</v>
      </c>
      <c r="C47" s="33">
        <f>C31/C29-1</f>
        <v>-0.24711335861778339</v>
      </c>
      <c r="D47" s="33" t="e">
        <f>D31/D29-1</f>
        <v>#DIV/0!</v>
      </c>
      <c r="E47" s="33" t="e">
        <f>E31/E29-1</f>
        <v>#DIV/0!</v>
      </c>
      <c r="F47" s="33" t="e">
        <f>F31/F29-1</f>
        <v>#DIV/0!</v>
      </c>
      <c r="G47" s="33">
        <f>G31/G29-1</f>
        <v>-0.27077939469690204</v>
      </c>
      <c r="H47" s="33">
        <f t="shared" ref="H47:J47" si="110">H31/H29-1</f>
        <v>-0.25</v>
      </c>
      <c r="I47" s="33">
        <f t="shared" si="110"/>
        <v>-0.25000000000000011</v>
      </c>
      <c r="J47" s="33">
        <f t="shared" si="110"/>
        <v>-0.25</v>
      </c>
      <c r="K47" s="33"/>
      <c r="L47" s="33"/>
      <c r="N47" s="33">
        <f t="shared" ref="N47:V47" si="111">N31/N29</f>
        <v>0.78038952316991272</v>
      </c>
      <c r="O47" s="33">
        <f t="shared" si="111"/>
        <v>0.76240945651690883</v>
      </c>
      <c r="P47" s="33">
        <f t="shared" si="111"/>
        <v>0.71080745341614904</v>
      </c>
      <c r="Q47" s="33">
        <f t="shared" si="111"/>
        <v>0.74521487827538124</v>
      </c>
      <c r="R47" s="33">
        <f t="shared" si="111"/>
        <v>0.75</v>
      </c>
      <c r="S47" s="33">
        <f t="shared" si="111"/>
        <v>0.75</v>
      </c>
      <c r="T47" s="33">
        <f t="shared" si="111"/>
        <v>0.75</v>
      </c>
      <c r="U47" s="33">
        <f t="shared" si="111"/>
        <v>0.75</v>
      </c>
      <c r="V47" s="33">
        <f t="shared" si="111"/>
        <v>0.75000000000000011</v>
      </c>
      <c r="X47" s="29" t="s">
        <v>55</v>
      </c>
      <c r="Y47" s="33">
        <v>0.08</v>
      </c>
    </row>
    <row r="48" spans="1:130" x14ac:dyDescent="0.2">
      <c r="B48" s="29" t="s">
        <v>36</v>
      </c>
      <c r="G48" s="33">
        <f>G32/C32-1</f>
        <v>-0.33079847908745252</v>
      </c>
      <c r="H48" s="33" t="e">
        <f t="shared" ref="H48:J48" si="112">H32/D32-1</f>
        <v>#DIV/0!</v>
      </c>
      <c r="I48" s="33" t="e">
        <f t="shared" si="112"/>
        <v>#DIV/0!</v>
      </c>
      <c r="J48" s="33" t="e">
        <f t="shared" si="112"/>
        <v>#DIV/0!</v>
      </c>
      <c r="K48" s="33"/>
      <c r="L48" s="33"/>
      <c r="O48" s="33">
        <f t="shared" ref="O48:V48" si="113">O32/N32-1</f>
        <v>-5.3749680061427885E-3</v>
      </c>
      <c r="P48" s="33">
        <f t="shared" si="113"/>
        <v>8.2604220277920692E-2</v>
      </c>
      <c r="Q48" s="33">
        <f t="shared" si="113"/>
        <v>4.4830045162823851E-2</v>
      </c>
      <c r="R48" s="33">
        <f t="shared" si="113"/>
        <v>4.0000000000000036E-2</v>
      </c>
      <c r="S48" s="33">
        <f t="shared" si="113"/>
        <v>4.0000000000000036E-2</v>
      </c>
      <c r="T48" s="33">
        <f t="shared" si="113"/>
        <v>4.0000000000000036E-2</v>
      </c>
      <c r="U48" s="33">
        <f t="shared" si="113"/>
        <v>4.0000000000000036E-2</v>
      </c>
      <c r="V48" s="33">
        <f t="shared" si="113"/>
        <v>4.0000000000000036E-2</v>
      </c>
      <c r="X48" s="29" t="s">
        <v>56</v>
      </c>
      <c r="Y48" s="29">
        <f>NPV(Y47,Q42:XFD42)+Main!L5-Main!L6+golcadomide!E42+'BMS-986365'!G21+admilparant!G18</f>
        <v>104952.78625217403</v>
      </c>
    </row>
    <row r="49" spans="2:25" x14ac:dyDescent="0.2">
      <c r="O49" s="32"/>
      <c r="P49" s="32"/>
      <c r="X49" s="29" t="s">
        <v>57</v>
      </c>
      <c r="Y49" s="32">
        <f>Y48/Main!L3</f>
        <v>51.571823344622345</v>
      </c>
    </row>
    <row r="50" spans="2:25" x14ac:dyDescent="0.2">
      <c r="B50" s="29" t="s">
        <v>37</v>
      </c>
      <c r="G50" s="29">
        <f>SUM(G51:G52)-SUM(G66:G68)</f>
        <v>-39127</v>
      </c>
      <c r="H50" s="29">
        <f>G50+H42</f>
        <v>-33104.431750000003</v>
      </c>
      <c r="I50" s="29">
        <f t="shared" ref="I50:J50" si="114">H50+I42</f>
        <v>-26990.995435375004</v>
      </c>
      <c r="J50" s="29">
        <f t="shared" si="114"/>
        <v>-20788.419034459192</v>
      </c>
      <c r="N50" s="29">
        <f>SUM(N51:N52)-SUM(N66:N68)</f>
        <v>0</v>
      </c>
      <c r="O50" s="29">
        <f>SUM(O51:O52)-SUM(O67:O68)</f>
        <v>-30794</v>
      </c>
      <c r="P50" s="29">
        <f>SUM(P51:P52)-SUM(P67:P68)</f>
        <v>-41113</v>
      </c>
      <c r="Q50" s="29">
        <f>J50</f>
        <v>-20788.419034459192</v>
      </c>
      <c r="R50" s="29">
        <f>Q50+R42</f>
        <v>1175.5374197754609</v>
      </c>
      <c r="S50" s="29">
        <f>R50+S42</f>
        <v>23782.089912158855</v>
      </c>
      <c r="T50" s="29">
        <f>S50+T42</f>
        <v>31681.72599940886</v>
      </c>
      <c r="U50" s="29">
        <f>T50+U42</f>
        <v>39886.906363833317</v>
      </c>
      <c r="V50" s="29">
        <f>U50+V42</f>
        <v>48631.681674171828</v>
      </c>
      <c r="Y50" s="33">
        <f>Y49/Main!L2-1</f>
        <v>0.17208689419596235</v>
      </c>
    </row>
    <row r="51" spans="2:25" x14ac:dyDescent="0.2">
      <c r="B51" s="29" t="s">
        <v>7</v>
      </c>
      <c r="G51" s="29">
        <f>10875</f>
        <v>10875</v>
      </c>
      <c r="O51" s="29">
        <f>11464</f>
        <v>11464</v>
      </c>
      <c r="P51" s="29">
        <f>10346</f>
        <v>10346</v>
      </c>
    </row>
    <row r="52" spans="2:25" x14ac:dyDescent="0.2">
      <c r="B52" s="29" t="s">
        <v>51</v>
      </c>
      <c r="G52" s="29">
        <f>907</f>
        <v>907</v>
      </c>
      <c r="O52" s="29">
        <f>816</f>
        <v>816</v>
      </c>
      <c r="P52" s="29">
        <f>513</f>
        <v>513</v>
      </c>
    </row>
    <row r="53" spans="2:25" x14ac:dyDescent="0.2">
      <c r="B53" s="29" t="s">
        <v>38</v>
      </c>
      <c r="G53" s="29">
        <v>10801</v>
      </c>
      <c r="O53" s="29">
        <f>10921</f>
        <v>10921</v>
      </c>
      <c r="P53" s="29">
        <f>10747</f>
        <v>10747</v>
      </c>
    </row>
    <row r="54" spans="2:25" x14ac:dyDescent="0.2">
      <c r="B54" s="29" t="s">
        <v>39</v>
      </c>
      <c r="G54" s="29">
        <v>2666</v>
      </c>
      <c r="O54" s="29">
        <f>2662</f>
        <v>2662</v>
      </c>
      <c r="P54" s="29">
        <f>2557</f>
        <v>2557</v>
      </c>
    </row>
    <row r="55" spans="2:25" x14ac:dyDescent="0.2">
      <c r="B55" s="29" t="s">
        <v>40</v>
      </c>
      <c r="G55" s="29">
        <v>7213</v>
      </c>
      <c r="O55" s="29">
        <f>6646</f>
        <v>6646</v>
      </c>
      <c r="P55" s="29">
        <f>7136</f>
        <v>7136</v>
      </c>
      <c r="W55" s="33"/>
    </row>
    <row r="56" spans="2:25" x14ac:dyDescent="0.2">
      <c r="B56" s="29" t="s">
        <v>41</v>
      </c>
      <c r="G56" s="29">
        <v>21737</v>
      </c>
      <c r="O56" s="29">
        <f>21169</f>
        <v>21169</v>
      </c>
      <c r="P56" s="29">
        <f>21719</f>
        <v>21719</v>
      </c>
    </row>
    <row r="57" spans="2:25" x14ac:dyDescent="0.2">
      <c r="B57" s="29" t="s">
        <v>42</v>
      </c>
      <c r="G57" s="29">
        <v>22486</v>
      </c>
      <c r="O57" s="29">
        <f>27072</f>
        <v>27072</v>
      </c>
      <c r="P57" s="29">
        <f>23307</f>
        <v>23307</v>
      </c>
    </row>
    <row r="58" spans="2:25" x14ac:dyDescent="0.2">
      <c r="B58" s="29" t="s">
        <v>46</v>
      </c>
      <c r="O58" s="29">
        <f>2768</f>
        <v>2768</v>
      </c>
      <c r="P58" s="29">
        <f>4236</f>
        <v>4236</v>
      </c>
    </row>
    <row r="59" spans="2:25" x14ac:dyDescent="0.2">
      <c r="B59" s="29" t="s">
        <v>50</v>
      </c>
      <c r="G59" s="29">
        <f>344</f>
        <v>344</v>
      </c>
      <c r="O59" s="29">
        <f>364</f>
        <v>364</v>
      </c>
      <c r="P59" s="29">
        <f>320</f>
        <v>320</v>
      </c>
    </row>
    <row r="60" spans="2:25" x14ac:dyDescent="0.2">
      <c r="B60" s="29" t="s">
        <v>43</v>
      </c>
      <c r="G60" s="29">
        <f>5534+5866</f>
        <v>11400</v>
      </c>
      <c r="O60" s="29">
        <f>5370+5907</f>
        <v>11277</v>
      </c>
      <c r="P60" s="29">
        <f>6105+5617</f>
        <v>11722</v>
      </c>
    </row>
    <row r="61" spans="2:25" x14ac:dyDescent="0.2">
      <c r="B61" s="29" t="s">
        <v>44</v>
      </c>
      <c r="G61" s="29">
        <f>SUM(G51:G60)</f>
        <v>88429</v>
      </c>
      <c r="H61" s="29">
        <f>SUM(H51:H60)</f>
        <v>0</v>
      </c>
      <c r="I61" s="29">
        <f>SUM(I51:I60)</f>
        <v>0</v>
      </c>
      <c r="J61" s="29">
        <f>SUM(J51:J60)</f>
        <v>0</v>
      </c>
      <c r="N61" s="29">
        <f>SUM(N51:N60)</f>
        <v>0</v>
      </c>
      <c r="O61" s="29">
        <f>SUM(O51:O60)</f>
        <v>95159</v>
      </c>
      <c r="P61" s="29">
        <f>SUM(P51:P60)</f>
        <v>92603</v>
      </c>
    </row>
    <row r="63" spans="2:25" x14ac:dyDescent="0.2">
      <c r="B63" s="29" t="s">
        <v>52</v>
      </c>
      <c r="G63" s="29">
        <f>3554</f>
        <v>3554</v>
      </c>
      <c r="O63" s="29">
        <f>3119</f>
        <v>3119</v>
      </c>
      <c r="P63" s="29">
        <f>2046</f>
        <v>2046</v>
      </c>
    </row>
    <row r="64" spans="2:25" x14ac:dyDescent="0.2">
      <c r="B64" s="29" t="s">
        <v>45</v>
      </c>
      <c r="G64" s="29">
        <f>4002</f>
        <v>4002</v>
      </c>
      <c r="O64" s="29">
        <f>3259</f>
        <v>3259</v>
      </c>
      <c r="P64" s="29">
        <f>3602</f>
        <v>3602</v>
      </c>
    </row>
    <row r="65" spans="2:22" x14ac:dyDescent="0.2">
      <c r="B65" s="29" t="s">
        <v>65</v>
      </c>
      <c r="G65" s="29">
        <f>16514</f>
        <v>16514</v>
      </c>
      <c r="O65" s="29">
        <f>15884</f>
        <v>15884</v>
      </c>
      <c r="P65" s="29">
        <f>18126</f>
        <v>18126</v>
      </c>
    </row>
    <row r="66" spans="2:22" x14ac:dyDescent="0.2">
      <c r="B66" s="29" t="s">
        <v>46</v>
      </c>
      <c r="G66" s="29">
        <f>276</f>
        <v>276</v>
      </c>
      <c r="O66" s="29">
        <f>338</f>
        <v>338</v>
      </c>
      <c r="P66" s="29">
        <f>369</f>
        <v>369</v>
      </c>
    </row>
    <row r="67" spans="2:22" x14ac:dyDescent="0.2">
      <c r="B67" s="29" t="s">
        <v>8</v>
      </c>
      <c r="G67" s="29">
        <f>46156</f>
        <v>46156</v>
      </c>
      <c r="O67" s="29">
        <f>36653</f>
        <v>36653</v>
      </c>
      <c r="P67" s="29">
        <f>47503</f>
        <v>47503</v>
      </c>
    </row>
    <row r="68" spans="2:22" x14ac:dyDescent="0.2">
      <c r="B68" s="29" t="s">
        <v>64</v>
      </c>
      <c r="G68" s="29">
        <f>4477</f>
        <v>4477</v>
      </c>
      <c r="O68" s="29">
        <f>6421</f>
        <v>6421</v>
      </c>
      <c r="P68" s="29">
        <f>4469</f>
        <v>4469</v>
      </c>
    </row>
    <row r="69" spans="2:22" x14ac:dyDescent="0.2">
      <c r="B69" s="29" t="s">
        <v>47</v>
      </c>
      <c r="G69" s="29">
        <f>SUM(G63:G68)</f>
        <v>74979</v>
      </c>
      <c r="O69" s="29">
        <f>SUM(O63:O68)</f>
        <v>65674</v>
      </c>
      <c r="P69" s="29">
        <f>SUM(P63:P68)</f>
        <v>76115</v>
      </c>
    </row>
    <row r="70" spans="2:22" x14ac:dyDescent="0.2">
      <c r="B70" s="29" t="s">
        <v>49</v>
      </c>
      <c r="G70" s="29">
        <f>G61-G69</f>
        <v>13450</v>
      </c>
      <c r="O70" s="29">
        <f>O61-O69</f>
        <v>29485</v>
      </c>
      <c r="P70" s="29">
        <f>P61-P69</f>
        <v>16488</v>
      </c>
    </row>
    <row r="71" spans="2:22" x14ac:dyDescent="0.2">
      <c r="B71" s="29" t="s">
        <v>48</v>
      </c>
      <c r="G71" s="29">
        <f>G69+G70</f>
        <v>88429</v>
      </c>
      <c r="O71" s="29">
        <f>O69+O70</f>
        <v>95159</v>
      </c>
      <c r="P71" s="29">
        <f>P69+P70</f>
        <v>92603</v>
      </c>
    </row>
    <row r="73" spans="2:22" x14ac:dyDescent="0.2">
      <c r="B73" s="29" t="s">
        <v>144</v>
      </c>
      <c r="O73" s="29">
        <f>O42</f>
        <v>8040</v>
      </c>
      <c r="P73" s="29">
        <f>P42</f>
        <v>-8923</v>
      </c>
      <c r="Q73" s="29">
        <f t="shared" ref="Q73:V73" si="115">Q42</f>
        <v>20799.580965540816</v>
      </c>
      <c r="R73" s="29">
        <f t="shared" si="115"/>
        <v>21963.956454234652</v>
      </c>
      <c r="S73" s="29">
        <f t="shared" si="115"/>
        <v>22606.552492383395</v>
      </c>
      <c r="T73" s="29">
        <f t="shared" si="115"/>
        <v>7899.6360872500036</v>
      </c>
      <c r="U73" s="29">
        <f t="shared" si="115"/>
        <v>8205.180364424461</v>
      </c>
      <c r="V73" s="29">
        <f t="shared" si="115"/>
        <v>8744.7753103385094</v>
      </c>
    </row>
    <row r="74" spans="2:22" x14ac:dyDescent="0.2">
      <c r="B74" s="29" t="s">
        <v>145</v>
      </c>
      <c r="N74" s="29">
        <f>6345</f>
        <v>6345</v>
      </c>
      <c r="O74" s="29">
        <f>8040</f>
        <v>8040</v>
      </c>
      <c r="P74" s="29">
        <f>-8933</f>
        <v>-8933</v>
      </c>
    </row>
    <row r="75" spans="2:22" x14ac:dyDescent="0.2">
      <c r="B75" s="29" t="s">
        <v>146</v>
      </c>
      <c r="N75" s="29">
        <f>10276</f>
        <v>10276</v>
      </c>
      <c r="O75" s="29">
        <v>9760</v>
      </c>
      <c r="P75" s="29">
        <v>9600</v>
      </c>
      <c r="Q75" s="29">
        <f>P75*1.01</f>
        <v>9696</v>
      </c>
      <c r="R75" s="29">
        <f t="shared" ref="R75:V75" si="116">Q75*1.01</f>
        <v>9792.9600000000009</v>
      </c>
      <c r="S75" s="29">
        <f t="shared" si="116"/>
        <v>9890.8896000000004</v>
      </c>
      <c r="T75" s="29">
        <f t="shared" si="116"/>
        <v>9989.7984960000013</v>
      </c>
      <c r="U75" s="29">
        <f t="shared" si="116"/>
        <v>10089.696480960001</v>
      </c>
      <c r="V75" s="29">
        <f t="shared" si="116"/>
        <v>10190.593445769602</v>
      </c>
    </row>
    <row r="76" spans="2:22" x14ac:dyDescent="0.2">
      <c r="B76" s="29" t="s">
        <v>46</v>
      </c>
      <c r="N76" s="29">
        <v>-2738</v>
      </c>
      <c r="O76" s="29">
        <v>-3288</v>
      </c>
      <c r="P76" s="29">
        <v>-2089</v>
      </c>
      <c r="Q76" s="29">
        <f>P76*1.04</f>
        <v>-2172.56</v>
      </c>
      <c r="R76" s="29">
        <f t="shared" ref="R76:V76" si="117">Q76*1.04</f>
        <v>-2259.4623999999999</v>
      </c>
      <c r="S76" s="29">
        <f t="shared" si="117"/>
        <v>-2349.8408960000002</v>
      </c>
      <c r="T76" s="29">
        <f t="shared" si="117"/>
        <v>-2443.8345318400002</v>
      </c>
      <c r="U76" s="29">
        <f t="shared" si="117"/>
        <v>-2541.5879131136003</v>
      </c>
      <c r="V76" s="29">
        <f t="shared" si="117"/>
        <v>-2643.2514296381446</v>
      </c>
    </row>
    <row r="77" spans="2:22" x14ac:dyDescent="0.2">
      <c r="B77" s="29" t="s">
        <v>147</v>
      </c>
      <c r="N77" s="29">
        <v>457</v>
      </c>
      <c r="O77" s="29">
        <v>518</v>
      </c>
      <c r="P77" s="29">
        <v>507</v>
      </c>
      <c r="Q77" s="29">
        <f>P77*1.02</f>
        <v>517.14</v>
      </c>
      <c r="R77" s="29">
        <f t="shared" ref="R77:V77" si="118">Q77*1.02</f>
        <v>527.4828</v>
      </c>
      <c r="S77" s="29">
        <f t="shared" si="118"/>
        <v>538.03245600000002</v>
      </c>
      <c r="T77" s="29">
        <f t="shared" si="118"/>
        <v>548.79310512000006</v>
      </c>
      <c r="U77" s="29">
        <f t="shared" si="118"/>
        <v>559.76896722240008</v>
      </c>
      <c r="V77" s="29">
        <f t="shared" si="118"/>
        <v>570.96434656684812</v>
      </c>
    </row>
    <row r="78" spans="2:22" x14ac:dyDescent="0.2">
      <c r="B78" s="29" t="s">
        <v>148</v>
      </c>
      <c r="N78" s="29">
        <v>179</v>
      </c>
      <c r="O78" s="29">
        <v>255</v>
      </c>
      <c r="P78" s="29">
        <v>2963</v>
      </c>
      <c r="Q78" s="29">
        <v>0</v>
      </c>
      <c r="R78" s="29">
        <f t="shared" ref="R78:V84" si="119">Q78*1.01</f>
        <v>0</v>
      </c>
      <c r="S78" s="29">
        <f t="shared" si="119"/>
        <v>0</v>
      </c>
      <c r="T78" s="29">
        <f t="shared" si="119"/>
        <v>0</v>
      </c>
      <c r="U78" s="29">
        <f t="shared" si="119"/>
        <v>0</v>
      </c>
      <c r="V78" s="29">
        <f t="shared" si="119"/>
        <v>0</v>
      </c>
    </row>
    <row r="79" spans="2:22" x14ac:dyDescent="0.2">
      <c r="B79" s="29" t="s">
        <v>149</v>
      </c>
      <c r="N79" s="29">
        <v>-1063</v>
      </c>
      <c r="O79" s="29">
        <v>-884</v>
      </c>
      <c r="P79" s="29">
        <v>-1119</v>
      </c>
      <c r="Q79" s="29">
        <v>0</v>
      </c>
      <c r="R79" s="29">
        <f t="shared" si="119"/>
        <v>0</v>
      </c>
      <c r="S79" s="29">
        <f t="shared" si="119"/>
        <v>0</v>
      </c>
      <c r="T79" s="29">
        <f t="shared" si="119"/>
        <v>0</v>
      </c>
      <c r="U79" s="29">
        <f t="shared" si="119"/>
        <v>0</v>
      </c>
      <c r="V79" s="29">
        <f t="shared" si="119"/>
        <v>0</v>
      </c>
    </row>
    <row r="80" spans="2:22" x14ac:dyDescent="0.2">
      <c r="B80" s="29" t="s">
        <v>24</v>
      </c>
      <c r="N80" s="29">
        <v>815</v>
      </c>
      <c r="O80" s="29">
        <v>913</v>
      </c>
      <c r="P80" s="29">
        <v>13373</v>
      </c>
      <c r="Q80" s="29">
        <v>0</v>
      </c>
      <c r="R80" s="29">
        <f t="shared" si="119"/>
        <v>0</v>
      </c>
      <c r="S80" s="29">
        <f t="shared" si="119"/>
        <v>0</v>
      </c>
      <c r="T80" s="29">
        <f t="shared" si="119"/>
        <v>0</v>
      </c>
      <c r="U80" s="29">
        <f t="shared" si="119"/>
        <v>0</v>
      </c>
      <c r="V80" s="29">
        <f t="shared" si="119"/>
        <v>0</v>
      </c>
    </row>
    <row r="81" spans="2:121" x14ac:dyDescent="0.2">
      <c r="B81" s="29" t="s">
        <v>150</v>
      </c>
      <c r="N81" s="29">
        <v>801</v>
      </c>
      <c r="O81" s="29">
        <v>160</v>
      </c>
      <c r="P81" s="29">
        <v>-16</v>
      </c>
      <c r="Q81" s="29">
        <v>0</v>
      </c>
      <c r="R81" s="29">
        <f t="shared" si="119"/>
        <v>0</v>
      </c>
      <c r="S81" s="29">
        <f t="shared" si="119"/>
        <v>0</v>
      </c>
      <c r="T81" s="29">
        <f t="shared" si="119"/>
        <v>0</v>
      </c>
      <c r="U81" s="29">
        <f t="shared" si="119"/>
        <v>0</v>
      </c>
      <c r="V81" s="29">
        <f t="shared" si="119"/>
        <v>0</v>
      </c>
    </row>
    <row r="82" spans="2:121" x14ac:dyDescent="0.2">
      <c r="B82" s="29" t="s">
        <v>38</v>
      </c>
      <c r="N82" s="29">
        <v>-663</v>
      </c>
      <c r="O82" s="29">
        <v>-995</v>
      </c>
      <c r="P82" s="29">
        <v>264</v>
      </c>
      <c r="Q82" s="29">
        <v>0</v>
      </c>
      <c r="R82" s="29">
        <f t="shared" si="119"/>
        <v>0</v>
      </c>
      <c r="S82" s="29">
        <f t="shared" si="119"/>
        <v>0</v>
      </c>
      <c r="T82" s="29">
        <f t="shared" si="119"/>
        <v>0</v>
      </c>
      <c r="U82" s="29">
        <f t="shared" si="119"/>
        <v>0</v>
      </c>
      <c r="V82" s="29">
        <f t="shared" si="119"/>
        <v>0</v>
      </c>
    </row>
    <row r="83" spans="2:121" x14ac:dyDescent="0.2">
      <c r="B83" s="29" t="s">
        <v>39</v>
      </c>
      <c r="N83" s="29">
        <v>-69</v>
      </c>
      <c r="O83" s="29">
        <v>-751</v>
      </c>
      <c r="P83" s="29">
        <v>-486</v>
      </c>
      <c r="Q83" s="29">
        <v>0</v>
      </c>
      <c r="R83" s="29">
        <f t="shared" si="119"/>
        <v>0</v>
      </c>
      <c r="S83" s="29">
        <f t="shared" si="119"/>
        <v>0</v>
      </c>
      <c r="T83" s="29">
        <f t="shared" si="119"/>
        <v>0</v>
      </c>
      <c r="U83" s="29">
        <f t="shared" si="119"/>
        <v>0</v>
      </c>
      <c r="V83" s="29">
        <f t="shared" si="119"/>
        <v>0</v>
      </c>
    </row>
    <row r="84" spans="2:121" x14ac:dyDescent="0.2">
      <c r="B84" s="29" t="s">
        <v>45</v>
      </c>
      <c r="N84" s="29">
        <v>109</v>
      </c>
      <c r="O84" s="29">
        <v>198</v>
      </c>
      <c r="P84" s="29">
        <v>184</v>
      </c>
      <c r="Q84" s="29">
        <v>0</v>
      </c>
      <c r="R84" s="29">
        <f t="shared" si="119"/>
        <v>0</v>
      </c>
      <c r="S84" s="29">
        <f t="shared" si="119"/>
        <v>0</v>
      </c>
      <c r="T84" s="29">
        <f t="shared" si="119"/>
        <v>0</v>
      </c>
      <c r="U84" s="29">
        <f t="shared" si="119"/>
        <v>0</v>
      </c>
      <c r="V84" s="29">
        <f t="shared" si="119"/>
        <v>0</v>
      </c>
    </row>
    <row r="85" spans="2:121" x14ac:dyDescent="0.2">
      <c r="B85" s="29" t="s">
        <v>151</v>
      </c>
      <c r="N85" s="29">
        <v>427</v>
      </c>
      <c r="O85" s="29">
        <v>904</v>
      </c>
      <c r="P85" s="29">
        <v>1484</v>
      </c>
      <c r="Q85" s="29">
        <v>0</v>
      </c>
      <c r="R85" s="29">
        <f t="shared" ref="R85:V85" si="120">Q85*1.04</f>
        <v>0</v>
      </c>
      <c r="S85" s="29">
        <f t="shared" si="120"/>
        <v>0</v>
      </c>
      <c r="T85" s="29">
        <f t="shared" si="120"/>
        <v>0</v>
      </c>
      <c r="U85" s="29">
        <f t="shared" si="120"/>
        <v>0</v>
      </c>
      <c r="V85" s="29">
        <f t="shared" si="120"/>
        <v>0</v>
      </c>
    </row>
    <row r="86" spans="2:121" x14ac:dyDescent="0.2">
      <c r="B86" s="29" t="s">
        <v>152</v>
      </c>
      <c r="N86" s="29">
        <v>-1423</v>
      </c>
      <c r="O86" s="29">
        <v>-603</v>
      </c>
      <c r="P86" s="29">
        <v>-1260</v>
      </c>
      <c r="Q86" s="29">
        <f>P86*1.01</f>
        <v>-1272.5999999999999</v>
      </c>
      <c r="R86" s="29">
        <f t="shared" ref="R86:V86" si="121">Q86*1.01</f>
        <v>-1285.326</v>
      </c>
      <c r="S86" s="29">
        <f t="shared" si="121"/>
        <v>-1298.1792600000001</v>
      </c>
      <c r="T86" s="29">
        <f t="shared" si="121"/>
        <v>-1311.1610526000002</v>
      </c>
      <c r="U86" s="29">
        <f t="shared" si="121"/>
        <v>-1324.2726631260002</v>
      </c>
      <c r="V86" s="29">
        <f t="shared" si="121"/>
        <v>-1337.5153897572602</v>
      </c>
    </row>
    <row r="87" spans="2:121" x14ac:dyDescent="0.2">
      <c r="B87" s="29" t="s">
        <v>96</v>
      </c>
      <c r="N87" s="29">
        <f>233-610</f>
        <v>-377</v>
      </c>
      <c r="O87" s="29">
        <f>300-667</f>
        <v>-367</v>
      </c>
      <c r="P87" s="29">
        <f>94+624</f>
        <v>718</v>
      </c>
      <c r="Q87" s="29">
        <v>0</v>
      </c>
      <c r="R87" s="29">
        <f t="shared" ref="R87:V87" si="122">Q87*1.01</f>
        <v>0</v>
      </c>
      <c r="S87" s="29">
        <f t="shared" si="122"/>
        <v>0</v>
      </c>
      <c r="T87" s="29">
        <f t="shared" si="122"/>
        <v>0</v>
      </c>
      <c r="U87" s="29">
        <f t="shared" si="122"/>
        <v>0</v>
      </c>
      <c r="V87" s="29">
        <f t="shared" si="122"/>
        <v>0</v>
      </c>
    </row>
    <row r="88" spans="2:121" x14ac:dyDescent="0.2">
      <c r="B88" s="29" t="s">
        <v>153</v>
      </c>
      <c r="N88" s="29">
        <f>SUM(N74:N87)</f>
        <v>13076</v>
      </c>
      <c r="O88" s="29">
        <f t="shared" ref="O88:P88" si="123">SUM(O74:O87)</f>
        <v>13860</v>
      </c>
      <c r="P88" s="29">
        <f t="shared" si="123"/>
        <v>15190</v>
      </c>
      <c r="Q88" s="29">
        <f>SUM(Q73:Q87)</f>
        <v>27567.560965540815</v>
      </c>
      <c r="R88" s="29">
        <f t="shared" ref="R88:V88" si="124">SUM(R73:R87)</f>
        <v>28739.610854234656</v>
      </c>
      <c r="S88" s="29">
        <f t="shared" si="124"/>
        <v>29387.454392383395</v>
      </c>
      <c r="T88" s="29">
        <f t="shared" si="124"/>
        <v>14683.232103930002</v>
      </c>
      <c r="U88" s="29">
        <f t="shared" si="124"/>
        <v>14988.785236367261</v>
      </c>
      <c r="V88" s="29">
        <f t="shared" si="124"/>
        <v>15525.566283279553</v>
      </c>
    </row>
    <row r="90" spans="2:121" x14ac:dyDescent="0.2">
      <c r="B90" s="29" t="s">
        <v>154</v>
      </c>
    </row>
    <row r="91" spans="2:121" x14ac:dyDescent="0.2">
      <c r="B91" s="29" t="s">
        <v>155</v>
      </c>
      <c r="N91" s="29">
        <v>-1118</v>
      </c>
      <c r="O91" s="29">
        <v>-1209</v>
      </c>
      <c r="P91" s="29">
        <v>-1248</v>
      </c>
      <c r="Q91" s="29">
        <f>P91*1.05</f>
        <v>-1310.4000000000001</v>
      </c>
      <c r="R91" s="29">
        <f t="shared" ref="R91:V91" si="125">Q91*1.05</f>
        <v>-1375.92</v>
      </c>
      <c r="S91" s="29">
        <f t="shared" si="125"/>
        <v>-1444.7160000000001</v>
      </c>
      <c r="T91" s="29">
        <f t="shared" si="125"/>
        <v>-1516.9518000000003</v>
      </c>
      <c r="U91" s="29">
        <f t="shared" si="125"/>
        <v>-1592.7993900000004</v>
      </c>
      <c r="V91" s="29">
        <f t="shared" si="125"/>
        <v>-1672.4393595000004</v>
      </c>
    </row>
    <row r="92" spans="2:121" x14ac:dyDescent="0.2">
      <c r="B92" s="29" t="s">
        <v>157</v>
      </c>
      <c r="P92" s="33"/>
      <c r="Q92" s="33"/>
    </row>
    <row r="93" spans="2:121" x14ac:dyDescent="0.2">
      <c r="B93" s="29" t="s">
        <v>156</v>
      </c>
    </row>
    <row r="95" spans="2:121" x14ac:dyDescent="0.2">
      <c r="B95" s="29" t="s">
        <v>158</v>
      </c>
      <c r="N95" s="29">
        <f>N88+N91</f>
        <v>11958</v>
      </c>
      <c r="O95" s="29">
        <f t="shared" ref="O95:V95" si="126">O88+O91</f>
        <v>12651</v>
      </c>
      <c r="P95" s="29">
        <f t="shared" si="126"/>
        <v>13942</v>
      </c>
      <c r="Q95" s="29">
        <f t="shared" si="126"/>
        <v>26257.160965540814</v>
      </c>
      <c r="R95" s="29">
        <f t="shared" si="126"/>
        <v>27363.690854234657</v>
      </c>
      <c r="S95" s="29">
        <f t="shared" si="126"/>
        <v>27942.738392383395</v>
      </c>
      <c r="T95" s="29">
        <f t="shared" si="126"/>
        <v>13166.280303930002</v>
      </c>
      <c r="U95" s="29">
        <f t="shared" si="126"/>
        <v>13395.985846367261</v>
      </c>
      <c r="V95" s="29">
        <f t="shared" si="126"/>
        <v>13853.126923779553</v>
      </c>
      <c r="W95" s="29">
        <f t="shared" ref="W95:BB95" si="127">V95*(1+$X$97)</f>
        <v>13853.126923779553</v>
      </c>
      <c r="X95" s="29">
        <f t="shared" si="127"/>
        <v>13853.126923779553</v>
      </c>
      <c r="Y95" s="29">
        <f t="shared" si="127"/>
        <v>13853.126923779553</v>
      </c>
      <c r="Z95" s="29">
        <f t="shared" si="127"/>
        <v>13853.126923779553</v>
      </c>
      <c r="AA95" s="29">
        <f t="shared" si="127"/>
        <v>13853.126923779553</v>
      </c>
      <c r="AB95" s="29">
        <f t="shared" si="127"/>
        <v>13853.126923779553</v>
      </c>
      <c r="AC95" s="29">
        <f t="shared" si="127"/>
        <v>13853.126923779553</v>
      </c>
      <c r="AD95" s="29">
        <f t="shared" si="127"/>
        <v>13853.126923779553</v>
      </c>
      <c r="AE95" s="29">
        <f t="shared" si="127"/>
        <v>13853.126923779553</v>
      </c>
      <c r="AF95" s="29">
        <f t="shared" si="127"/>
        <v>13853.126923779553</v>
      </c>
      <c r="AG95" s="29">
        <f t="shared" si="127"/>
        <v>13853.126923779553</v>
      </c>
      <c r="AH95" s="29">
        <f t="shared" si="127"/>
        <v>13853.126923779553</v>
      </c>
      <c r="AI95" s="29">
        <f t="shared" si="127"/>
        <v>13853.126923779553</v>
      </c>
      <c r="AJ95" s="29">
        <f t="shared" si="127"/>
        <v>13853.126923779553</v>
      </c>
      <c r="AK95" s="29">
        <f t="shared" si="127"/>
        <v>13853.126923779553</v>
      </c>
      <c r="AL95" s="29">
        <f t="shared" si="127"/>
        <v>13853.126923779553</v>
      </c>
      <c r="AM95" s="29">
        <f t="shared" si="127"/>
        <v>13853.126923779553</v>
      </c>
      <c r="AN95" s="29">
        <f t="shared" si="127"/>
        <v>13853.126923779553</v>
      </c>
      <c r="AO95" s="29">
        <f t="shared" si="127"/>
        <v>13853.126923779553</v>
      </c>
      <c r="AP95" s="29">
        <f t="shared" si="127"/>
        <v>13853.126923779553</v>
      </c>
      <c r="AQ95" s="29">
        <f t="shared" si="127"/>
        <v>13853.126923779553</v>
      </c>
      <c r="AR95" s="29">
        <f t="shared" si="127"/>
        <v>13853.126923779553</v>
      </c>
      <c r="AS95" s="29">
        <f t="shared" si="127"/>
        <v>13853.126923779553</v>
      </c>
      <c r="AT95" s="29">
        <f t="shared" si="127"/>
        <v>13853.126923779553</v>
      </c>
      <c r="AU95" s="29">
        <f t="shared" si="127"/>
        <v>13853.126923779553</v>
      </c>
      <c r="AV95" s="29">
        <f t="shared" si="127"/>
        <v>13853.126923779553</v>
      </c>
      <c r="AW95" s="29">
        <f t="shared" si="127"/>
        <v>13853.126923779553</v>
      </c>
      <c r="AX95" s="29">
        <f t="shared" si="127"/>
        <v>13853.126923779553</v>
      </c>
      <c r="AY95" s="29">
        <f t="shared" si="127"/>
        <v>13853.126923779553</v>
      </c>
      <c r="AZ95" s="29">
        <f t="shared" si="127"/>
        <v>13853.126923779553</v>
      </c>
      <c r="BA95" s="29">
        <f t="shared" si="127"/>
        <v>13853.126923779553</v>
      </c>
      <c r="BB95" s="29">
        <f t="shared" si="127"/>
        <v>13853.126923779553</v>
      </c>
      <c r="BC95" s="29">
        <f t="shared" ref="BC95:CH95" si="128">BB95*(1+$X$97)</f>
        <v>13853.126923779553</v>
      </c>
      <c r="BD95" s="29">
        <f t="shared" si="128"/>
        <v>13853.126923779553</v>
      </c>
      <c r="BE95" s="29">
        <f t="shared" si="128"/>
        <v>13853.126923779553</v>
      </c>
      <c r="BF95" s="29">
        <f t="shared" si="128"/>
        <v>13853.126923779553</v>
      </c>
      <c r="BG95" s="29">
        <f t="shared" si="128"/>
        <v>13853.126923779553</v>
      </c>
      <c r="BH95" s="29">
        <f t="shared" si="128"/>
        <v>13853.126923779553</v>
      </c>
      <c r="BI95" s="29">
        <f t="shared" si="128"/>
        <v>13853.126923779553</v>
      </c>
      <c r="BJ95" s="29">
        <f t="shared" si="128"/>
        <v>13853.126923779553</v>
      </c>
      <c r="BK95" s="29">
        <f t="shared" si="128"/>
        <v>13853.126923779553</v>
      </c>
      <c r="BL95" s="29">
        <f t="shared" si="128"/>
        <v>13853.126923779553</v>
      </c>
      <c r="BM95" s="29">
        <f t="shared" si="128"/>
        <v>13853.126923779553</v>
      </c>
      <c r="BN95" s="29">
        <f t="shared" si="128"/>
        <v>13853.126923779553</v>
      </c>
      <c r="BO95" s="29">
        <f t="shared" si="128"/>
        <v>13853.126923779553</v>
      </c>
      <c r="BP95" s="29">
        <f t="shared" si="128"/>
        <v>13853.126923779553</v>
      </c>
      <c r="BQ95" s="29">
        <f t="shared" si="128"/>
        <v>13853.126923779553</v>
      </c>
      <c r="BR95" s="29">
        <f t="shared" si="128"/>
        <v>13853.126923779553</v>
      </c>
      <c r="BS95" s="29">
        <f t="shared" si="128"/>
        <v>13853.126923779553</v>
      </c>
      <c r="BT95" s="29">
        <f t="shared" si="128"/>
        <v>13853.126923779553</v>
      </c>
      <c r="BU95" s="29">
        <f t="shared" si="128"/>
        <v>13853.126923779553</v>
      </c>
      <c r="BV95" s="29">
        <f t="shared" si="128"/>
        <v>13853.126923779553</v>
      </c>
      <c r="BW95" s="29">
        <f t="shared" si="128"/>
        <v>13853.126923779553</v>
      </c>
      <c r="BX95" s="29">
        <f t="shared" si="128"/>
        <v>13853.126923779553</v>
      </c>
      <c r="BY95" s="29">
        <f t="shared" si="128"/>
        <v>13853.126923779553</v>
      </c>
      <c r="BZ95" s="29">
        <f t="shared" si="128"/>
        <v>13853.126923779553</v>
      </c>
      <c r="CA95" s="29">
        <f t="shared" si="128"/>
        <v>13853.126923779553</v>
      </c>
      <c r="CB95" s="29">
        <f t="shared" si="128"/>
        <v>13853.126923779553</v>
      </c>
      <c r="CC95" s="29">
        <f t="shared" si="128"/>
        <v>13853.126923779553</v>
      </c>
      <c r="CD95" s="29">
        <f t="shared" si="128"/>
        <v>13853.126923779553</v>
      </c>
      <c r="CE95" s="29">
        <f t="shared" si="128"/>
        <v>13853.126923779553</v>
      </c>
      <c r="CF95" s="29">
        <f t="shared" si="128"/>
        <v>13853.126923779553</v>
      </c>
      <c r="CG95" s="29">
        <f t="shared" si="128"/>
        <v>13853.126923779553</v>
      </c>
      <c r="CH95" s="29">
        <f t="shared" si="128"/>
        <v>13853.126923779553</v>
      </c>
      <c r="CI95" s="29">
        <f t="shared" ref="CI95:DQ95" si="129">CH95*(1+$X$97)</f>
        <v>13853.126923779553</v>
      </c>
      <c r="CJ95" s="29">
        <f t="shared" si="129"/>
        <v>13853.126923779553</v>
      </c>
      <c r="CK95" s="29">
        <f t="shared" si="129"/>
        <v>13853.126923779553</v>
      </c>
      <c r="CL95" s="29">
        <f t="shared" si="129"/>
        <v>13853.126923779553</v>
      </c>
      <c r="CM95" s="29">
        <f t="shared" si="129"/>
        <v>13853.126923779553</v>
      </c>
      <c r="CN95" s="29">
        <f t="shared" si="129"/>
        <v>13853.126923779553</v>
      </c>
      <c r="CO95" s="29">
        <f t="shared" si="129"/>
        <v>13853.126923779553</v>
      </c>
      <c r="CP95" s="29">
        <f t="shared" si="129"/>
        <v>13853.126923779553</v>
      </c>
      <c r="CQ95" s="29">
        <f t="shared" si="129"/>
        <v>13853.126923779553</v>
      </c>
      <c r="CR95" s="29">
        <f t="shared" si="129"/>
        <v>13853.126923779553</v>
      </c>
      <c r="CS95" s="29">
        <f t="shared" si="129"/>
        <v>13853.126923779553</v>
      </c>
      <c r="CT95" s="29">
        <f t="shared" si="129"/>
        <v>13853.126923779553</v>
      </c>
      <c r="CU95" s="29">
        <f t="shared" si="129"/>
        <v>13853.126923779553</v>
      </c>
      <c r="CV95" s="29">
        <f t="shared" si="129"/>
        <v>13853.126923779553</v>
      </c>
      <c r="CW95" s="29">
        <f t="shared" si="129"/>
        <v>13853.126923779553</v>
      </c>
      <c r="CX95" s="29">
        <f t="shared" si="129"/>
        <v>13853.126923779553</v>
      </c>
      <c r="CY95" s="29">
        <f t="shared" si="129"/>
        <v>13853.126923779553</v>
      </c>
      <c r="CZ95" s="29">
        <f t="shared" si="129"/>
        <v>13853.126923779553</v>
      </c>
      <c r="DA95" s="29">
        <f t="shared" si="129"/>
        <v>13853.126923779553</v>
      </c>
      <c r="DB95" s="29">
        <f t="shared" si="129"/>
        <v>13853.126923779553</v>
      </c>
      <c r="DC95" s="29">
        <f t="shared" si="129"/>
        <v>13853.126923779553</v>
      </c>
      <c r="DD95" s="29">
        <f t="shared" si="129"/>
        <v>13853.126923779553</v>
      </c>
      <c r="DE95" s="29">
        <f t="shared" si="129"/>
        <v>13853.126923779553</v>
      </c>
      <c r="DF95" s="29">
        <f t="shared" si="129"/>
        <v>13853.126923779553</v>
      </c>
      <c r="DG95" s="29">
        <f t="shared" si="129"/>
        <v>13853.126923779553</v>
      </c>
      <c r="DH95" s="29">
        <f t="shared" si="129"/>
        <v>13853.126923779553</v>
      </c>
      <c r="DI95" s="29">
        <f t="shared" si="129"/>
        <v>13853.126923779553</v>
      </c>
      <c r="DJ95" s="29">
        <f t="shared" si="129"/>
        <v>13853.126923779553</v>
      </c>
      <c r="DK95" s="29">
        <f t="shared" si="129"/>
        <v>13853.126923779553</v>
      </c>
      <c r="DL95" s="29">
        <f t="shared" si="129"/>
        <v>13853.126923779553</v>
      </c>
      <c r="DM95" s="29">
        <f t="shared" si="129"/>
        <v>13853.126923779553</v>
      </c>
      <c r="DN95" s="29">
        <f t="shared" si="129"/>
        <v>13853.126923779553</v>
      </c>
      <c r="DO95" s="29">
        <f t="shared" si="129"/>
        <v>13853.126923779553</v>
      </c>
      <c r="DP95" s="29">
        <f t="shared" si="129"/>
        <v>13853.126923779553</v>
      </c>
      <c r="DQ95" s="29">
        <f t="shared" si="129"/>
        <v>13853.126923779553</v>
      </c>
    </row>
    <row r="97" spans="15:24" x14ac:dyDescent="0.2">
      <c r="O97" s="33"/>
      <c r="X97" s="33"/>
    </row>
    <row r="98" spans="15:24" x14ac:dyDescent="0.2">
      <c r="X98" s="33"/>
    </row>
    <row r="100" spans="15:24" x14ac:dyDescent="0.2">
      <c r="X100" s="32"/>
    </row>
    <row r="101" spans="15:24" x14ac:dyDescent="0.2">
      <c r="X101" s="33"/>
    </row>
  </sheetData>
  <hyperlinks>
    <hyperlink ref="A1" location="Main!A1" display="Main" xr:uid="{6D82F414-5457-4E9C-B6E0-97117D87A8AE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BCE6-9601-4370-A605-A8909A3D2703}">
  <dimension ref="A1:U42"/>
  <sheetViews>
    <sheetView topLeftCell="A25" zoomScale="160" zoomScaleNormal="160" workbookViewId="0">
      <selection activeCell="D43" sqref="D43"/>
    </sheetView>
  </sheetViews>
  <sheetFormatPr defaultRowHeight="12.75" x14ac:dyDescent="0.2"/>
  <cols>
    <col min="1" max="1" width="4.5703125" customWidth="1"/>
    <col min="2" max="2" width="14.28515625" customWidth="1"/>
    <col min="3" max="3" width="16.28515625" customWidth="1"/>
    <col min="5" max="5" width="11.140625" bestFit="1" customWidth="1"/>
  </cols>
  <sheetData>
    <row r="1" spans="1:3" x14ac:dyDescent="0.2">
      <c r="A1" s="22" t="s">
        <v>16</v>
      </c>
    </row>
    <row r="2" spans="1:3" x14ac:dyDescent="0.2">
      <c r="B2" t="s">
        <v>133</v>
      </c>
    </row>
    <row r="3" spans="1:3" x14ac:dyDescent="0.2">
      <c r="B3" t="s">
        <v>134</v>
      </c>
      <c r="C3" t="s">
        <v>78</v>
      </c>
    </row>
    <row r="4" spans="1:3" x14ac:dyDescent="0.2">
      <c r="B4" t="s">
        <v>0</v>
      </c>
      <c r="C4" t="s">
        <v>137</v>
      </c>
    </row>
    <row r="5" spans="1:3" x14ac:dyDescent="0.2">
      <c r="B5" t="s">
        <v>1</v>
      </c>
      <c r="C5" t="s">
        <v>139</v>
      </c>
    </row>
    <row r="6" spans="1:3" x14ac:dyDescent="0.2">
      <c r="B6" t="s">
        <v>2</v>
      </c>
      <c r="C6" s="23" t="s">
        <v>164</v>
      </c>
    </row>
    <row r="7" spans="1:3" x14ac:dyDescent="0.2">
      <c r="B7" t="s">
        <v>132</v>
      </c>
    </row>
    <row r="8" spans="1:3" x14ac:dyDescent="0.2">
      <c r="B8" t="s">
        <v>135</v>
      </c>
      <c r="C8" t="s">
        <v>142</v>
      </c>
    </row>
    <row r="9" spans="1:3" x14ac:dyDescent="0.2">
      <c r="B9" t="s">
        <v>125</v>
      </c>
    </row>
    <row r="10" spans="1:3" x14ac:dyDescent="0.2">
      <c r="C10" s="24" t="s">
        <v>126</v>
      </c>
    </row>
    <row r="15" spans="1:3" x14ac:dyDescent="0.2">
      <c r="C15" s="24" t="s">
        <v>127</v>
      </c>
    </row>
    <row r="23" spans="1:1" s="23" customFormat="1" x14ac:dyDescent="0.2">
      <c r="A23"/>
    </row>
    <row r="34" spans="1:21" x14ac:dyDescent="0.2">
      <c r="C34">
        <v>2024</v>
      </c>
      <c r="D34">
        <f>C34+1</f>
        <v>2025</v>
      </c>
      <c r="E34">
        <f t="shared" ref="E34:M34" si="0">D34+1</f>
        <v>2026</v>
      </c>
      <c r="F34">
        <f t="shared" si="0"/>
        <v>2027</v>
      </c>
      <c r="G34">
        <f t="shared" si="0"/>
        <v>2028</v>
      </c>
      <c r="H34">
        <f t="shared" si="0"/>
        <v>2029</v>
      </c>
      <c r="I34">
        <f t="shared" si="0"/>
        <v>2030</v>
      </c>
      <c r="J34">
        <f t="shared" si="0"/>
        <v>2031</v>
      </c>
      <c r="K34">
        <f t="shared" si="0"/>
        <v>2032</v>
      </c>
      <c r="L34">
        <f t="shared" si="0"/>
        <v>2033</v>
      </c>
      <c r="M34">
        <f t="shared" si="0"/>
        <v>2034</v>
      </c>
      <c r="N34">
        <f t="shared" ref="N34" si="1">M34+1</f>
        <v>2035</v>
      </c>
      <c r="O34">
        <f t="shared" ref="O34" si="2">N34+1</f>
        <v>2036</v>
      </c>
      <c r="P34">
        <f t="shared" ref="P34" si="3">O34+1</f>
        <v>2037</v>
      </c>
      <c r="Q34">
        <f t="shared" ref="Q34" si="4">P34+1</f>
        <v>2038</v>
      </c>
      <c r="R34">
        <f t="shared" ref="R34" si="5">Q34+1</f>
        <v>2039</v>
      </c>
      <c r="S34">
        <f t="shared" ref="S34" si="6">R34+1</f>
        <v>2040</v>
      </c>
      <c r="T34">
        <f t="shared" ref="T34:U34" si="7">S34+1</f>
        <v>2041</v>
      </c>
      <c r="U34">
        <f t="shared" si="7"/>
        <v>2042</v>
      </c>
    </row>
    <row r="35" spans="1:21" x14ac:dyDescent="0.2">
      <c r="B35" t="s">
        <v>140</v>
      </c>
      <c r="C35" s="1">
        <v>18228</v>
      </c>
      <c r="D35" s="1">
        <f>C35*1.03</f>
        <v>18774.84</v>
      </c>
      <c r="E35" s="1">
        <f t="shared" ref="E35:M35" si="8">D35*1.03</f>
        <v>19338.085200000001</v>
      </c>
      <c r="F35" s="1">
        <f t="shared" si="8"/>
        <v>19918.227756</v>
      </c>
      <c r="G35" s="1">
        <f t="shared" si="8"/>
        <v>20515.77458868</v>
      </c>
      <c r="H35" s="1">
        <f t="shared" si="8"/>
        <v>21131.247826340401</v>
      </c>
      <c r="I35" s="1">
        <f t="shared" si="8"/>
        <v>21765.185261130613</v>
      </c>
      <c r="J35" s="1">
        <f t="shared" si="8"/>
        <v>22418.140818964534</v>
      </c>
      <c r="K35" s="1">
        <f t="shared" si="8"/>
        <v>23090.685043533471</v>
      </c>
      <c r="L35" s="1">
        <f t="shared" si="8"/>
        <v>23783.405594839474</v>
      </c>
      <c r="M35" s="1">
        <f t="shared" si="8"/>
        <v>24496.907762684659</v>
      </c>
      <c r="N35" s="1">
        <f t="shared" ref="N35" si="9">M35*1.03</f>
        <v>25231.814995565201</v>
      </c>
      <c r="O35" s="1">
        <f t="shared" ref="O35" si="10">N35*1.03</f>
        <v>25988.769445432157</v>
      </c>
      <c r="P35" s="1">
        <f t="shared" ref="P35" si="11">O35*1.03</f>
        <v>26768.432528795121</v>
      </c>
      <c r="Q35" s="1">
        <f t="shared" ref="Q35" si="12">P35*1.03</f>
        <v>27571.485504658976</v>
      </c>
      <c r="R35" s="1">
        <f t="shared" ref="R35" si="13">Q35*1.03</f>
        <v>28398.630069798746</v>
      </c>
      <c r="S35" s="1">
        <f t="shared" ref="S35" si="14">R35*1.03</f>
        <v>29250.58897189271</v>
      </c>
      <c r="T35" s="1">
        <f t="shared" ref="T35" si="15">S35*1.03</f>
        <v>30128.106641049493</v>
      </c>
      <c r="U35" s="1">
        <f t="shared" ref="U35" si="16">T35*1.03</f>
        <v>31031.94984028098</v>
      </c>
    </row>
    <row r="36" spans="1:21" x14ac:dyDescent="0.2">
      <c r="B36" t="s">
        <v>141</v>
      </c>
      <c r="C36" s="1">
        <v>18228</v>
      </c>
      <c r="D36" s="1">
        <f>D35</f>
        <v>18774.84</v>
      </c>
      <c r="E36" s="1">
        <f t="shared" ref="E36:M36" si="17">E35</f>
        <v>19338.085200000001</v>
      </c>
      <c r="F36" s="1">
        <f t="shared" si="17"/>
        <v>19918.227756</v>
      </c>
      <c r="G36" s="1">
        <f t="shared" si="17"/>
        <v>20515.77458868</v>
      </c>
      <c r="H36" s="1">
        <f t="shared" si="17"/>
        <v>21131.247826340401</v>
      </c>
      <c r="I36" s="1">
        <f t="shared" si="17"/>
        <v>21765.185261130613</v>
      </c>
      <c r="J36" s="1">
        <f t="shared" si="17"/>
        <v>22418.140818964534</v>
      </c>
      <c r="K36" s="1">
        <f t="shared" si="17"/>
        <v>23090.685043533471</v>
      </c>
      <c r="L36" s="1">
        <f t="shared" si="17"/>
        <v>23783.405594839474</v>
      </c>
      <c r="M36" s="1">
        <f t="shared" si="17"/>
        <v>24496.907762684659</v>
      </c>
      <c r="N36" s="1">
        <f t="shared" ref="N36:Q36" si="18">N35</f>
        <v>25231.814995565201</v>
      </c>
      <c r="O36" s="1">
        <f t="shared" si="18"/>
        <v>25988.769445432157</v>
      </c>
      <c r="P36" s="1">
        <f t="shared" si="18"/>
        <v>26768.432528795121</v>
      </c>
      <c r="Q36" s="1">
        <f t="shared" si="18"/>
        <v>27571.485504658976</v>
      </c>
      <c r="R36" s="1">
        <f t="shared" ref="R36:U36" si="19">R35</f>
        <v>28398.630069798746</v>
      </c>
      <c r="S36" s="1">
        <f t="shared" si="19"/>
        <v>29250.58897189271</v>
      </c>
      <c r="T36" s="1">
        <f t="shared" si="19"/>
        <v>30128.106641049493</v>
      </c>
      <c r="U36" s="1">
        <f t="shared" si="19"/>
        <v>31031.94984028098</v>
      </c>
    </row>
    <row r="37" spans="1:21" x14ac:dyDescent="0.2">
      <c r="B37" t="s">
        <v>4</v>
      </c>
      <c r="C37" s="1"/>
      <c r="D37" s="1"/>
      <c r="E37" s="1"/>
      <c r="F37" s="1"/>
      <c r="G37" s="1">
        <v>60000</v>
      </c>
      <c r="H37" s="1">
        <v>60000</v>
      </c>
      <c r="I37" s="1">
        <v>60000</v>
      </c>
      <c r="J37" s="1">
        <v>60000</v>
      </c>
      <c r="K37" s="1">
        <v>60000</v>
      </c>
      <c r="L37" s="1">
        <v>60000</v>
      </c>
      <c r="M37" s="1">
        <v>60000</v>
      </c>
      <c r="N37" s="1">
        <v>60000</v>
      </c>
      <c r="O37" s="1">
        <v>60000</v>
      </c>
      <c r="P37" s="1">
        <v>60000</v>
      </c>
      <c r="Q37" s="1">
        <v>60000</v>
      </c>
      <c r="R37" s="1">
        <v>60000</v>
      </c>
      <c r="S37" s="1">
        <v>60000</v>
      </c>
      <c r="T37" s="1">
        <v>60000</v>
      </c>
      <c r="U37" s="1">
        <v>60000</v>
      </c>
    </row>
    <row r="38" spans="1:21" s="23" customFormat="1" x14ac:dyDescent="0.2">
      <c r="A38"/>
      <c r="B38" s="23" t="s">
        <v>17</v>
      </c>
      <c r="C38" s="4">
        <f>C36*C37/1000000</f>
        <v>0</v>
      </c>
      <c r="D38" s="4">
        <f t="shared" ref="D38:E38" si="20">D36*D37/1000000</f>
        <v>0</v>
      </c>
      <c r="E38" s="4">
        <f t="shared" si="20"/>
        <v>0</v>
      </c>
      <c r="F38" s="4">
        <f>F36*F37/1000000</f>
        <v>0</v>
      </c>
      <c r="G38" s="4">
        <v>32</v>
      </c>
      <c r="H38" s="4">
        <f>G38*1.06</f>
        <v>33.92</v>
      </c>
      <c r="I38" s="4">
        <f t="shared" ref="I38:U38" si="21">H38*1.06</f>
        <v>35.955200000000005</v>
      </c>
      <c r="J38" s="4">
        <f t="shared" si="21"/>
        <v>38.112512000000009</v>
      </c>
      <c r="K38" s="4">
        <f t="shared" si="21"/>
        <v>40.39926272000001</v>
      </c>
      <c r="L38" s="4">
        <f t="shared" si="21"/>
        <v>42.823218483200016</v>
      </c>
      <c r="M38" s="4">
        <f t="shared" si="21"/>
        <v>45.392611592192019</v>
      </c>
      <c r="N38" s="4">
        <f t="shared" si="21"/>
        <v>48.116168287723539</v>
      </c>
      <c r="O38" s="4">
        <f t="shared" si="21"/>
        <v>51.003138384986954</v>
      </c>
      <c r="P38" s="4">
        <f t="shared" si="21"/>
        <v>54.063326688086171</v>
      </c>
      <c r="Q38" s="4">
        <f t="shared" si="21"/>
        <v>57.307126289371347</v>
      </c>
      <c r="R38" s="4">
        <f t="shared" si="21"/>
        <v>60.74555386673363</v>
      </c>
      <c r="S38" s="4">
        <f t="shared" si="21"/>
        <v>64.390287098737645</v>
      </c>
      <c r="T38" s="4">
        <f t="shared" si="21"/>
        <v>68.253704324661911</v>
      </c>
      <c r="U38" s="4">
        <f t="shared" si="21"/>
        <v>72.348926584141623</v>
      </c>
    </row>
    <row r="40" spans="1:21" x14ac:dyDescent="0.2">
      <c r="B40" t="s">
        <v>143</v>
      </c>
      <c r="D40" s="1"/>
      <c r="E40" s="1">
        <f>E38</f>
        <v>0</v>
      </c>
      <c r="F40" s="1">
        <f>F38</f>
        <v>0</v>
      </c>
      <c r="G40" s="1">
        <f>F40+G38</f>
        <v>32</v>
      </c>
      <c r="H40" s="1">
        <f t="shared" ref="H40:M40" si="22">G40+H38</f>
        <v>65.92</v>
      </c>
      <c r="I40" s="1">
        <f t="shared" si="22"/>
        <v>101.87520000000001</v>
      </c>
      <c r="J40" s="1">
        <f t="shared" si="22"/>
        <v>139.98771200000002</v>
      </c>
      <c r="K40" s="1">
        <f t="shared" si="22"/>
        <v>180.38697472000001</v>
      </c>
      <c r="L40" s="1">
        <f t="shared" si="22"/>
        <v>223.21019320320002</v>
      </c>
      <c r="M40" s="1">
        <f t="shared" si="22"/>
        <v>268.60280479539205</v>
      </c>
      <c r="N40" s="1">
        <f t="shared" ref="N40" si="23">M40+N38</f>
        <v>316.7189730831156</v>
      </c>
      <c r="O40" s="1">
        <f t="shared" ref="O40" si="24">N40+O38</f>
        <v>367.72211146810253</v>
      </c>
      <c r="P40" s="1">
        <f t="shared" ref="P40" si="25">O40+P38</f>
        <v>421.78543815618872</v>
      </c>
      <c r="Q40" s="1">
        <f t="shared" ref="Q40" si="26">P40+Q38</f>
        <v>479.09256444556007</v>
      </c>
      <c r="R40" s="1">
        <f t="shared" ref="R40" si="27">Q40+R38</f>
        <v>539.83811831229366</v>
      </c>
      <c r="S40" s="1">
        <f t="shared" ref="S40" si="28">R40+S38</f>
        <v>604.2284054110313</v>
      </c>
      <c r="T40" s="1">
        <f t="shared" ref="T40" si="29">S40+T38</f>
        <v>672.48210973569326</v>
      </c>
      <c r="U40" s="1">
        <f t="shared" ref="U40" si="30">T40+U38</f>
        <v>744.83103631983488</v>
      </c>
    </row>
    <row r="41" spans="1:21" x14ac:dyDescent="0.2">
      <c r="D41" t="s">
        <v>55</v>
      </c>
      <c r="E41" s="3">
        <v>0.08</v>
      </c>
    </row>
    <row r="42" spans="1:21" x14ac:dyDescent="0.2">
      <c r="D42" t="s">
        <v>56</v>
      </c>
      <c r="E42" s="5">
        <f>NPV(E41,D38:U38)</f>
        <v>310.55340796281132</v>
      </c>
    </row>
  </sheetData>
  <hyperlinks>
    <hyperlink ref="A1" location="Main!A1" display="Main" xr:uid="{407F59EE-6A88-4EB1-BA5E-F70DAC644D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D6E9-6B1A-4B83-87D9-0D9C0B0F0575}">
  <dimension ref="D15:R21"/>
  <sheetViews>
    <sheetView topLeftCell="A7" zoomScale="160" zoomScaleNormal="160" workbookViewId="0">
      <selection activeCell="I16" sqref="I16"/>
    </sheetView>
  </sheetViews>
  <sheetFormatPr defaultRowHeight="12.75" x14ac:dyDescent="0.2"/>
  <cols>
    <col min="7" max="7" width="9.7109375" bestFit="1" customWidth="1"/>
  </cols>
  <sheetData>
    <row r="15" spans="5:18" x14ac:dyDescent="0.2">
      <c r="F15">
        <v>2025</v>
      </c>
      <c r="G15">
        <f>F15+1</f>
        <v>2026</v>
      </c>
      <c r="H15">
        <f>G15+1</f>
        <v>2027</v>
      </c>
      <c r="I15">
        <f t="shared" ref="I15:R15" si="0">H15+1</f>
        <v>2028</v>
      </c>
      <c r="J15">
        <f t="shared" si="0"/>
        <v>2029</v>
      </c>
      <c r="K15">
        <f t="shared" si="0"/>
        <v>2030</v>
      </c>
      <c r="L15">
        <f t="shared" si="0"/>
        <v>2031</v>
      </c>
      <c r="M15">
        <f t="shared" si="0"/>
        <v>2032</v>
      </c>
      <c r="N15">
        <f t="shared" si="0"/>
        <v>2033</v>
      </c>
      <c r="O15">
        <f t="shared" si="0"/>
        <v>2034</v>
      </c>
      <c r="P15">
        <f t="shared" si="0"/>
        <v>2035</v>
      </c>
      <c r="Q15">
        <f t="shared" si="0"/>
        <v>2036</v>
      </c>
      <c r="R15">
        <f t="shared" si="0"/>
        <v>2037</v>
      </c>
    </row>
    <row r="16" spans="5:18" x14ac:dyDescent="0.2">
      <c r="E16" t="s">
        <v>182</v>
      </c>
      <c r="F16" s="1">
        <v>6800</v>
      </c>
      <c r="G16">
        <f>F16*1.03</f>
        <v>7004</v>
      </c>
      <c r="H16">
        <f t="shared" ref="H16:R16" si="1">G16*1.03</f>
        <v>7214.12</v>
      </c>
      <c r="I16">
        <f t="shared" si="1"/>
        <v>7430.5436</v>
      </c>
      <c r="J16">
        <f t="shared" si="1"/>
        <v>7653.4599079999998</v>
      </c>
      <c r="K16">
        <f t="shared" si="1"/>
        <v>7883.0637052399998</v>
      </c>
      <c r="L16">
        <f t="shared" si="1"/>
        <v>8119.5556163971996</v>
      </c>
      <c r="M16">
        <f t="shared" si="1"/>
        <v>8363.1422848891161</v>
      </c>
      <c r="N16">
        <f t="shared" si="1"/>
        <v>8614.0365534357898</v>
      </c>
      <c r="O16">
        <f t="shared" si="1"/>
        <v>8872.457650038863</v>
      </c>
      <c r="P16">
        <f t="shared" si="1"/>
        <v>9138.6313795400292</v>
      </c>
      <c r="Q16">
        <f t="shared" si="1"/>
        <v>9412.7903209262295</v>
      </c>
      <c r="R16">
        <f t="shared" si="1"/>
        <v>9695.174030554017</v>
      </c>
    </row>
    <row r="17" spans="4:18" x14ac:dyDescent="0.2">
      <c r="E17" t="s">
        <v>183</v>
      </c>
      <c r="H17" s="3">
        <v>0.2</v>
      </c>
      <c r="I17" s="3">
        <f>H17*1.05</f>
        <v>0.21000000000000002</v>
      </c>
      <c r="J17" s="3">
        <f t="shared" ref="J17:R17" si="2">I17*1.05</f>
        <v>0.22050000000000003</v>
      </c>
      <c r="K17" s="3">
        <f t="shared" si="2"/>
        <v>0.23152500000000004</v>
      </c>
      <c r="L17" s="3">
        <f t="shared" si="2"/>
        <v>0.24310125000000005</v>
      </c>
      <c r="M17" s="3">
        <f t="shared" si="2"/>
        <v>0.25525631250000008</v>
      </c>
      <c r="N17" s="3">
        <f t="shared" si="2"/>
        <v>0.26801912812500012</v>
      </c>
      <c r="O17" s="3">
        <f t="shared" si="2"/>
        <v>0.28142008453125011</v>
      </c>
      <c r="P17" s="3">
        <f t="shared" si="2"/>
        <v>0.29549108875781266</v>
      </c>
      <c r="Q17" s="3">
        <f t="shared" si="2"/>
        <v>0.31026564319570332</v>
      </c>
      <c r="R17" s="3">
        <f t="shared" si="2"/>
        <v>0.32577892535548852</v>
      </c>
    </row>
    <row r="18" spans="4:18" x14ac:dyDescent="0.2">
      <c r="H18">
        <f>H17*0.65*H16</f>
        <v>937.8356</v>
      </c>
      <c r="I18">
        <f t="shared" ref="I18:R18" si="3">I17*0.65*I16</f>
        <v>1014.2692014</v>
      </c>
      <c r="J18">
        <f t="shared" si="3"/>
        <v>1096.9321413141001</v>
      </c>
      <c r="K18">
        <f t="shared" si="3"/>
        <v>1186.3321108311993</v>
      </c>
      <c r="L18">
        <f t="shared" si="3"/>
        <v>1283.0181778639421</v>
      </c>
      <c r="M18">
        <f t="shared" si="3"/>
        <v>1387.5841593598536</v>
      </c>
      <c r="N18">
        <f t="shared" si="3"/>
        <v>1500.6722683476819</v>
      </c>
      <c r="O18">
        <f t="shared" si="3"/>
        <v>1622.9770582180179</v>
      </c>
      <c r="P18">
        <f t="shared" si="3"/>
        <v>1755.2496884627867</v>
      </c>
      <c r="Q18">
        <f t="shared" si="3"/>
        <v>1898.3025380725037</v>
      </c>
      <c r="R18">
        <f t="shared" si="3"/>
        <v>2053.0141949254134</v>
      </c>
    </row>
    <row r="20" spans="4:18" x14ac:dyDescent="0.2">
      <c r="G20" s="3">
        <v>0.08</v>
      </c>
    </row>
    <row r="21" spans="4:18" x14ac:dyDescent="0.2">
      <c r="D21">
        <v>0.65</v>
      </c>
      <c r="G21" s="5">
        <f>NPV(G20,H18:R18)</f>
        <v>9618.6399547615893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BFFF-23F7-4250-98E2-0308176EE937}">
  <dimension ref="D22"/>
  <sheetViews>
    <sheetView zoomScale="160" zoomScaleNormal="160" workbookViewId="0">
      <selection activeCell="D23" sqref="D23"/>
    </sheetView>
  </sheetViews>
  <sheetFormatPr defaultRowHeight="12.75" x14ac:dyDescent="0.2"/>
  <sheetData>
    <row r="22" spans="4:4" x14ac:dyDescent="0.2">
      <c r="D22">
        <v>0.35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32A0-B85E-4CF7-9679-06AA2A9472C3}">
  <dimension ref="E18"/>
  <sheetViews>
    <sheetView zoomScale="160" zoomScaleNormal="160" workbookViewId="0">
      <selection activeCell="E19" sqref="E19"/>
    </sheetView>
  </sheetViews>
  <sheetFormatPr defaultRowHeight="12.75" x14ac:dyDescent="0.2"/>
  <sheetData>
    <row r="18" spans="5:5" x14ac:dyDescent="0.2">
      <c r="E18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6C4-18A0-4F0B-B397-6850CA37EFFA}">
  <dimension ref="D17"/>
  <sheetViews>
    <sheetView zoomScale="160" zoomScaleNormal="160" workbookViewId="0">
      <selection activeCell="D18" sqref="D18"/>
    </sheetView>
  </sheetViews>
  <sheetFormatPr defaultRowHeight="12.75" x14ac:dyDescent="0.2"/>
  <sheetData>
    <row r="17" spans="4:4" x14ac:dyDescent="0.2">
      <c r="D17">
        <v>0.45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5244-3F4B-4488-9088-22017DC86882}">
  <dimension ref="D12:R18"/>
  <sheetViews>
    <sheetView zoomScale="160" zoomScaleNormal="160" workbookViewId="0">
      <selection activeCell="I15" sqref="I15"/>
    </sheetView>
  </sheetViews>
  <sheetFormatPr defaultRowHeight="12.75" x14ac:dyDescent="0.2"/>
  <cols>
    <col min="7" max="7" width="9.7109375" bestFit="1" customWidth="1"/>
  </cols>
  <sheetData>
    <row r="12" spans="4:18" x14ac:dyDescent="0.2">
      <c r="F12">
        <v>2025</v>
      </c>
      <c r="G12">
        <f>F12+1</f>
        <v>2026</v>
      </c>
      <c r="H12">
        <f t="shared" ref="H12:R12" si="0">G12+1</f>
        <v>2027</v>
      </c>
      <c r="I12">
        <f t="shared" si="0"/>
        <v>2028</v>
      </c>
      <c r="J12">
        <f t="shared" si="0"/>
        <v>2029</v>
      </c>
      <c r="K12">
        <f t="shared" si="0"/>
        <v>2030</v>
      </c>
      <c r="L12">
        <f t="shared" si="0"/>
        <v>2031</v>
      </c>
      <c r="M12">
        <f t="shared" si="0"/>
        <v>2032</v>
      </c>
      <c r="N12">
        <f t="shared" si="0"/>
        <v>2033</v>
      </c>
      <c r="O12">
        <f t="shared" si="0"/>
        <v>2034</v>
      </c>
      <c r="P12">
        <f t="shared" si="0"/>
        <v>2035</v>
      </c>
      <c r="Q12">
        <f t="shared" si="0"/>
        <v>2036</v>
      </c>
      <c r="R12">
        <f t="shared" si="0"/>
        <v>2037</v>
      </c>
    </row>
    <row r="14" spans="4:18" x14ac:dyDescent="0.2">
      <c r="I14">
        <v>230</v>
      </c>
      <c r="J14">
        <f>I14*1.05</f>
        <v>241.5</v>
      </c>
      <c r="K14">
        <f t="shared" ref="K14:R14" si="1">J14*1.05</f>
        <v>253.57500000000002</v>
      </c>
      <c r="L14">
        <f t="shared" si="1"/>
        <v>266.25375000000003</v>
      </c>
      <c r="M14">
        <f t="shared" si="1"/>
        <v>279.56643750000006</v>
      </c>
      <c r="N14">
        <f t="shared" si="1"/>
        <v>293.54475937500007</v>
      </c>
      <c r="O14">
        <f t="shared" si="1"/>
        <v>308.2219973437501</v>
      </c>
      <c r="P14">
        <f t="shared" si="1"/>
        <v>323.63309721093765</v>
      </c>
      <c r="Q14">
        <f t="shared" si="1"/>
        <v>339.81475207148452</v>
      </c>
      <c r="R14">
        <f t="shared" si="1"/>
        <v>356.80548967505877</v>
      </c>
    </row>
    <row r="15" spans="4:18" x14ac:dyDescent="0.2">
      <c r="I15">
        <f>I14*0.32</f>
        <v>73.600000000000009</v>
      </c>
      <c r="J15">
        <f t="shared" ref="J15:R15" si="2">J14*0.32</f>
        <v>77.28</v>
      </c>
      <c r="K15">
        <f t="shared" si="2"/>
        <v>81.144000000000005</v>
      </c>
      <c r="L15">
        <f t="shared" si="2"/>
        <v>85.201200000000014</v>
      </c>
      <c r="M15">
        <f t="shared" si="2"/>
        <v>89.461260000000024</v>
      </c>
      <c r="N15">
        <f t="shared" si="2"/>
        <v>93.93432300000002</v>
      </c>
      <c r="O15">
        <f t="shared" si="2"/>
        <v>98.631039150000035</v>
      </c>
      <c r="P15">
        <f t="shared" si="2"/>
        <v>103.56259110750005</v>
      </c>
      <c r="Q15">
        <f t="shared" si="2"/>
        <v>108.74072066287505</v>
      </c>
      <c r="R15">
        <f t="shared" si="2"/>
        <v>114.1777566960188</v>
      </c>
    </row>
    <row r="16" spans="4:18" x14ac:dyDescent="0.2">
      <c r="D16">
        <v>0.32</v>
      </c>
    </row>
    <row r="17" spans="7:7" x14ac:dyDescent="0.2">
      <c r="G17" s="3">
        <v>0.08</v>
      </c>
    </row>
    <row r="18" spans="7:7" x14ac:dyDescent="0.2">
      <c r="G18" s="5">
        <f>NPV(G17,I15:R15)</f>
        <v>602.30956483336547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08E0-BB39-4BA0-A35F-A5A9823115D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golcadomide</vt:lpstr>
      <vt:lpstr>BMS-986365</vt:lpstr>
      <vt:lpstr>iberdomide</vt:lpstr>
      <vt:lpstr>obexlimab</vt:lpstr>
      <vt:lpstr>milvexian</vt:lpstr>
      <vt:lpstr>admilparant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2025-06-04T23:01:08Z</dcterms:created>
  <dcterms:modified xsi:type="dcterms:W3CDTF">2025-08-16T02:34:16Z</dcterms:modified>
</cp:coreProperties>
</file>