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2BF6A43-0D93-4968-8275-762C1149FBF6}" xr6:coauthVersionLast="47" xr6:coauthVersionMax="47" xr10:uidLastSave="{00000000-0000-0000-0000-000000000000}"/>
  <bookViews>
    <workbookView xWindow="3570" yWindow="465" windowWidth="21750" windowHeight="15015" activeTab="2" xr2:uid="{0B35871E-4663-488C-B05C-A1B5B9C863D7}"/>
  </bookViews>
  <sheets>
    <sheet name="Main" sheetId="1" r:id="rId1"/>
    <sheet name="Model" sheetId="2" r:id="rId2"/>
    <sheet name="Literature" sheetId="17" r:id="rId3"/>
    <sheet name="IP" sheetId="5" r:id="rId4"/>
    <sheet name="Trials" sheetId="4" r:id="rId5"/>
    <sheet name="GLP-1s" sheetId="3" r:id="rId6"/>
    <sheet name="Mounjaro-Zepbound" sheetId="6" r:id="rId7"/>
    <sheet name="Trulicity" sheetId="7" r:id="rId8"/>
    <sheet name="Kisunla" sheetId="8" r:id="rId9"/>
    <sheet name="orforglipron" sheetId="10" r:id="rId10"/>
    <sheet name="retratrutide" sheetId="11" r:id="rId11"/>
    <sheet name="imlunestrant" sheetId="12" r:id="rId12"/>
    <sheet name="lebrikizumab" sheetId="13" r:id="rId13"/>
    <sheet name="lepodisiran" sheetId="14" r:id="rId14"/>
    <sheet name="mirikizumab" sheetId="15" r:id="rId15"/>
    <sheet name="olomorasib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J27" i="2"/>
  <c r="U20" i="2"/>
  <c r="V20" i="2"/>
  <c r="F25" i="2"/>
  <c r="F22" i="2"/>
  <c r="E25" i="2"/>
  <c r="E22" i="2"/>
  <c r="D25" i="2"/>
  <c r="D22" i="2"/>
  <c r="D35" i="2" s="1"/>
  <c r="J25" i="2"/>
  <c r="J22" i="2"/>
  <c r="I25" i="2"/>
  <c r="H25" i="2"/>
  <c r="I22" i="2"/>
  <c r="I26" i="2" s="1"/>
  <c r="I28" i="2" s="1"/>
  <c r="I30" i="2" s="1"/>
  <c r="I32" i="2" s="1"/>
  <c r="H22" i="2"/>
  <c r="H26" i="2" s="1"/>
  <c r="H28" i="2" s="1"/>
  <c r="H30" i="2" s="1"/>
  <c r="H32" i="2" s="1"/>
  <c r="C38" i="2"/>
  <c r="C25" i="2"/>
  <c r="C22" i="2"/>
  <c r="D38" i="2"/>
  <c r="E38" i="2"/>
  <c r="F38" i="2"/>
  <c r="Q36" i="2"/>
  <c r="R36" i="2"/>
  <c r="S36" i="2"/>
  <c r="T36" i="2"/>
  <c r="U36" i="2"/>
  <c r="V36" i="2"/>
  <c r="P38" i="2"/>
  <c r="Q38" i="2"/>
  <c r="Q34" i="2"/>
  <c r="R34" i="2"/>
  <c r="P25" i="2"/>
  <c r="Q25" i="2"/>
  <c r="P22" i="2"/>
  <c r="P35" i="2" s="1"/>
  <c r="Q22" i="2"/>
  <c r="Q35" i="2" s="1"/>
  <c r="R2" i="2"/>
  <c r="M20" i="2"/>
  <c r="N20" i="2" s="1"/>
  <c r="L53" i="2"/>
  <c r="L63" i="2" s="1"/>
  <c r="L39" i="2"/>
  <c r="L51" i="2" s="1"/>
  <c r="F24" i="6"/>
  <c r="G24" i="6"/>
  <c r="H24" i="6"/>
  <c r="I24" i="6"/>
  <c r="J24" i="6"/>
  <c r="J26" i="6" s="1"/>
  <c r="D29" i="6" s="1"/>
  <c r="D31" i="6" s="1"/>
  <c r="K24" i="6"/>
  <c r="K26" i="6" s="1"/>
  <c r="L24" i="6"/>
  <c r="M24" i="6"/>
  <c r="N24" i="6"/>
  <c r="O24" i="6"/>
  <c r="P24" i="6"/>
  <c r="Q24" i="6"/>
  <c r="R24" i="6"/>
  <c r="D26" i="6"/>
  <c r="E26" i="6"/>
  <c r="F26" i="6"/>
  <c r="G26" i="6"/>
  <c r="H26" i="6"/>
  <c r="I26" i="6"/>
  <c r="L26" i="6"/>
  <c r="M26" i="6"/>
  <c r="N26" i="6"/>
  <c r="O26" i="6"/>
  <c r="P26" i="6"/>
  <c r="Q26" i="6"/>
  <c r="R26" i="6"/>
  <c r="E24" i="6"/>
  <c r="D24" i="6"/>
  <c r="C24" i="6"/>
  <c r="C26" i="6" s="1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D23" i="6"/>
  <c r="Q22" i="6"/>
  <c r="R22" i="6"/>
  <c r="N22" i="6"/>
  <c r="O22" i="6"/>
  <c r="P22" i="6"/>
  <c r="E22" i="6"/>
  <c r="F22" i="6"/>
  <c r="G22" i="6"/>
  <c r="H22" i="6" s="1"/>
  <c r="I22" i="6" s="1"/>
  <c r="J22" i="6" s="1"/>
  <c r="K22" i="6" s="1"/>
  <c r="L22" i="6" s="1"/>
  <c r="M22" i="6" s="1"/>
  <c r="D22" i="6"/>
  <c r="F26" i="2" l="1"/>
  <c r="F28" i="2" s="1"/>
  <c r="F30" i="2" s="1"/>
  <c r="F32" i="2" s="1"/>
  <c r="E26" i="2"/>
  <c r="E28" i="2" s="1"/>
  <c r="E30" i="2" s="1"/>
  <c r="E32" i="2" s="1"/>
  <c r="J26" i="2"/>
  <c r="J28" i="2" s="1"/>
  <c r="J30" i="2" s="1"/>
  <c r="J32" i="2" s="1"/>
  <c r="E35" i="2"/>
  <c r="D26" i="2"/>
  <c r="D28" i="2" s="1"/>
  <c r="D30" i="2" s="1"/>
  <c r="D32" i="2" s="1"/>
  <c r="C26" i="2"/>
  <c r="C28" i="2" s="1"/>
  <c r="C30" i="2" s="1"/>
  <c r="C32" i="2" s="1"/>
  <c r="C35" i="2"/>
  <c r="F35" i="2"/>
  <c r="M21" i="2"/>
  <c r="Q26" i="2"/>
  <c r="Q28" i="2" s="1"/>
  <c r="Q30" i="2" s="1"/>
  <c r="Q32" i="2" s="1"/>
  <c r="P26" i="2"/>
  <c r="P28" i="2" s="1"/>
  <c r="P30" i="2" s="1"/>
  <c r="P32" i="2" s="1"/>
  <c r="L64" i="2"/>
  <c r="L65" i="2" s="1"/>
  <c r="L38" i="2"/>
  <c r="M27" i="2" s="1"/>
  <c r="M31" i="2"/>
  <c r="N31" i="2" s="1"/>
  <c r="M24" i="2"/>
  <c r="M23" i="2"/>
  <c r="N21" i="2"/>
  <c r="C33" i="8"/>
  <c r="C35" i="8" s="1"/>
  <c r="D32" i="8"/>
  <c r="E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K36" i="2"/>
  <c r="S34" i="2"/>
  <c r="T34" i="2"/>
  <c r="U34" i="2"/>
  <c r="V34" i="2"/>
  <c r="W31" i="2" l="1"/>
  <c r="X31" i="2" s="1"/>
  <c r="Y31" i="2" s="1"/>
  <c r="Z31" i="2" s="1"/>
  <c r="AA31" i="2" s="1"/>
  <c r="AB31" i="2" s="1"/>
  <c r="AC31" i="2" s="1"/>
  <c r="AD31" i="2" s="1"/>
  <c r="AE31" i="2" s="1"/>
  <c r="AF31" i="2" s="1"/>
  <c r="N23" i="2"/>
  <c r="W23" i="2" s="1"/>
  <c r="M36" i="2"/>
  <c r="N24" i="2"/>
  <c r="N36" i="2" s="1"/>
  <c r="L34" i="2"/>
  <c r="L36" i="2"/>
  <c r="W24" i="2"/>
  <c r="E33" i="8"/>
  <c r="E35" i="8" s="1"/>
  <c r="F32" i="8"/>
  <c r="D33" i="8"/>
  <c r="D35" i="8" s="1"/>
  <c r="M34" i="2"/>
  <c r="X24" i="2" l="1"/>
  <c r="X36" i="2" s="1"/>
  <c r="W36" i="2"/>
  <c r="Y24" i="2"/>
  <c r="Z24" i="2" s="1"/>
  <c r="G32" i="8"/>
  <c r="F33" i="8"/>
  <c r="F35" i="8" s="1"/>
  <c r="Y36" i="2"/>
  <c r="W21" i="2"/>
  <c r="N34" i="2"/>
  <c r="W20" i="2"/>
  <c r="X20" i="2" s="1"/>
  <c r="Y20" i="2" s="1"/>
  <c r="Z20" i="2" s="1"/>
  <c r="AA20" i="2" s="1"/>
  <c r="AB20" i="2" s="1"/>
  <c r="AC20" i="2" s="1"/>
  <c r="AD20" i="2" s="1"/>
  <c r="AE20" i="2" s="1"/>
  <c r="AF20" i="2" s="1"/>
  <c r="X21" i="2" l="1"/>
  <c r="H32" i="8"/>
  <c r="G33" i="8"/>
  <c r="G35" i="8" s="1"/>
  <c r="AA24" i="2"/>
  <c r="AB24" i="2" s="1"/>
  <c r="AC24" i="2" s="1"/>
  <c r="AD24" i="2" s="1"/>
  <c r="AE24" i="2" s="1"/>
  <c r="AF24" i="2" s="1"/>
  <c r="Z36" i="2"/>
  <c r="W34" i="2"/>
  <c r="X34" i="2"/>
  <c r="Y21" i="2" l="1"/>
  <c r="Z21" i="2"/>
  <c r="Y34" i="2"/>
  <c r="I32" i="8"/>
  <c r="H33" i="8"/>
  <c r="H35" i="8" s="1"/>
  <c r="AA36" i="2"/>
  <c r="AB25" i="2"/>
  <c r="AA21" i="2" l="1"/>
  <c r="AB36" i="2"/>
  <c r="Z34" i="2"/>
  <c r="J32" i="8"/>
  <c r="I33" i="8"/>
  <c r="I35" i="8" s="1"/>
  <c r="AB21" i="2" l="1"/>
  <c r="AA34" i="2"/>
  <c r="AC36" i="2"/>
  <c r="AC25" i="2"/>
  <c r="K32" i="8"/>
  <c r="J33" i="8"/>
  <c r="J35" i="8" s="1"/>
  <c r="AC21" i="2" l="1"/>
  <c r="AD25" i="2"/>
  <c r="AD36" i="2"/>
  <c r="AB22" i="2"/>
  <c r="AB34" i="2"/>
  <c r="L32" i="8"/>
  <c r="K33" i="8"/>
  <c r="K35" i="8" s="1"/>
  <c r="AD21" i="2" l="1"/>
  <c r="AB35" i="2"/>
  <c r="AB26" i="2"/>
  <c r="AC22" i="2"/>
  <c r="AC34" i="2"/>
  <c r="AE36" i="2"/>
  <c r="AE25" i="2"/>
  <c r="M32" i="8"/>
  <c r="L33" i="8"/>
  <c r="L35" i="8" s="1"/>
  <c r="AE21" i="2" l="1"/>
  <c r="AF25" i="2"/>
  <c r="AF36" i="2"/>
  <c r="AC35" i="2"/>
  <c r="AC26" i="2"/>
  <c r="AD22" i="2"/>
  <c r="AD34" i="2"/>
  <c r="N32" i="8"/>
  <c r="M33" i="8"/>
  <c r="M35" i="8" s="1"/>
  <c r="AF21" i="2" l="1"/>
  <c r="AD26" i="2"/>
  <c r="AD35" i="2"/>
  <c r="AE34" i="2"/>
  <c r="AE22" i="2"/>
  <c r="O32" i="8"/>
  <c r="N33" i="8"/>
  <c r="N35" i="8" s="1"/>
  <c r="AE35" i="2" l="1"/>
  <c r="AE26" i="2"/>
  <c r="AF22" i="2"/>
  <c r="AF34" i="2"/>
  <c r="P32" i="8"/>
  <c r="O33" i="8"/>
  <c r="O35" i="8" s="1"/>
  <c r="AF35" i="2" l="1"/>
  <c r="AF26" i="2"/>
  <c r="Q32" i="8"/>
  <c r="P33" i="8"/>
  <c r="P35" i="8" s="1"/>
  <c r="R32" i="8" l="1"/>
  <c r="Q33" i="8"/>
  <c r="Q35" i="8" s="1"/>
  <c r="S32" i="8" l="1"/>
  <c r="S33" i="8" s="1"/>
  <c r="S35" i="8" s="1"/>
  <c r="R33" i="8"/>
  <c r="R35" i="8" s="1"/>
  <c r="D38" i="8" l="1"/>
  <c r="K85" i="2" l="1"/>
  <c r="K88" i="2" s="1"/>
  <c r="K79" i="2"/>
  <c r="K82" i="2" s="1"/>
  <c r="K74" i="2"/>
  <c r="K76" i="2" s="1"/>
  <c r="K53" i="2"/>
  <c r="K63" i="2" s="1"/>
  <c r="K90" i="2" l="1"/>
  <c r="S38" i="2"/>
  <c r="T38" i="2"/>
  <c r="U38" i="2"/>
  <c r="V38" i="2"/>
  <c r="R38" i="2"/>
  <c r="G38" i="2"/>
  <c r="H38" i="2"/>
  <c r="I38" i="2"/>
  <c r="J38" i="2"/>
  <c r="K39" i="2" l="1"/>
  <c r="K75" i="2" s="1"/>
  <c r="S22" i="2"/>
  <c r="S35" i="2" s="1"/>
  <c r="T22" i="2"/>
  <c r="T35" i="2" s="1"/>
  <c r="U22" i="2"/>
  <c r="U35" i="2" s="1"/>
  <c r="V22" i="2"/>
  <c r="V35" i="2" s="1"/>
  <c r="W22" i="2"/>
  <c r="W35" i="2" s="1"/>
  <c r="X22" i="2"/>
  <c r="X35" i="2" s="1"/>
  <c r="Y22" i="2"/>
  <c r="Y35" i="2" s="1"/>
  <c r="Z22" i="2"/>
  <c r="AA22" i="2"/>
  <c r="S25" i="2"/>
  <c r="T25" i="2"/>
  <c r="U25" i="2"/>
  <c r="U26" i="2" s="1"/>
  <c r="U28" i="2" s="1"/>
  <c r="U30" i="2" s="1"/>
  <c r="U32" i="2" s="1"/>
  <c r="V25" i="2"/>
  <c r="W25" i="2"/>
  <c r="X25" i="2"/>
  <c r="Y25" i="2"/>
  <c r="Z25" i="2"/>
  <c r="AA25" i="2"/>
  <c r="R25" i="2"/>
  <c r="R22" i="2"/>
  <c r="M22" i="2"/>
  <c r="M35" i="2" s="1"/>
  <c r="N22" i="2"/>
  <c r="N35" i="2" s="1"/>
  <c r="M25" i="2"/>
  <c r="N25" i="2"/>
  <c r="L25" i="2"/>
  <c r="L22" i="2"/>
  <c r="L35" i="2" s="1"/>
  <c r="J35" i="2"/>
  <c r="I35" i="2"/>
  <c r="G22" i="2"/>
  <c r="G35" i="2" s="1"/>
  <c r="G25" i="2"/>
  <c r="K25" i="2"/>
  <c r="K22" i="2"/>
  <c r="K35" i="2" s="1"/>
  <c r="K34" i="2"/>
  <c r="T26" i="2" l="1"/>
  <c r="T28" i="2" s="1"/>
  <c r="T30" i="2" s="1"/>
  <c r="T32" i="2" s="1"/>
  <c r="M26" i="2"/>
  <c r="H35" i="2"/>
  <c r="R26" i="2"/>
  <c r="R28" i="2" s="1"/>
  <c r="R30" i="2" s="1"/>
  <c r="R32" i="2" s="1"/>
  <c r="R35" i="2"/>
  <c r="AA26" i="2"/>
  <c r="AA35" i="2"/>
  <c r="Z26" i="2"/>
  <c r="Z35" i="2"/>
  <c r="N26" i="2"/>
  <c r="S26" i="2"/>
  <c r="S28" i="2" s="1"/>
  <c r="S30" i="2" s="1"/>
  <c r="S32" i="2" s="1"/>
  <c r="H67" i="2"/>
  <c r="K26" i="2"/>
  <c r="K28" i="2" s="1"/>
  <c r="K30" i="2" s="1"/>
  <c r="K51" i="2"/>
  <c r="K64" i="2" s="1"/>
  <c r="K65" i="2" s="1"/>
  <c r="K38" i="2"/>
  <c r="L26" i="2"/>
  <c r="W26" i="2"/>
  <c r="Y26" i="2"/>
  <c r="V26" i="2"/>
  <c r="V28" i="2" s="1"/>
  <c r="V30" i="2" s="1"/>
  <c r="V32" i="2" s="1"/>
  <c r="X26" i="2"/>
  <c r="G26" i="2"/>
  <c r="G28" i="2" s="1"/>
  <c r="G3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K5" i="1"/>
  <c r="L28" i="2" l="1"/>
  <c r="L30" i="2" s="1"/>
  <c r="L67" i="2" s="1"/>
  <c r="K8" i="1"/>
  <c r="J67" i="2"/>
  <c r="G32" i="2"/>
  <c r="G67" i="2"/>
  <c r="I67" i="2"/>
  <c r="K32" i="2"/>
  <c r="K67" i="2"/>
  <c r="L32" i="2" l="1"/>
  <c r="M28" i="2" l="1"/>
  <c r="M29" i="2" l="1"/>
  <c r="M30" i="2" s="1"/>
  <c r="M32" i="2" l="1"/>
  <c r="M38" i="2"/>
  <c r="N27" i="2" s="1"/>
  <c r="N28" i="2" l="1"/>
  <c r="W27" i="2"/>
  <c r="W28" i="2" s="1"/>
  <c r="N29" i="2" l="1"/>
  <c r="W29" i="2" s="1"/>
  <c r="W30" i="2" s="1"/>
  <c r="W32" i="2" l="1"/>
  <c r="N30" i="2"/>
  <c r="N32" i="2" l="1"/>
  <c r="N38" i="2"/>
  <c r="W38" i="2" s="1"/>
  <c r="X27" i="2" s="1"/>
  <c r="X28" i="2" s="1"/>
  <c r="X29" i="2" s="1"/>
  <c r="X30" i="2" s="1"/>
  <c r="X32" i="2" l="1"/>
  <c r="X38" i="2"/>
  <c r="Y27" i="2" s="1"/>
  <c r="Y28" i="2" s="1"/>
  <c r="Y29" i="2" s="1"/>
  <c r="Y30" i="2" s="1"/>
  <c r="Y32" i="2" l="1"/>
  <c r="Y38" i="2"/>
  <c r="Z27" i="2" l="1"/>
  <c r="Z28" i="2" s="1"/>
  <c r="Z29" i="2" s="1"/>
  <c r="Z30" i="2" s="1"/>
  <c r="Z32" i="2" l="1"/>
  <c r="Z38" i="2"/>
  <c r="AA27" i="2" l="1"/>
  <c r="AA28" i="2" s="1"/>
  <c r="AA29" i="2" s="1"/>
  <c r="AA30" i="2" s="1"/>
  <c r="AA38" i="2" l="1"/>
  <c r="AB27" i="2" s="1"/>
  <c r="AB28" i="2" s="1"/>
  <c r="AB29" i="2" s="1"/>
  <c r="AB30" i="2" s="1"/>
  <c r="AB38" i="2" s="1"/>
  <c r="AA32" i="2"/>
  <c r="AC27" i="2" l="1"/>
  <c r="AC28" i="2" s="1"/>
  <c r="AB32" i="2"/>
  <c r="AC29" i="2" l="1"/>
  <c r="AC30" i="2" s="1"/>
  <c r="AC32" i="2" l="1"/>
  <c r="AC38" i="2"/>
  <c r="AD27" i="2" l="1"/>
  <c r="AD28" i="2" s="1"/>
  <c r="AD29" i="2" l="1"/>
  <c r="AD30" i="2"/>
  <c r="AD32" i="2" l="1"/>
  <c r="AD38" i="2"/>
  <c r="AE27" i="2" l="1"/>
  <c r="AE28" i="2" s="1"/>
  <c r="AE29" i="2" s="1"/>
  <c r="AE30" i="2" s="1"/>
  <c r="AE32" i="2" s="1"/>
  <c r="AE38" i="2" l="1"/>
  <c r="AF27" i="2" s="1"/>
  <c r="AF28" i="2" s="1"/>
  <c r="AF29" i="2" s="1"/>
  <c r="AF30" i="2" s="1"/>
  <c r="AF32" i="2" l="1"/>
  <c r="AG30" i="2"/>
  <c r="AF38" i="2"/>
  <c r="AH30" i="2" l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AI35" i="2" s="1"/>
  <c r="AI36" i="2" l="1"/>
  <c r="AI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tc={870D49C2-D2BC-4507-9362-BAC854248C6B}</author>
  </authors>
  <commentList>
    <comment ref="W20" authorId="0" shapeId="0" xr:uid="{870D49C2-D2BC-4507-9362-BAC85424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61b guidance</t>
      </text>
    </comment>
  </commentList>
</comments>
</file>

<file path=xl/sharedStrings.xml><?xml version="1.0" encoding="utf-8"?>
<sst xmlns="http://schemas.openxmlformats.org/spreadsheetml/2006/main" count="579" uniqueCount="364">
  <si>
    <t>Price</t>
  </si>
  <si>
    <t>Shares</t>
  </si>
  <si>
    <t>MC</t>
  </si>
  <si>
    <t>Cash</t>
  </si>
  <si>
    <t>Debt</t>
  </si>
  <si>
    <t>EV</t>
  </si>
  <si>
    <t>Name</t>
  </si>
  <si>
    <t>Indication</t>
  </si>
  <si>
    <t>Phase</t>
  </si>
  <si>
    <t>Approved</t>
  </si>
  <si>
    <t>MOA</t>
  </si>
  <si>
    <t>Economics</t>
  </si>
  <si>
    <t>IP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</si>
  <si>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</si>
  <si>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</si>
  <si>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</si>
  <si>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</si>
  <si>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</si>
  <si>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</si>
  <si>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</si>
  <si>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</si>
  <si>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</si>
  <si>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</si>
  <si>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</si>
  <si>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</si>
  <si>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</si>
  <si>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</si>
  <si>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</si>
  <si>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</si>
  <si>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Number</t>
  </si>
  <si>
    <t>n</t>
  </si>
  <si>
    <t>Date</t>
  </si>
  <si>
    <t>Notes</t>
  </si>
  <si>
    <t>Patent</t>
  </si>
  <si>
    <t>Title</t>
  </si>
  <si>
    <t>Brand</t>
  </si>
  <si>
    <t>Generic</t>
  </si>
  <si>
    <t>Approval</t>
  </si>
  <si>
    <t>Company</t>
  </si>
  <si>
    <t>Y1</t>
  </si>
  <si>
    <t>Y2</t>
  </si>
  <si>
    <t>Y3</t>
  </si>
  <si>
    <t>Y4</t>
  </si>
  <si>
    <t>Y5</t>
  </si>
  <si>
    <t>Q1</t>
  </si>
  <si>
    <t>Q2</t>
  </si>
  <si>
    <t>Total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</si>
  <si>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</si>
  <si>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</si>
  <si>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</si>
  <si>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</si>
  <si>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</si>
  <si>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</si>
  <si>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</si>
  <si>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</si>
  <si>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Inventories</t>
  </si>
  <si>
    <t>Prepaids</t>
  </si>
  <si>
    <t>OCA</t>
  </si>
  <si>
    <t>Investments</t>
  </si>
  <si>
    <t>GW</t>
  </si>
  <si>
    <t>Other Receivables</t>
  </si>
  <si>
    <t>Other Intangibles</t>
  </si>
  <si>
    <t>PP&amp;E</t>
  </si>
  <si>
    <t>ONCA</t>
  </si>
  <si>
    <t>Assets</t>
  </si>
  <si>
    <t>AP</t>
  </si>
  <si>
    <t>Compensation</t>
  </si>
  <si>
    <t>OCL</t>
  </si>
  <si>
    <t>ONCL</t>
  </si>
  <si>
    <t>Liabilities</t>
  </si>
  <si>
    <t>L+SE</t>
  </si>
  <si>
    <t>SE</t>
  </si>
  <si>
    <t>Model NI</t>
  </si>
  <si>
    <t>Reported NI</t>
  </si>
  <si>
    <t>D&amp;A</t>
  </si>
  <si>
    <t>DT</t>
  </si>
  <si>
    <t>Taxes</t>
  </si>
  <si>
    <t>Retirement</t>
  </si>
  <si>
    <t>Sales Rebates</t>
  </si>
  <si>
    <t>Dividends</t>
  </si>
  <si>
    <t>SBC</t>
  </si>
  <si>
    <t>IPR&amp;D</t>
  </si>
  <si>
    <t>Other</t>
  </si>
  <si>
    <t>WC</t>
  </si>
  <si>
    <t>CFFO</t>
  </si>
  <si>
    <t>CapEx</t>
  </si>
  <si>
    <t>Acquisitions/IPRD</t>
  </si>
  <si>
    <t>CFFI</t>
  </si>
  <si>
    <t>Borrowing</t>
  </si>
  <si>
    <t>Buyback</t>
  </si>
  <si>
    <t>CFFF</t>
  </si>
  <si>
    <t>FX</t>
  </si>
  <si>
    <t>CIC</t>
  </si>
  <si>
    <t>Mounjaro</t>
  </si>
  <si>
    <t>Zepbound</t>
  </si>
  <si>
    <t>Trulicity</t>
  </si>
  <si>
    <t>Jardiance</t>
  </si>
  <si>
    <t>Verzenio</t>
  </si>
  <si>
    <t>Taltz</t>
  </si>
  <si>
    <t>Pricing power of GLP-1s?</t>
  </si>
  <si>
    <t>TAM GLP-1s</t>
  </si>
  <si>
    <t>Olomorasib</t>
  </si>
  <si>
    <t>Tirzepatide</t>
  </si>
  <si>
    <t>Orforglipron</t>
  </si>
  <si>
    <t>Questions:</t>
  </si>
  <si>
    <t>III</t>
  </si>
  <si>
    <t>CEO: David Ricks</t>
  </si>
  <si>
    <t>SG&amp;A y/y</t>
  </si>
  <si>
    <t>ROIC</t>
  </si>
  <si>
    <t>Maturity</t>
  </si>
  <si>
    <t>Discount</t>
  </si>
  <si>
    <t>NPV</t>
  </si>
  <si>
    <t>Share</t>
  </si>
  <si>
    <t>CFO: Lucas Montarce</t>
  </si>
  <si>
    <t>Abecmaciclib</t>
  </si>
  <si>
    <t>Imlunestrant</t>
  </si>
  <si>
    <t>Insulin Efsitora Alfa</t>
  </si>
  <si>
    <t>Lebrikizumab</t>
  </si>
  <si>
    <t>Lepodisiran</t>
  </si>
  <si>
    <t>Remternetug</t>
  </si>
  <si>
    <t>Retatrutide</t>
  </si>
  <si>
    <t>Selpercatinib</t>
  </si>
  <si>
    <t>Bimagrumab</t>
  </si>
  <si>
    <t>CD19 Ab</t>
  </si>
  <si>
    <t>Eloralintide</t>
  </si>
  <si>
    <t>Eltrekibart</t>
  </si>
  <si>
    <t>Epiregulin Ab</t>
  </si>
  <si>
    <t>GBA1 Gene Therapy</t>
  </si>
  <si>
    <t>GLP-1R NPA II</t>
  </si>
  <si>
    <t>GRN Gene Therapy</t>
  </si>
  <si>
    <t>Kv1.3 Antagonist</t>
  </si>
  <si>
    <t>Mazdutide</t>
  </si>
  <si>
    <t>Mazisotine</t>
  </si>
  <si>
    <t>Mevidalen</t>
  </si>
  <si>
    <t>MORF-057</t>
  </si>
  <si>
    <t>Muvalaplin</t>
  </si>
  <si>
    <t>Ocadusertib</t>
  </si>
  <si>
    <t>OTOF Gene Therapy</t>
  </si>
  <si>
    <t>P2X7 Inhibitor</t>
  </si>
  <si>
    <t>Simepdekinra</t>
  </si>
  <si>
    <t>Solbinsiran</t>
  </si>
  <si>
    <t>II</t>
  </si>
  <si>
    <t>[Ac-225]-PSMA-62</t>
  </si>
  <si>
    <t>Anti-VEGF Gene Therapy</t>
  </si>
  <si>
    <t>AT2R Antagonist</t>
  </si>
  <si>
    <t>FGFR3 Selective</t>
  </si>
  <si>
    <t>Fra ADC</t>
  </si>
  <si>
    <t>FXR Agonist (FXR314)</t>
  </si>
  <si>
    <t>GIP/GLP-1 Coagonist III</t>
  </si>
  <si>
    <t>GIPR Agonist Long Acting</t>
  </si>
  <si>
    <t>GS Insulin Receptor Agonist</t>
  </si>
  <si>
    <t>Integrin a5b1</t>
  </si>
  <si>
    <t>Itaconate Mimetic</t>
  </si>
  <si>
    <t>KRAS G12D</t>
  </si>
  <si>
    <t>LA-ANP</t>
  </si>
  <si>
    <t>Macupatide</t>
  </si>
  <si>
    <t>MAPT siRNA</t>
  </si>
  <si>
    <t>Nectin-4 ADC 1</t>
  </si>
  <si>
    <t>Nectin-4 ADC 2</t>
  </si>
  <si>
    <t>Nisotirostide</t>
  </si>
  <si>
    <t>Pan KRAS</t>
  </si>
  <si>
    <t>PI3Ka Inhibitor (STX-478)</t>
  </si>
  <si>
    <t>PNPLA3 siRNA</t>
  </si>
  <si>
    <t>SARM1 Inhibitor</t>
  </si>
  <si>
    <t>SCAP siRNA</t>
  </si>
  <si>
    <t>SMARCA2 (BRM)</t>
  </si>
  <si>
    <t>SNCA siRNA</t>
  </si>
  <si>
    <t>I</t>
  </si>
  <si>
    <t>Mounjaro (tirzepatide)</t>
  </si>
  <si>
    <t>Zepbound (tirzepatide)</t>
  </si>
  <si>
    <t>Emgality (galcanezumab-gnlm)</t>
  </si>
  <si>
    <t>Jaypirca (pirtobrutinib)</t>
  </si>
  <si>
    <t>Retevmo (selpercatinib)</t>
  </si>
  <si>
    <t>Olumiant (baricitinib)</t>
  </si>
  <si>
    <t>Omvoh (mirikizumab-mrkz)</t>
  </si>
  <si>
    <t>Reyvow (lasmiditan)</t>
  </si>
  <si>
    <t>Lyumjev (insulin lispro)</t>
  </si>
  <si>
    <t>Ebglyss (lebrikizumab-lbkz)</t>
  </si>
  <si>
    <t>Adcirca (tadalafil)</t>
  </si>
  <si>
    <t>Alimta (pemetrexed)</t>
  </si>
  <si>
    <t>AmyviD (florbetapir)</t>
  </si>
  <si>
    <t>Baqsimi (glucagon)</t>
  </si>
  <si>
    <t>Basaglar (insulin glargine)</t>
  </si>
  <si>
    <t>Erbitux (cetuximab)</t>
  </si>
  <si>
    <t>Forteo (teriparatide)</t>
  </si>
  <si>
    <t>Humalog (insulin lispro)</t>
  </si>
  <si>
    <t>Humatrope (somatropin)</t>
  </si>
  <si>
    <t>Humulin (insulin isophane)</t>
  </si>
  <si>
    <t>Jardiance (empagliflozin)</t>
  </si>
  <si>
    <t>Jentadeuto (linagliptin I metformin HCI)</t>
  </si>
  <si>
    <t>Synjardy (empagliflozin/metformin HCI)</t>
  </si>
  <si>
    <t>Taltz (ixekizumab)</t>
  </si>
  <si>
    <t>Tauvid (flortaucipir F 18)</t>
  </si>
  <si>
    <t>Tradjenta (linagliptin)</t>
  </si>
  <si>
    <t>Trulicity (dulaglutide)</t>
  </si>
  <si>
    <t>Verzenio (abecmaciclib)</t>
  </si>
  <si>
    <t>Zyprexa (olanzapine)</t>
  </si>
  <si>
    <t>Acquistions</t>
  </si>
  <si>
    <t>Clinical Trials</t>
  </si>
  <si>
    <t>Physiochemistry</t>
  </si>
  <si>
    <t>Regulatory</t>
  </si>
  <si>
    <t>Dosing</t>
  </si>
  <si>
    <t>US Patient Pool</t>
  </si>
  <si>
    <t>Treated</t>
  </si>
  <si>
    <t>Kisunla (donanemab-azbt)</t>
  </si>
  <si>
    <t>Kisunla</t>
  </si>
  <si>
    <t>donanemab</t>
  </si>
  <si>
    <t>Alzheimer's</t>
  </si>
  <si>
    <t>mAb</t>
  </si>
  <si>
    <t>Approved FDA; Likely approval EMA</t>
  </si>
  <si>
    <t>Verve Therapeutics - July 25 2025</t>
  </si>
  <si>
    <t>Phase III "ACHIEVE-1" in Obesity? n= NCT:</t>
  </si>
  <si>
    <t>orforglipron</t>
  </si>
  <si>
    <t>Obesity?</t>
  </si>
  <si>
    <t>Phase III "ATTAIN-1"</t>
  </si>
  <si>
    <t>Results Q325</t>
  </si>
  <si>
    <t>retratrutide</t>
  </si>
  <si>
    <t>Phase III "TRUMPH-4" in Obestity? n= NCT:</t>
  </si>
  <si>
    <t>Results Q425</t>
  </si>
  <si>
    <t>mAb blocks activin type II receptors</t>
  </si>
  <si>
    <t>P.E MACE-3: CV death, myocardial infarction or stroke</t>
  </si>
  <si>
    <t xml:space="preserve">Phase III "SURPASS-CVOT" in  n=13299 NCT: </t>
  </si>
  <si>
    <t>dulaglutide</t>
  </si>
  <si>
    <t>Reduced risk of MACE-3 by 12% p=0.026</t>
  </si>
  <si>
    <t>double US manufacturing investments to a total of 50B since 2020</t>
  </si>
  <si>
    <t>GLP-1</t>
  </si>
  <si>
    <t>Oral</t>
  </si>
  <si>
    <t>S.S?</t>
  </si>
  <si>
    <t>Cyramza (ramucirumab)</t>
  </si>
  <si>
    <t>Glyxambi (empagliflozin/linagliptin)</t>
  </si>
  <si>
    <t>Type 2 Diabetes</t>
  </si>
  <si>
    <t>ASCVD</t>
  </si>
  <si>
    <t>III?</t>
  </si>
  <si>
    <t>resected adjuvant NSCLC</t>
  </si>
  <si>
    <t>ER+, HER2-mBC</t>
  </si>
  <si>
    <t>Crohn's disease</t>
  </si>
  <si>
    <t>Phase III "TRAILBLAZER-ALZ 3" in Alzheimer's n=2196 NCT:NCT05026866</t>
  </si>
  <si>
    <t>Phase III "TRAILBLAZER-ALZ 5" in Alzheimer's n=1500 NCT:NCT05508789</t>
  </si>
  <si>
    <t>Phase III "TRAILBLAZER-ALZ 6" in Alzheimer's n=800 NCT:NCT04437511</t>
  </si>
  <si>
    <t>Phase III "TRAILBLAZER-ALZ 2" in Alzheimer's n=1736 NCT:NCT05738486</t>
  </si>
  <si>
    <t>P.E iADRS</t>
  </si>
  <si>
    <t>P.E ARIA-E</t>
  </si>
  <si>
    <t>P.E CDR-GS</t>
  </si>
  <si>
    <t>imlunestrant</t>
  </si>
  <si>
    <t>Phase III "EMBER-3" in ER+, HER2-mBC n=866 NCT:NCT04975308</t>
  </si>
  <si>
    <t>Phase III "EMBER-4" in ER+, HER2-mBC n=8000 NCT:NCT05514054</t>
  </si>
  <si>
    <t>ER+, HER2-mBC; Breast Neoplasms</t>
  </si>
  <si>
    <t>P.E. PFS in ITT</t>
  </si>
  <si>
    <t>P.E. IDFS</t>
  </si>
  <si>
    <t>lebrikizumab</t>
  </si>
  <si>
    <t>LY3650150</t>
  </si>
  <si>
    <t>Phase III "ADmirable" in mod-severe Atopic Dermatitis n=80 NCT:NCT05372419</t>
  </si>
  <si>
    <t>Phase III "ADjoin" in mod-severe Atopic Dermatitis n=1188 NCT:NCT04392154</t>
  </si>
  <si>
    <t>Phase III "ADorable-2" in mod-severe Atopic Dermatitis 6mo to &lt;18yr age n=310 NCT:NCT05735483</t>
  </si>
  <si>
    <t>Phase III "ADorable-1" in mod-severe Atopic Dermatitis 6mo to &lt;18yr age n=360 NCT:NCT05559359</t>
  </si>
  <si>
    <t>Phase III "ADvance-Asia" w/without topical corticosteroid mod-severe Atopic Dermatitis n=430 NCT:NCT06280716</t>
  </si>
  <si>
    <t>Phase III "PREPARED-1" in Perennial Allergic Rhinitis n=450 NCT:NCT06339008</t>
  </si>
  <si>
    <t>Phase III "" efficacy and safety in mod-severe Atopic Hand and Foot Dermatitis n=206 NCT:NCT06921759</t>
  </si>
  <si>
    <t>Phase III "CONTRAST-NP" in chronic rhinosinusitis &amp; nasal polyps treated w/intranasal corticosteroids n=510 NCT:NCT06338995</t>
  </si>
  <si>
    <t>P.E. EASI-75</t>
  </si>
  <si>
    <t>P.E. % of participants discountinued due to AE</t>
  </si>
  <si>
    <t>P.E. CFBL in TNSS at week 16</t>
  </si>
  <si>
    <t>P.E. % of participants achieving a HF-IGA score of 0 or 1 w/&gt;=2 point improvement from baseline</t>
  </si>
  <si>
    <t>P.E. CFBL in NCS</t>
  </si>
  <si>
    <t>lepodisiran</t>
  </si>
  <si>
    <t>Phase III "ACCLAIM-Lp?" in ASCVD n=12500 NCT:NCT06292013</t>
  </si>
  <si>
    <t>P.E. time to first occurance of any MACE-4 composite endpoint</t>
  </si>
  <si>
    <t>mirikizumab</t>
  </si>
  <si>
    <t>Crohn's Disease, Ulcerative Colitis</t>
  </si>
  <si>
    <t>Phase III "VIVID-2" in Crohn's Disease n=778 NCT:NCT04232553</t>
  </si>
  <si>
    <t>Phase III "COMMIT-CD" in Crohn's Disease n=290 NCT:NCT06937099</t>
  </si>
  <si>
    <t>Phase III "LUCENT-3" in Ulcerative Colitis n=1063 NCT:NCT03519945</t>
  </si>
  <si>
    <t>Phase III "COMMIT-UC" in Ulcerative Colitis n=350 NCT:NCT06937086</t>
  </si>
  <si>
    <t>Omvoh, LY3074828</t>
  </si>
  <si>
    <t>P.E. % of participants achieving endoscopic response</t>
  </si>
  <si>
    <t>P.E. % of participants who simultaneously achieve clinical remission by CDAI</t>
  </si>
  <si>
    <t>% of participants in clinical remission</t>
  </si>
  <si>
    <t>% of participants who simultaneously achieve clinical remission and at least 10% weight reduction</t>
  </si>
  <si>
    <t>olomorasib</t>
  </si>
  <si>
    <t>NSCLC</t>
  </si>
  <si>
    <t>LY3537982</t>
  </si>
  <si>
    <t>Phase III "SUNRAY-01" in NSCLC n=1016 NCT:NCT06119581</t>
  </si>
  <si>
    <t>Phase I/II "" in KRAS-G12C n=540 NCT:NCT04956640</t>
  </si>
  <si>
    <t>Phase III "SUNRAY-02" in resected or unresectable KRAS G12C-mutant NSCLC n=700 NCT:NCT06890598</t>
  </si>
  <si>
    <t>P.E. DFS at 48 months &amp; PFS per RECIST by BICR at 3 years</t>
  </si>
  <si>
    <t>P.E. dose optimization and safety &amp; number of participants w/ TEAE</t>
  </si>
  <si>
    <t>P.E. Phase 1a to determine recommended phase 2 dose (RP2D) monotherapy</t>
  </si>
  <si>
    <t>What pipeline drugs are worth investigating? (high revenue, good data)</t>
  </si>
  <si>
    <t>Obesity, Type 2 Diabetes, OSA</t>
  </si>
  <si>
    <t>CLL, MCL, ITP</t>
  </si>
  <si>
    <t>Obesity, Type 2 Diabetes, Chronic Kidney Disease</t>
  </si>
  <si>
    <t>NSCLC, Medullary Thyroid Cancer</t>
  </si>
  <si>
    <t>Psoriasis, Psoriatic Arthritis</t>
  </si>
  <si>
    <t>Obesity, Type 2 Diabetes, CKD, Type 1 Diabetes</t>
  </si>
  <si>
    <t>Breast Cancer, Breast Neoplasm</t>
  </si>
  <si>
    <t>Obesity</t>
  </si>
  <si>
    <t>Obesity, Hypertension</t>
  </si>
  <si>
    <t>Obesity, Alchohol Use Disorder</t>
  </si>
  <si>
    <t>Non-Alcoholic Fatty Liver Disease</t>
  </si>
  <si>
    <t>MS, RA</t>
  </si>
  <si>
    <t>Plaque Psoriasis</t>
  </si>
  <si>
    <t>Hidradenitis Suppurativa, Ulcerative Colitis</t>
  </si>
  <si>
    <t>Ulcerative Colitis, Crohn's Disease</t>
  </si>
  <si>
    <t>RA</t>
  </si>
  <si>
    <t>Vestibular Schwannoma</t>
  </si>
  <si>
    <t>Parkinson's, Gaucher Disease</t>
  </si>
  <si>
    <t>Frontotemporal Dementia</t>
  </si>
  <si>
    <t>OTOF-mediated hearing loss</t>
  </si>
  <si>
    <t>Parkinson's</t>
  </si>
  <si>
    <t>Prostate Cancer</t>
  </si>
  <si>
    <t>Urinary Bladder Neoplasms</t>
  </si>
  <si>
    <t>Ovarian Neoplasms</t>
  </si>
  <si>
    <t>Pancreatic Ductal Adenocarcinoma</t>
  </si>
  <si>
    <t>Metastatic Solid Tumor</t>
  </si>
  <si>
    <t>Breast Cancer</t>
  </si>
  <si>
    <t>Neuropathic Pain</t>
  </si>
  <si>
    <t>Diabetic Peripheral Neuropathy</t>
  </si>
  <si>
    <t>Ozempic</t>
  </si>
  <si>
    <t>NVO</t>
  </si>
  <si>
    <t>LLY</t>
  </si>
  <si>
    <t>Saxenda</t>
  </si>
  <si>
    <t>Wegovy</t>
  </si>
  <si>
    <t>Rybelsus</t>
  </si>
  <si>
    <t>Victoza</t>
  </si>
  <si>
    <t>liraglutide</t>
  </si>
  <si>
    <t>semaglutide</t>
  </si>
  <si>
    <t>tirzepatide</t>
  </si>
  <si>
    <t>Q1 ER Call</t>
  </si>
  <si>
    <t>"deep into a replacement cycle tirzepatide most of market"</t>
  </si>
  <si>
    <t>Hypertension, Obesity, Type 2 Diabetes</t>
  </si>
  <si>
    <t>GLP-1 agonist</t>
  </si>
  <si>
    <t>orforglipron oral GLP-1 launch</t>
  </si>
  <si>
    <t>oral manufacturing easier to scale and wider reach to patients</t>
  </si>
  <si>
    <t>orforglipron pricing power:</t>
  </si>
  <si>
    <t>"less flow into the channel more transparent pricing"</t>
  </si>
  <si>
    <t>semaglutide vs tirzepatide efficacy analysis; best competitors? In trials and released?</t>
  </si>
  <si>
    <t>60% slowing in progressing as per management confrence call</t>
  </si>
  <si>
    <t>Treated est.</t>
  </si>
  <si>
    <t>non-GLP1 revenues worth maybe 200B in total?</t>
  </si>
  <si>
    <t>~treating 100m people (~70% of TAM) in total maybe people take GLP-1 multiple times or other people enter the TAM. Very dynamic population</t>
  </si>
  <si>
    <t>A/R</t>
  </si>
  <si>
    <t>Q123</t>
  </si>
  <si>
    <t>Q223</t>
  </si>
  <si>
    <t>Q323</t>
  </si>
  <si>
    <t>Q423</t>
  </si>
  <si>
    <t>Humalog</t>
  </si>
  <si>
    <t>Cyramza</t>
  </si>
  <si>
    <t>Olumiant</t>
  </si>
  <si>
    <t>Humulin</t>
  </si>
  <si>
    <t>Emgality</t>
  </si>
  <si>
    <t>Basaglar</t>
  </si>
  <si>
    <t>Erbitux</t>
  </si>
  <si>
    <t>Tyvyt</t>
  </si>
  <si>
    <t>Zyprexa</t>
  </si>
  <si>
    <t>Baqsimi</t>
  </si>
  <si>
    <t>Other Products</t>
  </si>
  <si>
    <t>US Rev</t>
  </si>
  <si>
    <t>Europe Rev</t>
  </si>
  <si>
    <t>China Rev</t>
  </si>
  <si>
    <t>Japan Rev</t>
  </si>
  <si>
    <t>International Rev</t>
  </si>
  <si>
    <t>Read</t>
  </si>
  <si>
    <t>Relevance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</si>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</sst>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Border="1"/>
    <xf numFmtId="14" fontId="0" fillId="0" borderId="0" xfId="0" applyNumberFormat="1"/>
    <xf numFmtId="0" fontId="3" fillId="0" borderId="0" xfId="0" applyFont="1"/>
    <xf numFmtId="38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7" fontId="0" fillId="0" borderId="0" xfId="0" applyNumberFormat="1"/>
    <xf numFmtId="0" fontId="2" fillId="0" borderId="1" xfId="1" applyFill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7328</xdr:colOff>
      <xdr:row>112</xdr:row>
      <xdr:rowOff>14654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153FC9-E82E-C612-E669-B798AF9FA040}"/>
            </a:ext>
          </a:extLst>
        </xdr:cNvPr>
        <xdr:cNvCxnSpPr/>
      </xdr:nvCxnSpPr>
      <xdr:spPr>
        <a:xfrm flipH="1">
          <a:off x="7627327" y="0"/>
          <a:ext cx="7328" cy="1806819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600807</xdr:colOff>
      <xdr:row>0</xdr:row>
      <xdr:rowOff>0</xdr:rowOff>
    </xdr:from>
    <xdr:to>
      <xdr:col>22</xdr:col>
      <xdr:colOff>1</xdr:colOff>
      <xdr:row>105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AD8E94-9E65-4833-989F-04F41C4DD1B5}"/>
            </a:ext>
          </a:extLst>
        </xdr:cNvPr>
        <xdr:cNvCxnSpPr/>
      </xdr:nvCxnSpPr>
      <xdr:spPr>
        <a:xfrm flipH="1">
          <a:off x="13767288" y="0"/>
          <a:ext cx="7328" cy="170204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</xdr:colOff>
      <xdr:row>35</xdr:row>
      <xdr:rowOff>21979</xdr:rowOff>
    </xdr:from>
    <xdr:to>
      <xdr:col>8</xdr:col>
      <xdr:colOff>55134</xdr:colOff>
      <xdr:row>48</xdr:row>
      <xdr:rowOff>140378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64993-F141-0D29-529E-C629B8E5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80" y="5663710"/>
          <a:ext cx="4657989" cy="2213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8EFBBC1-5F71-4714-B1FB-1E2DFC825096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0" dT="2025-07-27T04:33:05.47" personId="{98EFBBC1-5F71-4714-B1FB-1E2DFC825096}" id="{870D49C2-D2BC-4507-9362-BAC854248C6B}">
    <text>61b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04E-7193-4895-997B-E4F4972CD4A5}">
  <dimension ref="B2:L96"/>
  <sheetViews>
    <sheetView zoomScaleNormal="100" workbookViewId="0">
      <selection activeCell="F21" sqref="F21"/>
    </sheetView>
  </sheetViews>
  <sheetFormatPr defaultRowHeight="12.75" x14ac:dyDescent="0.2"/>
  <cols>
    <col min="1" max="1" width="3" customWidth="1"/>
    <col min="2" max="2" width="33.85546875" bestFit="1" customWidth="1"/>
    <col min="3" max="3" width="22.5703125" bestFit="1" customWidth="1"/>
    <col min="4" max="4" width="10.140625" bestFit="1" customWidth="1"/>
    <col min="5" max="5" width="14.7109375" customWidth="1"/>
    <col min="6" max="6" width="10.28515625" bestFit="1" customWidth="1"/>
    <col min="8" max="8" width="4.42578125" customWidth="1"/>
    <col min="9" max="9" width="4.5703125" customWidth="1"/>
  </cols>
  <sheetData>
    <row r="2" spans="2:12" x14ac:dyDescent="0.2">
      <c r="B2" s="21" t="s">
        <v>6</v>
      </c>
      <c r="C2" s="19" t="s">
        <v>7</v>
      </c>
      <c r="D2" s="19" t="s">
        <v>9</v>
      </c>
      <c r="E2" s="19" t="s">
        <v>10</v>
      </c>
      <c r="F2" s="19" t="s">
        <v>11</v>
      </c>
      <c r="G2" s="22" t="s">
        <v>12</v>
      </c>
    </row>
    <row r="3" spans="2:12" x14ac:dyDescent="0.2">
      <c r="B3" s="23" t="s">
        <v>168</v>
      </c>
      <c r="C3" t="s">
        <v>230</v>
      </c>
      <c r="D3" s="27">
        <v>44694</v>
      </c>
      <c r="F3">
        <v>2036</v>
      </c>
      <c r="G3" s="12"/>
      <c r="J3" t="s">
        <v>0</v>
      </c>
      <c r="K3" s="1">
        <v>685</v>
      </c>
    </row>
    <row r="4" spans="2:12" x14ac:dyDescent="0.2">
      <c r="B4" s="23" t="s">
        <v>169</v>
      </c>
      <c r="D4" s="27">
        <v>45238</v>
      </c>
      <c r="F4">
        <v>2036</v>
      </c>
      <c r="G4" s="12"/>
      <c r="J4" t="s">
        <v>1</v>
      </c>
      <c r="K4" s="2">
        <v>898</v>
      </c>
      <c r="L4" t="s">
        <v>20</v>
      </c>
    </row>
    <row r="5" spans="2:12" x14ac:dyDescent="0.2">
      <c r="B5" s="11" t="s">
        <v>170</v>
      </c>
      <c r="D5" s="27">
        <v>43370</v>
      </c>
      <c r="G5" s="12"/>
      <c r="J5" t="s">
        <v>2</v>
      </c>
      <c r="K5" s="2">
        <f>K4*K3</f>
        <v>615130</v>
      </c>
    </row>
    <row r="6" spans="2:12" x14ac:dyDescent="0.2">
      <c r="B6" s="11" t="s">
        <v>171</v>
      </c>
      <c r="C6" t="s">
        <v>289</v>
      </c>
      <c r="D6" s="27">
        <v>44953</v>
      </c>
      <c r="G6" s="12"/>
      <c r="J6" t="s">
        <v>3</v>
      </c>
      <c r="K6" s="2">
        <v>3546</v>
      </c>
      <c r="L6" t="s">
        <v>20</v>
      </c>
    </row>
    <row r="7" spans="2:12" x14ac:dyDescent="0.2">
      <c r="B7" s="11" t="s">
        <v>172</v>
      </c>
      <c r="C7" t="s">
        <v>291</v>
      </c>
      <c r="D7" s="27">
        <v>43959</v>
      </c>
      <c r="G7" s="12"/>
      <c r="J7" t="s">
        <v>4</v>
      </c>
      <c r="K7" s="2">
        <v>46862</v>
      </c>
      <c r="L7" t="s">
        <v>20</v>
      </c>
    </row>
    <row r="8" spans="2:12" x14ac:dyDescent="0.2">
      <c r="B8" s="11" t="s">
        <v>173</v>
      </c>
      <c r="D8" s="27">
        <v>43251</v>
      </c>
      <c r="G8" s="12"/>
      <c r="J8" t="s">
        <v>5</v>
      </c>
      <c r="K8" s="2">
        <f>K5+K7-K6</f>
        <v>658446</v>
      </c>
    </row>
    <row r="9" spans="2:12" x14ac:dyDescent="0.2">
      <c r="B9" s="23" t="s">
        <v>174</v>
      </c>
      <c r="C9" t="s">
        <v>235</v>
      </c>
      <c r="D9" s="27">
        <v>45225</v>
      </c>
      <c r="F9">
        <v>2037</v>
      </c>
      <c r="G9" s="12"/>
      <c r="K9" s="2"/>
    </row>
    <row r="10" spans="2:12" x14ac:dyDescent="0.2">
      <c r="B10" s="11" t="s">
        <v>175</v>
      </c>
      <c r="D10" s="27">
        <v>43749</v>
      </c>
      <c r="G10" s="12"/>
      <c r="J10" t="s">
        <v>106</v>
      </c>
      <c r="K10" s="2"/>
    </row>
    <row r="11" spans="2:12" x14ac:dyDescent="0.2">
      <c r="B11" s="11" t="s">
        <v>176</v>
      </c>
      <c r="D11" s="27">
        <v>43997</v>
      </c>
      <c r="G11" s="12"/>
      <c r="J11" t="s">
        <v>113</v>
      </c>
      <c r="K11" s="2"/>
    </row>
    <row r="12" spans="2:12" x14ac:dyDescent="0.2">
      <c r="B12" s="30" t="s">
        <v>204</v>
      </c>
      <c r="C12" t="s">
        <v>207</v>
      </c>
      <c r="D12" s="27">
        <v>45475</v>
      </c>
      <c r="F12">
        <v>2036</v>
      </c>
      <c r="G12" s="12"/>
      <c r="K12" s="2"/>
    </row>
    <row r="13" spans="2:12" x14ac:dyDescent="0.2">
      <c r="B13" s="11" t="s">
        <v>177</v>
      </c>
      <c r="D13" s="27">
        <v>45548</v>
      </c>
      <c r="G13" s="12"/>
      <c r="J13" s="5" t="s">
        <v>104</v>
      </c>
      <c r="K13" s="2"/>
    </row>
    <row r="14" spans="2:12" x14ac:dyDescent="0.2">
      <c r="B14" s="11" t="s">
        <v>178</v>
      </c>
      <c r="D14" s="27">
        <v>39955</v>
      </c>
      <c r="G14" s="12"/>
      <c r="J14" t="s">
        <v>99</v>
      </c>
      <c r="K14" s="2"/>
    </row>
    <row r="15" spans="2:12" x14ac:dyDescent="0.2">
      <c r="B15" s="11" t="s">
        <v>179</v>
      </c>
      <c r="D15" s="27">
        <v>38021</v>
      </c>
      <c r="G15" s="12"/>
      <c r="J15" t="s">
        <v>100</v>
      </c>
      <c r="K15" s="2"/>
    </row>
    <row r="16" spans="2:12" x14ac:dyDescent="0.2">
      <c r="B16" s="11" t="s">
        <v>180</v>
      </c>
      <c r="D16" s="27">
        <v>41005</v>
      </c>
      <c r="G16" s="12"/>
      <c r="J16" t="s">
        <v>287</v>
      </c>
      <c r="K16" s="2"/>
    </row>
    <row r="17" spans="2:11" x14ac:dyDescent="0.2">
      <c r="B17" s="11" t="s">
        <v>181</v>
      </c>
      <c r="D17" s="27">
        <v>43670</v>
      </c>
      <c r="G17" s="12"/>
      <c r="J17" t="s">
        <v>335</v>
      </c>
      <c r="K17" s="2"/>
    </row>
    <row r="18" spans="2:11" x14ac:dyDescent="0.2">
      <c r="B18" s="11" t="s">
        <v>182</v>
      </c>
      <c r="D18" s="27">
        <v>42354</v>
      </c>
      <c r="G18" s="12"/>
      <c r="K18" s="2"/>
    </row>
    <row r="19" spans="2:11" x14ac:dyDescent="0.2">
      <c r="B19" s="11" t="s">
        <v>228</v>
      </c>
      <c r="D19" s="27">
        <v>41750</v>
      </c>
      <c r="G19" s="12"/>
      <c r="J19" s="25" t="s">
        <v>197</v>
      </c>
      <c r="K19" s="2"/>
    </row>
    <row r="20" spans="2:11" x14ac:dyDescent="0.2">
      <c r="B20" s="11" t="s">
        <v>183</v>
      </c>
      <c r="D20" s="27">
        <v>38029</v>
      </c>
      <c r="G20" s="12"/>
      <c r="J20" t="s">
        <v>210</v>
      </c>
      <c r="K20" s="2"/>
    </row>
    <row r="21" spans="2:11" x14ac:dyDescent="0.2">
      <c r="B21" s="11" t="s">
        <v>184</v>
      </c>
      <c r="D21" s="27">
        <v>37586</v>
      </c>
      <c r="G21" s="12"/>
      <c r="K21" s="2"/>
    </row>
    <row r="22" spans="2:11" x14ac:dyDescent="0.2">
      <c r="B22" s="11" t="s">
        <v>229</v>
      </c>
      <c r="D22" s="27">
        <v>42034</v>
      </c>
      <c r="G22" s="12"/>
      <c r="K22" s="2"/>
    </row>
    <row r="23" spans="2:11" x14ac:dyDescent="0.2">
      <c r="B23" s="11" t="s">
        <v>185</v>
      </c>
      <c r="D23" s="27">
        <v>35230</v>
      </c>
      <c r="G23" s="12"/>
      <c r="J23" t="s">
        <v>224</v>
      </c>
      <c r="K23" s="2"/>
    </row>
    <row r="24" spans="2:11" x14ac:dyDescent="0.2">
      <c r="B24" s="11" t="s">
        <v>186</v>
      </c>
      <c r="D24" s="27">
        <v>31701</v>
      </c>
      <c r="G24" s="12"/>
      <c r="K24" s="2"/>
    </row>
    <row r="25" spans="2:11" x14ac:dyDescent="0.2">
      <c r="B25" s="11" t="s">
        <v>187</v>
      </c>
      <c r="D25" s="27">
        <v>32623</v>
      </c>
      <c r="G25" s="12"/>
      <c r="K25" s="2"/>
    </row>
    <row r="26" spans="2:11" x14ac:dyDescent="0.2">
      <c r="B26" s="11" t="s">
        <v>188</v>
      </c>
      <c r="D26" s="27">
        <v>41852</v>
      </c>
      <c r="G26" s="12"/>
      <c r="J26" s="25" t="s">
        <v>327</v>
      </c>
      <c r="K26" s="2"/>
    </row>
    <row r="27" spans="2:11" x14ac:dyDescent="0.2">
      <c r="B27" s="11" t="s">
        <v>189</v>
      </c>
      <c r="D27" s="27">
        <v>40938</v>
      </c>
      <c r="G27" s="12"/>
      <c r="J27" t="s">
        <v>328</v>
      </c>
      <c r="K27" s="2"/>
    </row>
    <row r="28" spans="2:11" x14ac:dyDescent="0.2">
      <c r="B28" s="11" t="s">
        <v>190</v>
      </c>
      <c r="D28" s="27">
        <v>42242</v>
      </c>
      <c r="G28" s="12"/>
      <c r="J28" t="s">
        <v>331</v>
      </c>
      <c r="K28" s="2"/>
    </row>
    <row r="29" spans="2:11" x14ac:dyDescent="0.2">
      <c r="B29" s="11" t="s">
        <v>191</v>
      </c>
      <c r="C29" t="s">
        <v>292</v>
      </c>
      <c r="D29" s="27">
        <v>42451</v>
      </c>
      <c r="G29" s="12"/>
      <c r="K29" s="2"/>
    </row>
    <row r="30" spans="2:11" x14ac:dyDescent="0.2">
      <c r="B30" s="11" t="s">
        <v>192</v>
      </c>
      <c r="D30" s="27">
        <v>43979</v>
      </c>
      <c r="G30" s="12"/>
      <c r="J30" t="s">
        <v>332</v>
      </c>
      <c r="K30" s="2"/>
    </row>
    <row r="31" spans="2:11" x14ac:dyDescent="0.2">
      <c r="B31" s="11" t="s">
        <v>193</v>
      </c>
      <c r="D31" s="27">
        <v>40665</v>
      </c>
      <c r="G31" s="12"/>
      <c r="K31" s="2"/>
    </row>
    <row r="32" spans="2:11" x14ac:dyDescent="0.2">
      <c r="B32" s="23" t="s">
        <v>194</v>
      </c>
      <c r="D32" s="27">
        <v>45553</v>
      </c>
      <c r="F32">
        <v>2027</v>
      </c>
      <c r="G32" s="12"/>
      <c r="J32" t="s">
        <v>333</v>
      </c>
      <c r="K32" s="2"/>
    </row>
    <row r="33" spans="2:11" x14ac:dyDescent="0.2">
      <c r="B33" s="11" t="s">
        <v>195</v>
      </c>
      <c r="C33" t="s">
        <v>294</v>
      </c>
      <c r="D33" s="27">
        <v>43006</v>
      </c>
      <c r="G33" s="12"/>
      <c r="J33" t="s">
        <v>334</v>
      </c>
      <c r="K33" s="2"/>
    </row>
    <row r="34" spans="2:11" x14ac:dyDescent="0.2">
      <c r="B34" s="13" t="s">
        <v>196</v>
      </c>
      <c r="C34" s="14"/>
      <c r="D34" s="28">
        <v>35338</v>
      </c>
      <c r="E34" s="14"/>
      <c r="F34" s="14"/>
      <c r="G34" s="16"/>
      <c r="K34" s="2"/>
    </row>
    <row r="35" spans="2:11" x14ac:dyDescent="0.2">
      <c r="B35" s="17"/>
      <c r="C35" s="18"/>
      <c r="D35" s="19" t="s">
        <v>8</v>
      </c>
      <c r="E35" s="18"/>
      <c r="F35" s="18"/>
      <c r="G35" s="20"/>
    </row>
    <row r="36" spans="2:11" x14ac:dyDescent="0.2">
      <c r="B36" s="11" t="s">
        <v>114</v>
      </c>
      <c r="D36" s="3" t="s">
        <v>105</v>
      </c>
      <c r="G36" s="12"/>
    </row>
    <row r="37" spans="2:11" x14ac:dyDescent="0.2">
      <c r="B37" s="23" t="s">
        <v>115</v>
      </c>
      <c r="C37" t="s">
        <v>234</v>
      </c>
      <c r="D37" s="3" t="s">
        <v>105</v>
      </c>
      <c r="G37" s="12"/>
    </row>
    <row r="38" spans="2:11" x14ac:dyDescent="0.2">
      <c r="B38" s="11" t="s">
        <v>116</v>
      </c>
      <c r="C38" t="s">
        <v>230</v>
      </c>
      <c r="D38" s="3" t="s">
        <v>105</v>
      </c>
      <c r="G38" s="12"/>
    </row>
    <row r="39" spans="2:11" x14ac:dyDescent="0.2">
      <c r="B39" s="23" t="s">
        <v>117</v>
      </c>
      <c r="D39" s="3" t="s">
        <v>105</v>
      </c>
      <c r="G39" s="12"/>
    </row>
    <row r="40" spans="2:11" x14ac:dyDescent="0.2">
      <c r="B40" s="23" t="s">
        <v>118</v>
      </c>
      <c r="C40" t="s">
        <v>231</v>
      </c>
      <c r="D40" s="3" t="s">
        <v>105</v>
      </c>
      <c r="G40" s="12"/>
    </row>
    <row r="41" spans="2:11" x14ac:dyDescent="0.2">
      <c r="B41" s="23" t="s">
        <v>101</v>
      </c>
      <c r="C41" t="s">
        <v>233</v>
      </c>
      <c r="D41" s="3" t="s">
        <v>105</v>
      </c>
      <c r="G41" s="12"/>
    </row>
    <row r="42" spans="2:11" x14ac:dyDescent="0.2">
      <c r="B42" s="23" t="s">
        <v>103</v>
      </c>
      <c r="C42" t="s">
        <v>329</v>
      </c>
      <c r="D42" s="3" t="s">
        <v>105</v>
      </c>
      <c r="E42" t="s">
        <v>330</v>
      </c>
      <c r="G42" s="12"/>
    </row>
    <row r="43" spans="2:11" x14ac:dyDescent="0.2">
      <c r="B43" s="11" t="s">
        <v>119</v>
      </c>
      <c r="C43" t="s">
        <v>207</v>
      </c>
      <c r="D43" s="3" t="s">
        <v>105</v>
      </c>
      <c r="G43" s="12"/>
    </row>
    <row r="44" spans="2:11" x14ac:dyDescent="0.2">
      <c r="B44" s="23" t="s">
        <v>120</v>
      </c>
      <c r="C44" t="s">
        <v>290</v>
      </c>
      <c r="D44" s="3" t="s">
        <v>105</v>
      </c>
      <c r="G44" s="12"/>
    </row>
    <row r="45" spans="2:11" x14ac:dyDescent="0.2">
      <c r="B45" s="11" t="s">
        <v>121</v>
      </c>
      <c r="D45" s="3" t="s">
        <v>105</v>
      </c>
      <c r="G45" s="12"/>
    </row>
    <row r="46" spans="2:11" x14ac:dyDescent="0.2">
      <c r="B46" s="11" t="s">
        <v>102</v>
      </c>
      <c r="C46" t="s">
        <v>293</v>
      </c>
      <c r="D46" s="3" t="s">
        <v>105</v>
      </c>
      <c r="G46" s="12"/>
    </row>
    <row r="47" spans="2:11" x14ac:dyDescent="0.2">
      <c r="B47" s="11" t="s">
        <v>122</v>
      </c>
      <c r="C47" t="s">
        <v>295</v>
      </c>
      <c r="D47" s="3" t="s">
        <v>141</v>
      </c>
      <c r="E47" t="s">
        <v>219</v>
      </c>
      <c r="G47" s="12"/>
    </row>
    <row r="48" spans="2:11" x14ac:dyDescent="0.2">
      <c r="B48" s="11" t="s">
        <v>123</v>
      </c>
      <c r="C48" t="s">
        <v>299</v>
      </c>
      <c r="D48" s="3" t="s">
        <v>141</v>
      </c>
      <c r="G48" s="12"/>
    </row>
    <row r="49" spans="2:7" x14ac:dyDescent="0.2">
      <c r="B49" s="11" t="s">
        <v>124</v>
      </c>
      <c r="C49" t="s">
        <v>295</v>
      </c>
      <c r="D49" s="3" t="s">
        <v>141</v>
      </c>
      <c r="G49" s="12"/>
    </row>
    <row r="50" spans="2:7" x14ac:dyDescent="0.2">
      <c r="B50" s="11" t="s">
        <v>125</v>
      </c>
      <c r="C50" t="s">
        <v>301</v>
      </c>
      <c r="D50" s="3" t="s">
        <v>141</v>
      </c>
      <c r="G50" s="12"/>
    </row>
    <row r="51" spans="2:7" x14ac:dyDescent="0.2">
      <c r="B51" s="11" t="s">
        <v>126</v>
      </c>
      <c r="C51" t="s">
        <v>315</v>
      </c>
      <c r="D51" s="3" t="s">
        <v>141</v>
      </c>
      <c r="G51" s="12"/>
    </row>
    <row r="52" spans="2:7" x14ac:dyDescent="0.2">
      <c r="B52" s="11" t="s">
        <v>127</v>
      </c>
      <c r="C52" t="s">
        <v>305</v>
      </c>
      <c r="D52" s="3" t="s">
        <v>141</v>
      </c>
      <c r="G52" s="12"/>
    </row>
    <row r="53" spans="2:7" x14ac:dyDescent="0.2">
      <c r="B53" s="11" t="s">
        <v>128</v>
      </c>
      <c r="C53" t="s">
        <v>295</v>
      </c>
      <c r="D53" s="3" t="s">
        <v>141</v>
      </c>
      <c r="G53" s="12"/>
    </row>
    <row r="54" spans="2:7" x14ac:dyDescent="0.2">
      <c r="B54" s="11" t="s">
        <v>129</v>
      </c>
      <c r="C54" t="s">
        <v>306</v>
      </c>
      <c r="D54" s="3" t="s">
        <v>141</v>
      </c>
      <c r="G54" s="12"/>
    </row>
    <row r="55" spans="2:7" x14ac:dyDescent="0.2">
      <c r="B55" s="11" t="s">
        <v>130</v>
      </c>
      <c r="C55" t="s">
        <v>300</v>
      </c>
      <c r="D55" s="3" t="s">
        <v>141</v>
      </c>
      <c r="G55" s="12"/>
    </row>
    <row r="56" spans="2:7" x14ac:dyDescent="0.2">
      <c r="B56" s="11" t="s">
        <v>131</v>
      </c>
      <c r="C56" t="s">
        <v>297</v>
      </c>
      <c r="D56" s="3" t="s">
        <v>141</v>
      </c>
      <c r="G56" s="12"/>
    </row>
    <row r="57" spans="2:7" x14ac:dyDescent="0.2">
      <c r="B57" s="11" t="s">
        <v>132</v>
      </c>
      <c r="C57" t="s">
        <v>316</v>
      </c>
      <c r="D57" s="3" t="s">
        <v>141</v>
      </c>
      <c r="G57" s="12"/>
    </row>
    <row r="58" spans="2:7" x14ac:dyDescent="0.2">
      <c r="B58" s="11" t="s">
        <v>133</v>
      </c>
      <c r="C58" t="s">
        <v>207</v>
      </c>
      <c r="D58" s="3" t="s">
        <v>141</v>
      </c>
      <c r="G58" s="12"/>
    </row>
    <row r="59" spans="2:7" x14ac:dyDescent="0.2">
      <c r="B59" s="11" t="s">
        <v>134</v>
      </c>
      <c r="C59" t="s">
        <v>302</v>
      </c>
      <c r="D59" s="3" t="s">
        <v>141</v>
      </c>
      <c r="G59" s="12"/>
    </row>
    <row r="60" spans="2:7" x14ac:dyDescent="0.2">
      <c r="B60" s="11" t="s">
        <v>135</v>
      </c>
      <c r="C60" t="s">
        <v>231</v>
      </c>
      <c r="D60" s="3" t="s">
        <v>232</v>
      </c>
      <c r="G60" s="12"/>
    </row>
    <row r="61" spans="2:7" x14ac:dyDescent="0.2">
      <c r="B61" s="11" t="s">
        <v>136</v>
      </c>
      <c r="C61" t="s">
        <v>303</v>
      </c>
      <c r="D61" s="3" t="s">
        <v>141</v>
      </c>
      <c r="G61" s="12"/>
    </row>
    <row r="62" spans="2:7" x14ac:dyDescent="0.2">
      <c r="B62" s="11" t="s">
        <v>137</v>
      </c>
      <c r="C62" t="s">
        <v>307</v>
      </c>
      <c r="D62" s="3" t="s">
        <v>141</v>
      </c>
      <c r="G62" s="12"/>
    </row>
    <row r="63" spans="2:7" x14ac:dyDescent="0.2">
      <c r="B63" s="11" t="s">
        <v>138</v>
      </c>
      <c r="D63" s="3" t="s">
        <v>141</v>
      </c>
      <c r="G63" s="12"/>
    </row>
    <row r="64" spans="2:7" x14ac:dyDescent="0.2">
      <c r="B64" s="11" t="s">
        <v>139</v>
      </c>
      <c r="C64" t="s">
        <v>300</v>
      </c>
      <c r="D64" s="3" t="s">
        <v>141</v>
      </c>
      <c r="G64" s="12"/>
    </row>
    <row r="65" spans="2:7" x14ac:dyDescent="0.2">
      <c r="B65" s="11" t="s">
        <v>140</v>
      </c>
      <c r="D65" s="3" t="s">
        <v>141</v>
      </c>
      <c r="G65" s="12"/>
    </row>
    <row r="66" spans="2:7" x14ac:dyDescent="0.2">
      <c r="B66" s="11" t="s">
        <v>142</v>
      </c>
      <c r="C66" t="s">
        <v>309</v>
      </c>
      <c r="D66" s="3" t="s">
        <v>167</v>
      </c>
      <c r="G66" s="12"/>
    </row>
    <row r="67" spans="2:7" x14ac:dyDescent="0.2">
      <c r="B67" s="11" t="s">
        <v>143</v>
      </c>
      <c r="C67" t="s">
        <v>304</v>
      </c>
      <c r="D67" s="3" t="s">
        <v>167</v>
      </c>
      <c r="G67" s="12"/>
    </row>
    <row r="68" spans="2:7" x14ac:dyDescent="0.2">
      <c r="B68" s="11" t="s">
        <v>144</v>
      </c>
      <c r="D68" s="3" t="s">
        <v>167</v>
      </c>
      <c r="G68" s="12"/>
    </row>
    <row r="69" spans="2:7" x14ac:dyDescent="0.2">
      <c r="B69" s="11" t="s">
        <v>145</v>
      </c>
      <c r="C69" t="s">
        <v>310</v>
      </c>
      <c r="D69" s="3" t="s">
        <v>167</v>
      </c>
      <c r="G69" s="12"/>
    </row>
    <row r="70" spans="2:7" x14ac:dyDescent="0.2">
      <c r="B70" s="11" t="s">
        <v>146</v>
      </c>
      <c r="C70" t="s">
        <v>311</v>
      </c>
      <c r="D70" s="3" t="s">
        <v>167</v>
      </c>
      <c r="G70" s="12"/>
    </row>
    <row r="71" spans="2:7" x14ac:dyDescent="0.2">
      <c r="B71" s="11" t="s">
        <v>147</v>
      </c>
      <c r="D71" s="3" t="s">
        <v>167</v>
      </c>
      <c r="G71" s="12"/>
    </row>
    <row r="72" spans="2:7" x14ac:dyDescent="0.2">
      <c r="B72" s="11" t="s">
        <v>148</v>
      </c>
      <c r="C72" t="s">
        <v>295</v>
      </c>
      <c r="D72" s="3" t="s">
        <v>167</v>
      </c>
      <c r="G72" s="12"/>
    </row>
    <row r="73" spans="2:7" x14ac:dyDescent="0.2">
      <c r="B73" s="11" t="s">
        <v>149</v>
      </c>
      <c r="D73" s="3" t="s">
        <v>167</v>
      </c>
      <c r="G73" s="12"/>
    </row>
    <row r="74" spans="2:7" x14ac:dyDescent="0.2">
      <c r="B74" s="11" t="s">
        <v>150</v>
      </c>
      <c r="C74" t="s">
        <v>295</v>
      </c>
      <c r="D74" s="3" t="s">
        <v>167</v>
      </c>
      <c r="G74" s="12"/>
    </row>
    <row r="75" spans="2:7" x14ac:dyDescent="0.2">
      <c r="B75" s="11" t="s">
        <v>151</v>
      </c>
      <c r="D75" s="3" t="s">
        <v>167</v>
      </c>
      <c r="G75" s="12"/>
    </row>
    <row r="76" spans="2:7" x14ac:dyDescent="0.2">
      <c r="B76" s="11" t="s">
        <v>152</v>
      </c>
      <c r="D76" s="3" t="s">
        <v>167</v>
      </c>
      <c r="G76" s="12"/>
    </row>
    <row r="77" spans="2:7" x14ac:dyDescent="0.2">
      <c r="B77" s="11" t="s">
        <v>153</v>
      </c>
      <c r="C77" t="s">
        <v>312</v>
      </c>
      <c r="D77" s="3" t="s">
        <v>167</v>
      </c>
      <c r="G77" s="12"/>
    </row>
    <row r="78" spans="2:7" x14ac:dyDescent="0.2">
      <c r="B78" s="11" t="s">
        <v>154</v>
      </c>
      <c r="C78" t="s">
        <v>296</v>
      </c>
      <c r="D78" s="3" t="s">
        <v>167</v>
      </c>
      <c r="G78" s="12"/>
    </row>
    <row r="79" spans="2:7" x14ac:dyDescent="0.2">
      <c r="B79" s="11" t="s">
        <v>155</v>
      </c>
      <c r="C79" t="s">
        <v>295</v>
      </c>
      <c r="D79" s="3" t="s">
        <v>167</v>
      </c>
      <c r="G79" s="12"/>
    </row>
    <row r="80" spans="2:7" x14ac:dyDescent="0.2">
      <c r="B80" s="11" t="s">
        <v>156</v>
      </c>
      <c r="C80" t="s">
        <v>207</v>
      </c>
      <c r="D80" s="3" t="s">
        <v>167</v>
      </c>
      <c r="G80" s="12"/>
    </row>
    <row r="81" spans="2:7" x14ac:dyDescent="0.2">
      <c r="B81" s="11" t="s">
        <v>157</v>
      </c>
      <c r="C81" t="s">
        <v>313</v>
      </c>
      <c r="D81" s="3" t="s">
        <v>167</v>
      </c>
      <c r="G81" s="12"/>
    </row>
    <row r="82" spans="2:7" x14ac:dyDescent="0.2">
      <c r="B82" s="11" t="s">
        <v>158</v>
      </c>
      <c r="D82" s="3" t="s">
        <v>167</v>
      </c>
      <c r="G82" s="12"/>
    </row>
    <row r="83" spans="2:7" x14ac:dyDescent="0.2">
      <c r="B83" s="11" t="s">
        <v>159</v>
      </c>
      <c r="C83" t="s">
        <v>230</v>
      </c>
      <c r="D83" s="3" t="s">
        <v>167</v>
      </c>
      <c r="G83" s="12"/>
    </row>
    <row r="84" spans="2:7" x14ac:dyDescent="0.2">
      <c r="B84" s="11" t="s">
        <v>160</v>
      </c>
      <c r="C84" t="s">
        <v>312</v>
      </c>
      <c r="D84" s="3" t="s">
        <v>167</v>
      </c>
      <c r="G84" s="12"/>
    </row>
    <row r="85" spans="2:7" x14ac:dyDescent="0.2">
      <c r="B85" s="11" t="s">
        <v>161</v>
      </c>
      <c r="C85" t="s">
        <v>314</v>
      </c>
      <c r="D85" s="3" t="s">
        <v>167</v>
      </c>
      <c r="G85" s="12"/>
    </row>
    <row r="86" spans="2:7" x14ac:dyDescent="0.2">
      <c r="B86" s="11" t="s">
        <v>162</v>
      </c>
      <c r="C86" t="s">
        <v>298</v>
      </c>
      <c r="D86" s="3" t="s">
        <v>167</v>
      </c>
      <c r="G86" s="12"/>
    </row>
    <row r="87" spans="2:7" x14ac:dyDescent="0.2">
      <c r="B87" s="11" t="s">
        <v>163</v>
      </c>
      <c r="D87" s="3" t="s">
        <v>167</v>
      </c>
      <c r="G87" s="12"/>
    </row>
    <row r="88" spans="2:7" x14ac:dyDescent="0.2">
      <c r="B88" s="11" t="s">
        <v>164</v>
      </c>
      <c r="D88" s="3" t="s">
        <v>167</v>
      </c>
      <c r="G88" s="12"/>
    </row>
    <row r="89" spans="2:7" x14ac:dyDescent="0.2">
      <c r="B89" s="11" t="s">
        <v>165</v>
      </c>
      <c r="C89" t="s">
        <v>313</v>
      </c>
      <c r="D89" s="3" t="s">
        <v>167</v>
      </c>
      <c r="G89" s="12"/>
    </row>
    <row r="90" spans="2:7" x14ac:dyDescent="0.2">
      <c r="B90" s="13" t="s">
        <v>166</v>
      </c>
      <c r="C90" s="14" t="s">
        <v>308</v>
      </c>
      <c r="D90" s="15" t="s">
        <v>167</v>
      </c>
      <c r="E90" s="14"/>
      <c r="F90" s="14"/>
      <c r="G90" s="16"/>
    </row>
    <row r="91" spans="2:7" x14ac:dyDescent="0.2">
      <c r="D91" s="3"/>
    </row>
    <row r="92" spans="2:7" x14ac:dyDescent="0.2">
      <c r="D92" s="3"/>
    </row>
    <row r="93" spans="2:7" x14ac:dyDescent="0.2">
      <c r="D93" s="3"/>
    </row>
    <row r="94" spans="2:7" x14ac:dyDescent="0.2">
      <c r="D94" s="3"/>
    </row>
    <row r="95" spans="2:7" x14ac:dyDescent="0.2">
      <c r="D95" s="3"/>
    </row>
    <row r="96" spans="2:7" x14ac:dyDescent="0.2">
      <c r="D96" s="3"/>
    </row>
  </sheetData>
  <hyperlinks>
    <hyperlink ref="B3" location="'Mounjaro-Zepbound'!A1" display="Mounjaro (tirzepatide)" xr:uid="{0C5F0B94-81CD-41B8-8260-29D7B5C2D50E}"/>
    <hyperlink ref="B4" location="'Mounjaro-Zepbound'!A1" display="Zepbound (tirzepatide)" xr:uid="{7C402F06-D760-48B4-BC4C-CCBE56412979}"/>
    <hyperlink ref="B32" location="Trulicity!A1" display="Trulicity (dulaglutide)" xr:uid="{FC20B418-153B-42B3-9A53-A3EA1B65F958}"/>
    <hyperlink ref="B42" location="orforglipron!A1" display="Orforglipron" xr:uid="{D0F7F558-38EC-402D-BBEB-C86D7717AA7D}"/>
    <hyperlink ref="B44" location="retratrutide!A1" display="Retatrutide" xr:uid="{2A09D526-D063-4409-93BE-774B02C727DC}"/>
    <hyperlink ref="B12" location="Kisunla!A1" display="Kisunla (donanemab-azbt)" xr:uid="{889E8E40-039A-475B-A62D-BB951C3F4C8B}"/>
    <hyperlink ref="B37" location="imlunestrant!A1" display="Imlunestrant" xr:uid="{7C4B9306-2548-42C6-AB30-3AFAF4A7AF72}"/>
    <hyperlink ref="B39" location="lebrikizumab!A1" display="Lebrikizumab" xr:uid="{A4704682-12B2-4334-B405-91540F1C9347}"/>
    <hyperlink ref="B40" location="lepodisiran!A1" display="Lepodisiran" xr:uid="{47ACDD19-D730-4CFE-8F93-97F2F94638EE}"/>
    <hyperlink ref="B9" location="mirikizumab!A1" display="Omvoh (mirikizumab-mrkz)" xr:uid="{E037DA28-FC78-43F4-A6E8-0D78AE3CE945}"/>
    <hyperlink ref="B41" location="olomorasib!A1" display="Olomorasib" xr:uid="{75058294-6EA6-4DFA-AE9A-6468C9C5B45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A6F6-DBF9-4590-B13F-B22EDCA5BB90}">
  <dimension ref="A1:C1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212</v>
      </c>
    </row>
    <row r="4" spans="1:3" x14ac:dyDescent="0.2">
      <c r="B4" t="s">
        <v>7</v>
      </c>
      <c r="C4" t="s">
        <v>288</v>
      </c>
    </row>
    <row r="5" spans="1:3" x14ac:dyDescent="0.2">
      <c r="B5" t="s">
        <v>10</v>
      </c>
      <c r="C5" t="s">
        <v>225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  <c r="C8" t="s">
        <v>226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211</v>
      </c>
    </row>
    <row r="12" spans="1:3" x14ac:dyDescent="0.2">
      <c r="C12" t="s">
        <v>227</v>
      </c>
    </row>
    <row r="15" spans="1:3" x14ac:dyDescent="0.2">
      <c r="C15" s="25" t="s">
        <v>214</v>
      </c>
    </row>
    <row r="16" spans="1:3" x14ac:dyDescent="0.2">
      <c r="C16" t="s">
        <v>215</v>
      </c>
    </row>
  </sheetData>
  <hyperlinks>
    <hyperlink ref="A1" location="Main!A1" display="Main" xr:uid="{CE51DBE6-8B44-4E87-A0EB-867BDF7E290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3FF-A569-428F-A3AC-698CB3C8F0D4}">
  <dimension ref="A1:C12"/>
  <sheetViews>
    <sheetView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216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217</v>
      </c>
    </row>
    <row r="12" spans="1:3" x14ac:dyDescent="0.2">
      <c r="C12" t="s">
        <v>218</v>
      </c>
    </row>
  </sheetData>
  <hyperlinks>
    <hyperlink ref="A1" location="Main!A1" display="Main" xr:uid="{A1418863-84F2-49C7-AA37-7BC877A9125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883-F550-49DC-8A22-C9EDC397F408}">
  <dimension ref="A1:C17"/>
  <sheetViews>
    <sheetView zoomScale="130" zoomScaleNormal="130" workbookViewId="0">
      <selection activeCell="E29" sqref="E29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243</v>
      </c>
    </row>
    <row r="4" spans="1:3" x14ac:dyDescent="0.2">
      <c r="B4" t="s">
        <v>7</v>
      </c>
      <c r="C4" t="s">
        <v>246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244</v>
      </c>
    </row>
    <row r="12" spans="1:3" x14ac:dyDescent="0.2">
      <c r="C12" t="s">
        <v>247</v>
      </c>
    </row>
    <row r="13" spans="1:3" x14ac:dyDescent="0.2">
      <c r="C13" s="29">
        <v>46600</v>
      </c>
    </row>
    <row r="15" spans="1:3" x14ac:dyDescent="0.2">
      <c r="C15" s="25" t="s">
        <v>245</v>
      </c>
    </row>
    <row r="16" spans="1:3" x14ac:dyDescent="0.2">
      <c r="C16" t="s">
        <v>248</v>
      </c>
    </row>
    <row r="17" spans="3:3" x14ac:dyDescent="0.2">
      <c r="C17" s="29">
        <v>48274</v>
      </c>
    </row>
  </sheetData>
  <hyperlinks>
    <hyperlink ref="A1" location="Main!A1" display="Main" xr:uid="{4931E407-EDE6-48D9-916D-A8EE4E1011C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6EB6-E7FB-48AF-BF3C-2B541E9E55CA}">
  <dimension ref="A1:C34"/>
  <sheetViews>
    <sheetView zoomScale="130" zoomScaleNormal="130" workbookViewId="0">
      <selection activeCell="B21" sqref="B21"/>
    </sheetView>
  </sheetViews>
  <sheetFormatPr defaultRowHeight="12.75" x14ac:dyDescent="0.2"/>
  <cols>
    <col min="1" max="1" width="5" bestFit="1" customWidth="1"/>
    <col min="2" max="2" width="15" bestFit="1" customWidth="1"/>
    <col min="3" max="3" width="11.4257812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250</v>
      </c>
    </row>
    <row r="3" spans="1:3" x14ac:dyDescent="0.2">
      <c r="B3" t="s">
        <v>36</v>
      </c>
      <c r="C3" t="s">
        <v>249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251</v>
      </c>
    </row>
    <row r="12" spans="1:3" x14ac:dyDescent="0.2">
      <c r="C12" t="s">
        <v>259</v>
      </c>
    </row>
    <row r="13" spans="1:3" x14ac:dyDescent="0.2">
      <c r="C13" s="29">
        <v>45689</v>
      </c>
    </row>
    <row r="14" spans="1:3" x14ac:dyDescent="0.2">
      <c r="C14" s="25" t="s">
        <v>252</v>
      </c>
    </row>
    <row r="15" spans="1:3" x14ac:dyDescent="0.2">
      <c r="C15" t="s">
        <v>260</v>
      </c>
    </row>
    <row r="16" spans="1:3" x14ac:dyDescent="0.2">
      <c r="C16" s="29">
        <v>45748</v>
      </c>
    </row>
    <row r="17" spans="3:3" x14ac:dyDescent="0.2">
      <c r="C17" s="25" t="s">
        <v>254</v>
      </c>
    </row>
    <row r="18" spans="3:3" x14ac:dyDescent="0.2">
      <c r="C18" t="s">
        <v>259</v>
      </c>
    </row>
    <row r="19" spans="3:3" x14ac:dyDescent="0.2">
      <c r="C19" s="29">
        <v>46419</v>
      </c>
    </row>
    <row r="20" spans="3:3" x14ac:dyDescent="0.2">
      <c r="C20" s="25" t="s">
        <v>253</v>
      </c>
    </row>
    <row r="21" spans="3:3" x14ac:dyDescent="0.2">
      <c r="C21" t="s">
        <v>260</v>
      </c>
    </row>
    <row r="22" spans="3:3" x14ac:dyDescent="0.2">
      <c r="C22" s="29">
        <v>46174</v>
      </c>
    </row>
    <row r="23" spans="3:3" x14ac:dyDescent="0.2">
      <c r="C23" s="25" t="s">
        <v>255</v>
      </c>
    </row>
    <row r="24" spans="3:3" x14ac:dyDescent="0.2">
      <c r="C24" t="s">
        <v>259</v>
      </c>
    </row>
    <row r="25" spans="3:3" x14ac:dyDescent="0.2">
      <c r="C25" s="29">
        <v>46327</v>
      </c>
    </row>
    <row r="26" spans="3:3" x14ac:dyDescent="0.2">
      <c r="C26" s="25" t="s">
        <v>256</v>
      </c>
    </row>
    <row r="27" spans="3:3" x14ac:dyDescent="0.2">
      <c r="C27" t="s">
        <v>261</v>
      </c>
    </row>
    <row r="28" spans="3:3" x14ac:dyDescent="0.2">
      <c r="C28" s="29">
        <v>46419</v>
      </c>
    </row>
    <row r="29" spans="3:3" x14ac:dyDescent="0.2">
      <c r="C29" s="25" t="s">
        <v>257</v>
      </c>
    </row>
    <row r="30" spans="3:3" x14ac:dyDescent="0.2">
      <c r="C30" t="s">
        <v>262</v>
      </c>
    </row>
    <row r="31" spans="3:3" x14ac:dyDescent="0.2">
      <c r="C31" s="29">
        <v>46266</v>
      </c>
    </row>
    <row r="32" spans="3:3" x14ac:dyDescent="0.2">
      <c r="C32" s="25" t="s">
        <v>258</v>
      </c>
    </row>
    <row r="33" spans="3:3" x14ac:dyDescent="0.2">
      <c r="C33" t="s">
        <v>263</v>
      </c>
    </row>
    <row r="34" spans="3:3" x14ac:dyDescent="0.2">
      <c r="C34" s="29">
        <v>46419</v>
      </c>
    </row>
  </sheetData>
  <hyperlinks>
    <hyperlink ref="A1" location="Main!A1" display="Main" xr:uid="{740889EA-F2D8-43F6-A503-19990B2EF81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556F-E243-45F0-BA15-3375F9F3D65A}">
  <dimension ref="A1:C13"/>
  <sheetViews>
    <sheetView zoomScale="130" zoomScaleNormal="130" workbookViewId="0">
      <selection activeCell="E31" sqref="E31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264</v>
      </c>
    </row>
    <row r="4" spans="1:3" x14ac:dyDescent="0.2">
      <c r="B4" t="s">
        <v>7</v>
      </c>
      <c r="C4" t="s">
        <v>231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265</v>
      </c>
    </row>
    <row r="12" spans="1:3" x14ac:dyDescent="0.2">
      <c r="C12" t="s">
        <v>266</v>
      </c>
    </row>
    <row r="13" spans="1:3" x14ac:dyDescent="0.2">
      <c r="C13" s="29">
        <v>47178</v>
      </c>
    </row>
  </sheetData>
  <hyperlinks>
    <hyperlink ref="A1" location="Main!A1" display="Main" xr:uid="{60FF9F2F-01C8-4C40-94DF-DBAE612AE1D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E77-10D0-4452-A008-CC8E0FEAB7B3}">
  <dimension ref="A1:C25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.5703125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273</v>
      </c>
    </row>
    <row r="3" spans="1:3" x14ac:dyDescent="0.2">
      <c r="B3" t="s">
        <v>36</v>
      </c>
      <c r="C3" t="s">
        <v>267</v>
      </c>
    </row>
    <row r="4" spans="1:3" x14ac:dyDescent="0.2">
      <c r="B4" t="s">
        <v>7</v>
      </c>
      <c r="C4" t="s">
        <v>268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269</v>
      </c>
    </row>
    <row r="12" spans="1:3" x14ac:dyDescent="0.2">
      <c r="C12" t="s">
        <v>274</v>
      </c>
    </row>
    <row r="13" spans="1:3" x14ac:dyDescent="0.2">
      <c r="C13" s="29">
        <v>46357</v>
      </c>
    </row>
    <row r="15" spans="1:3" x14ac:dyDescent="0.2">
      <c r="C15" s="25" t="s">
        <v>270</v>
      </c>
    </row>
    <row r="16" spans="1:3" x14ac:dyDescent="0.2">
      <c r="C16" t="s">
        <v>275</v>
      </c>
    </row>
    <row r="17" spans="3:3" x14ac:dyDescent="0.2">
      <c r="C17" s="29">
        <v>46874</v>
      </c>
    </row>
    <row r="19" spans="3:3" x14ac:dyDescent="0.2">
      <c r="C19" s="25" t="s">
        <v>271</v>
      </c>
    </row>
    <row r="20" spans="3:3" x14ac:dyDescent="0.2">
      <c r="C20" t="s">
        <v>276</v>
      </c>
    </row>
    <row r="21" spans="3:3" x14ac:dyDescent="0.2">
      <c r="C21" s="29">
        <v>46722</v>
      </c>
    </row>
    <row r="23" spans="3:3" x14ac:dyDescent="0.2">
      <c r="C23" s="25" t="s">
        <v>272</v>
      </c>
    </row>
    <row r="24" spans="3:3" x14ac:dyDescent="0.2">
      <c r="C24" t="s">
        <v>277</v>
      </c>
    </row>
    <row r="25" spans="3:3" x14ac:dyDescent="0.2">
      <c r="C25" s="29">
        <v>46844</v>
      </c>
    </row>
  </sheetData>
  <hyperlinks>
    <hyperlink ref="A1" location="Main!A1" display="Main" xr:uid="{7BCB8BDA-EA88-4EFD-8583-5F745437393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2C5-07C5-40B2-9372-AC6E7F29EFB7}">
  <dimension ref="A1:C21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280</v>
      </c>
    </row>
    <row r="3" spans="1:3" x14ac:dyDescent="0.2">
      <c r="B3" t="s">
        <v>36</v>
      </c>
      <c r="C3" t="s">
        <v>278</v>
      </c>
    </row>
    <row r="4" spans="1:3" x14ac:dyDescent="0.2">
      <c r="B4" t="s">
        <v>7</v>
      </c>
      <c r="C4" t="s">
        <v>279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281</v>
      </c>
    </row>
    <row r="12" spans="1:3" x14ac:dyDescent="0.2">
      <c r="C12" t="s">
        <v>285</v>
      </c>
    </row>
    <row r="13" spans="1:3" x14ac:dyDescent="0.2">
      <c r="C13" s="29">
        <v>47392</v>
      </c>
    </row>
    <row r="15" spans="1:3" x14ac:dyDescent="0.2">
      <c r="C15" s="25" t="s">
        <v>283</v>
      </c>
    </row>
    <row r="16" spans="1:3" x14ac:dyDescent="0.2">
      <c r="C16" t="s">
        <v>284</v>
      </c>
    </row>
    <row r="17" spans="3:3" x14ac:dyDescent="0.2">
      <c r="C17" s="29">
        <v>48245</v>
      </c>
    </row>
    <row r="19" spans="3:3" x14ac:dyDescent="0.2">
      <c r="C19" s="25" t="s">
        <v>282</v>
      </c>
    </row>
    <row r="20" spans="3:3" x14ac:dyDescent="0.2">
      <c r="C20" t="s">
        <v>286</v>
      </c>
    </row>
    <row r="21" spans="3:3" x14ac:dyDescent="0.2">
      <c r="C21" s="29">
        <v>46478</v>
      </c>
    </row>
  </sheetData>
  <hyperlinks>
    <hyperlink ref="A1" location="Main!A1" display="Main" xr:uid="{81F6F906-A93D-4409-8C04-AF26116D6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A39-FD53-497C-AEEB-0F0FD94197E7}">
  <dimension ref="A1:DV102"/>
  <sheetViews>
    <sheetView zoomScale="130" zoomScaleNormal="130" workbookViewId="0">
      <pane xSplit="2" ySplit="2" topLeftCell="AB15" activePane="bottomRight" state="frozen"/>
      <selection pane="topRight" activeCell="C1" sqref="C1"/>
      <selection pane="bottomLeft" activeCell="A3" sqref="A3"/>
      <selection pane="bottomRight" activeCell="AJ22" sqref="AJ22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6" width="9.140625" style="2" customWidth="1"/>
    <col min="7" max="12" width="9.140625" style="2"/>
    <col min="13" max="13" width="10.140625" style="2" bestFit="1" customWidth="1"/>
    <col min="14" max="16384" width="9.140625" style="2"/>
  </cols>
  <sheetData>
    <row r="1" spans="1:33" x14ac:dyDescent="0.2">
      <c r="A1" s="6" t="s">
        <v>14</v>
      </c>
      <c r="L1" s="24">
        <v>45876</v>
      </c>
      <c r="M1" s="24">
        <v>45960</v>
      </c>
    </row>
    <row r="2" spans="1:33" x14ac:dyDescent="0.2">
      <c r="C2" s="2" t="s">
        <v>341</v>
      </c>
      <c r="D2" s="2" t="s">
        <v>342</v>
      </c>
      <c r="E2" s="2" t="s">
        <v>343</v>
      </c>
      <c r="F2" s="2" t="s">
        <v>344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13</v>
      </c>
      <c r="L2" s="2" t="s">
        <v>20</v>
      </c>
      <c r="M2" s="2" t="s">
        <v>21</v>
      </c>
      <c r="N2" s="2" t="s">
        <v>22</v>
      </c>
      <c r="P2" s="8">
        <v>2018</v>
      </c>
      <c r="Q2" s="8">
        <v>2019</v>
      </c>
      <c r="R2" s="8">
        <f>Q2+1</f>
        <v>2020</v>
      </c>
      <c r="S2" s="8">
        <f>R2+1</f>
        <v>2021</v>
      </c>
      <c r="T2" s="8">
        <f>S2+1</f>
        <v>2022</v>
      </c>
      <c r="U2" s="8">
        <f t="shared" ref="U2:AF2" si="0">T2+1</f>
        <v>2023</v>
      </c>
      <c r="V2" s="8">
        <f t="shared" si="0"/>
        <v>2024</v>
      </c>
      <c r="W2" s="8">
        <f t="shared" si="0"/>
        <v>2025</v>
      </c>
      <c r="X2" s="8">
        <f t="shared" si="0"/>
        <v>2026</v>
      </c>
      <c r="Y2" s="8">
        <f t="shared" si="0"/>
        <v>2027</v>
      </c>
      <c r="Z2" s="8">
        <f t="shared" si="0"/>
        <v>2028</v>
      </c>
      <c r="AA2" s="8">
        <f t="shared" si="0"/>
        <v>2029</v>
      </c>
      <c r="AB2" s="8">
        <f t="shared" si="0"/>
        <v>2030</v>
      </c>
      <c r="AC2" s="8">
        <f t="shared" si="0"/>
        <v>2031</v>
      </c>
      <c r="AD2" s="8">
        <f t="shared" si="0"/>
        <v>2032</v>
      </c>
      <c r="AE2" s="8">
        <f t="shared" si="0"/>
        <v>2033</v>
      </c>
      <c r="AF2" s="8">
        <f t="shared" si="0"/>
        <v>2034</v>
      </c>
      <c r="AG2" s="8"/>
    </row>
    <row r="3" spans="1:33" x14ac:dyDescent="0.2">
      <c r="B3" s="2" t="s">
        <v>93</v>
      </c>
      <c r="C3" s="2">
        <v>568.5</v>
      </c>
      <c r="D3" s="2">
        <v>980</v>
      </c>
      <c r="E3" s="2">
        <v>1409</v>
      </c>
      <c r="F3" s="2">
        <v>2206</v>
      </c>
      <c r="G3" s="2">
        <v>1807</v>
      </c>
      <c r="H3" s="2">
        <v>3091</v>
      </c>
      <c r="I3" s="2">
        <v>3123</v>
      </c>
      <c r="J3" s="2">
        <v>3530</v>
      </c>
      <c r="K3" s="2">
        <v>3842</v>
      </c>
      <c r="L3" s="2">
        <v>5199</v>
      </c>
      <c r="U3" s="2">
        <v>5163</v>
      </c>
      <c r="V3" s="2">
        <v>11540</v>
      </c>
      <c r="W3" s="10"/>
    </row>
    <row r="4" spans="1:33" x14ac:dyDescent="0.2">
      <c r="B4" s="2" t="s">
        <v>97</v>
      </c>
      <c r="C4" s="2">
        <v>751</v>
      </c>
      <c r="D4" s="2">
        <v>927</v>
      </c>
      <c r="E4" s="2">
        <v>1040</v>
      </c>
      <c r="F4" s="2">
        <v>1145</v>
      </c>
      <c r="G4" s="2">
        <v>1050</v>
      </c>
      <c r="H4" s="2">
        <v>1332</v>
      </c>
      <c r="I4" s="2">
        <v>1369</v>
      </c>
      <c r="J4" s="2">
        <v>1555</v>
      </c>
      <c r="K4" s="2">
        <v>1159</v>
      </c>
      <c r="L4" s="2">
        <v>1489</v>
      </c>
      <c r="S4" s="2">
        <v>1350</v>
      </c>
      <c r="T4" s="2">
        <v>2484</v>
      </c>
      <c r="U4" s="2">
        <v>3863.4</v>
      </c>
      <c r="V4" s="2">
        <v>5307</v>
      </c>
    </row>
    <row r="5" spans="1:33" x14ac:dyDescent="0.2">
      <c r="B5" s="2" t="s">
        <v>95</v>
      </c>
      <c r="C5" s="2">
        <v>1977</v>
      </c>
      <c r="D5" s="2">
        <v>1813</v>
      </c>
      <c r="E5" s="2">
        <v>1674</v>
      </c>
      <c r="F5" s="2">
        <v>1669</v>
      </c>
      <c r="G5" s="2">
        <v>1456</v>
      </c>
      <c r="H5" s="2">
        <v>1246</v>
      </c>
      <c r="I5" s="2">
        <v>1301</v>
      </c>
      <c r="J5" s="2">
        <v>1250</v>
      </c>
      <c r="S5" s="2">
        <v>6472</v>
      </c>
      <c r="T5" s="2">
        <v>7440</v>
      </c>
      <c r="U5" s="2">
        <v>7133</v>
      </c>
      <c r="V5" s="2">
        <v>5254</v>
      </c>
      <c r="X5" s="10"/>
    </row>
    <row r="6" spans="1:33" x14ac:dyDescent="0.2">
      <c r="B6" s="2" t="s">
        <v>94</v>
      </c>
      <c r="F6" s="2">
        <v>176</v>
      </c>
      <c r="G6" s="2">
        <v>517</v>
      </c>
      <c r="H6" s="2">
        <v>1243.2</v>
      </c>
      <c r="I6" s="2">
        <v>1258</v>
      </c>
      <c r="J6" s="2">
        <v>1907</v>
      </c>
      <c r="K6" s="2">
        <v>2312</v>
      </c>
      <c r="L6" s="2">
        <v>3381.4</v>
      </c>
      <c r="U6" s="2">
        <v>176</v>
      </c>
      <c r="V6" s="2">
        <v>4926</v>
      </c>
    </row>
    <row r="7" spans="1:33" x14ac:dyDescent="0.2">
      <c r="B7" s="2" t="s">
        <v>96</v>
      </c>
      <c r="C7" s="2">
        <v>577.5</v>
      </c>
      <c r="D7" s="2">
        <v>668</v>
      </c>
      <c r="E7" s="2">
        <v>701</v>
      </c>
      <c r="F7" s="2">
        <v>798</v>
      </c>
      <c r="G7" s="2">
        <v>686.5</v>
      </c>
      <c r="H7" s="2">
        <v>770</v>
      </c>
      <c r="I7" s="2">
        <v>686.4</v>
      </c>
      <c r="J7" s="2">
        <v>1198</v>
      </c>
      <c r="S7" s="2">
        <v>1491</v>
      </c>
      <c r="T7" s="2">
        <v>2066</v>
      </c>
      <c r="U7" s="2">
        <v>2745</v>
      </c>
      <c r="V7" s="2">
        <v>3341</v>
      </c>
    </row>
    <row r="8" spans="1:33" x14ac:dyDescent="0.2">
      <c r="B8" s="2" t="s">
        <v>98</v>
      </c>
      <c r="C8" s="2">
        <v>527</v>
      </c>
      <c r="D8" s="2">
        <v>704</v>
      </c>
      <c r="E8" s="2">
        <v>744.2</v>
      </c>
      <c r="F8" s="2">
        <v>784.6</v>
      </c>
      <c r="G8" s="2">
        <v>604</v>
      </c>
      <c r="H8" s="2">
        <v>825</v>
      </c>
      <c r="I8" s="2">
        <v>880</v>
      </c>
      <c r="J8" s="2">
        <v>952</v>
      </c>
      <c r="S8" s="2">
        <v>2213</v>
      </c>
      <c r="T8" s="2">
        <v>2482</v>
      </c>
      <c r="U8" s="2">
        <v>2760</v>
      </c>
      <c r="V8" s="2">
        <v>3260.5</v>
      </c>
    </row>
    <row r="9" spans="1:33" x14ac:dyDescent="0.2">
      <c r="B9" s="2" t="s">
        <v>345</v>
      </c>
      <c r="C9" s="2">
        <v>461</v>
      </c>
      <c r="D9" s="2">
        <v>440</v>
      </c>
      <c r="E9" s="2">
        <v>395</v>
      </c>
      <c r="F9" s="2">
        <v>367</v>
      </c>
      <c r="G9" s="2">
        <v>539</v>
      </c>
      <c r="H9" s="2">
        <v>632</v>
      </c>
      <c r="I9" s="2">
        <v>535</v>
      </c>
      <c r="J9" s="2">
        <v>620</v>
      </c>
      <c r="S9" s="2">
        <v>2453</v>
      </c>
      <c r="T9" s="2">
        <v>2024</v>
      </c>
      <c r="U9" s="2">
        <v>1663</v>
      </c>
      <c r="V9" s="2">
        <v>2325</v>
      </c>
    </row>
    <row r="10" spans="1:33" x14ac:dyDescent="0.2">
      <c r="B10" s="2" t="s">
        <v>346</v>
      </c>
      <c r="S10" s="2">
        <v>1033</v>
      </c>
      <c r="T10" s="2">
        <v>971.4</v>
      </c>
      <c r="U10" s="2">
        <v>975</v>
      </c>
      <c r="V10" s="2">
        <v>973</v>
      </c>
    </row>
    <row r="11" spans="1:33" x14ac:dyDescent="0.2">
      <c r="B11" s="2" t="s">
        <v>347</v>
      </c>
      <c r="S11" s="2">
        <v>1115</v>
      </c>
      <c r="T11" s="2">
        <v>830.5</v>
      </c>
      <c r="U11" s="2">
        <v>923</v>
      </c>
      <c r="V11" s="2">
        <v>957</v>
      </c>
    </row>
    <row r="12" spans="1:33" x14ac:dyDescent="0.2">
      <c r="B12" s="2" t="s">
        <v>348</v>
      </c>
      <c r="S12" s="2">
        <v>1223</v>
      </c>
      <c r="T12" s="2">
        <v>1019.4</v>
      </c>
      <c r="U12" s="2">
        <v>852</v>
      </c>
      <c r="V12" s="2">
        <v>917</v>
      </c>
    </row>
    <row r="13" spans="1:33" x14ac:dyDescent="0.2">
      <c r="B13" s="2" t="s">
        <v>349</v>
      </c>
      <c r="S13" s="2">
        <v>577</v>
      </c>
      <c r="T13" s="2">
        <v>651</v>
      </c>
      <c r="U13" s="2">
        <v>678</v>
      </c>
      <c r="V13" s="2">
        <v>870</v>
      </c>
    </row>
    <row r="14" spans="1:33" x14ac:dyDescent="0.2">
      <c r="B14" s="2" t="s">
        <v>350</v>
      </c>
      <c r="S14" s="2">
        <v>893</v>
      </c>
      <c r="T14" s="2">
        <v>760</v>
      </c>
      <c r="U14" s="2">
        <v>728</v>
      </c>
      <c r="V14" s="2">
        <v>677</v>
      </c>
    </row>
    <row r="15" spans="1:33" x14ac:dyDescent="0.2">
      <c r="B15" s="2" t="s">
        <v>351</v>
      </c>
      <c r="U15" s="2">
        <v>597</v>
      </c>
      <c r="V15" s="2">
        <v>627</v>
      </c>
    </row>
    <row r="16" spans="1:33" x14ac:dyDescent="0.2">
      <c r="B16" s="2" t="s">
        <v>352</v>
      </c>
      <c r="S16" s="2">
        <v>418</v>
      </c>
      <c r="T16" s="2">
        <v>293</v>
      </c>
      <c r="U16" s="2">
        <v>393</v>
      </c>
      <c r="V16" s="2">
        <v>526</v>
      </c>
    </row>
    <row r="17" spans="1:126" x14ac:dyDescent="0.2">
      <c r="B17" s="2" t="s">
        <v>353</v>
      </c>
      <c r="U17" s="2">
        <v>1695</v>
      </c>
      <c r="V17" s="2">
        <v>116</v>
      </c>
    </row>
    <row r="18" spans="1:126" x14ac:dyDescent="0.2">
      <c r="B18" s="2" t="s">
        <v>354</v>
      </c>
      <c r="U18" s="2">
        <v>678</v>
      </c>
      <c r="V18" s="2">
        <v>29</v>
      </c>
    </row>
    <row r="19" spans="1:126" x14ac:dyDescent="0.2">
      <c r="B19" s="2" t="s">
        <v>355</v>
      </c>
      <c r="U19" s="2">
        <v>3103</v>
      </c>
      <c r="V19" s="2">
        <v>3397</v>
      </c>
    </row>
    <row r="20" spans="1:126" s="7" customFormat="1" x14ac:dyDescent="0.2">
      <c r="A20" s="2"/>
      <c r="B20" s="7" t="s">
        <v>15</v>
      </c>
      <c r="C20" s="7">
        <v>6960</v>
      </c>
      <c r="D20" s="7">
        <v>8312</v>
      </c>
      <c r="E20" s="7">
        <v>9499</v>
      </c>
      <c r="F20" s="7">
        <v>9353.4</v>
      </c>
      <c r="G20" s="7">
        <v>8768</v>
      </c>
      <c r="H20" s="7">
        <v>11303</v>
      </c>
      <c r="I20" s="7">
        <v>11439</v>
      </c>
      <c r="J20" s="7">
        <v>13533</v>
      </c>
      <c r="K20" s="7">
        <v>12728</v>
      </c>
      <c r="L20" s="7">
        <v>15557</v>
      </c>
      <c r="M20" s="7">
        <f>L20*1.04</f>
        <v>16179.28</v>
      </c>
      <c r="N20" s="7">
        <f>M20*1.04</f>
        <v>16826.4512</v>
      </c>
      <c r="P20" s="7">
        <v>21493</v>
      </c>
      <c r="Q20" s="7">
        <v>22320</v>
      </c>
      <c r="R20" s="7">
        <v>24540</v>
      </c>
      <c r="S20" s="7">
        <v>28318</v>
      </c>
      <c r="T20" s="7">
        <v>28541</v>
      </c>
      <c r="U20" s="7">
        <f>SUM(U3:U19)</f>
        <v>34125.4</v>
      </c>
      <c r="V20" s="7">
        <f>SUM(V3:V19)</f>
        <v>45042.5</v>
      </c>
      <c r="W20" s="7">
        <f>SUM(K20:N20)</f>
        <v>61290.731199999995</v>
      </c>
      <c r="X20" s="7">
        <f>W20*1.2</f>
        <v>73548.877439999997</v>
      </c>
      <c r="Y20" s="7">
        <f>X20*1.1</f>
        <v>80903.765184000004</v>
      </c>
      <c r="Z20" s="7">
        <f>Y20*1.1</f>
        <v>88994.141702400011</v>
      </c>
      <c r="AA20" s="7">
        <f>Z20*1.1</f>
        <v>97893.55587264002</v>
      </c>
      <c r="AB20" s="7">
        <f>AA20*1.04</f>
        <v>101809.29810754562</v>
      </c>
      <c r="AC20" s="7">
        <f t="shared" ref="AC20:AF20" si="1">AB20*1.04</f>
        <v>105881.67003184745</v>
      </c>
      <c r="AD20" s="7">
        <f t="shared" si="1"/>
        <v>110116.93683312135</v>
      </c>
      <c r="AE20" s="7">
        <f t="shared" si="1"/>
        <v>114521.61430644621</v>
      </c>
      <c r="AF20" s="7">
        <f t="shared" si="1"/>
        <v>119102.47887870406</v>
      </c>
    </row>
    <row r="21" spans="1:126" x14ac:dyDescent="0.2">
      <c r="B21" s="2" t="s">
        <v>23</v>
      </c>
      <c r="C21" s="2">
        <v>1627</v>
      </c>
      <c r="D21" s="2">
        <v>1807</v>
      </c>
      <c r="E21" s="2">
        <v>1860</v>
      </c>
      <c r="F21" s="2">
        <v>1788</v>
      </c>
      <c r="G21" s="2">
        <v>1674</v>
      </c>
      <c r="H21" s="2">
        <v>2170</v>
      </c>
      <c r="I21" s="2">
        <v>2171</v>
      </c>
      <c r="J21" s="2">
        <v>2404</v>
      </c>
      <c r="K21" s="2">
        <v>2224</v>
      </c>
      <c r="L21" s="2">
        <v>2448</v>
      </c>
      <c r="M21" s="2">
        <f>M20*0.16</f>
        <v>2588.6848</v>
      </c>
      <c r="N21" s="2">
        <f>N20*0.16</f>
        <v>2692.2321919999999</v>
      </c>
      <c r="P21" s="2">
        <v>4682</v>
      </c>
      <c r="Q21" s="2">
        <v>4721</v>
      </c>
      <c r="R21" s="2">
        <v>5483</v>
      </c>
      <c r="S21" s="2">
        <v>7313</v>
      </c>
      <c r="T21" s="2">
        <v>6630</v>
      </c>
      <c r="U21" s="2">
        <v>7082</v>
      </c>
      <c r="V21" s="2">
        <v>8418</v>
      </c>
      <c r="W21" s="2">
        <f>SUM(K21:N21)</f>
        <v>9952.9169920000004</v>
      </c>
      <c r="X21" s="2">
        <f>X20*0.16</f>
        <v>11767.8203904</v>
      </c>
      <c r="Y21" s="2">
        <f t="shared" ref="Y21:AF21" si="2">Y20*0.16</f>
        <v>12944.602429440001</v>
      </c>
      <c r="Z21" s="2">
        <f t="shared" si="2"/>
        <v>14239.062672384001</v>
      </c>
      <c r="AA21" s="2">
        <f t="shared" si="2"/>
        <v>15662.968939622404</v>
      </c>
      <c r="AB21" s="2">
        <f t="shared" si="2"/>
        <v>16289.4876972073</v>
      </c>
      <c r="AC21" s="2">
        <f t="shared" si="2"/>
        <v>16941.067205095591</v>
      </c>
      <c r="AD21" s="2">
        <f t="shared" si="2"/>
        <v>17618.709893299416</v>
      </c>
      <c r="AE21" s="2">
        <f t="shared" si="2"/>
        <v>18323.458289031394</v>
      </c>
      <c r="AF21" s="2">
        <f t="shared" si="2"/>
        <v>19056.396620592652</v>
      </c>
    </row>
    <row r="22" spans="1:126" x14ac:dyDescent="0.2">
      <c r="B22" s="2" t="s">
        <v>24</v>
      </c>
      <c r="C22" s="2">
        <f t="shared" ref="C22" si="3">C20-C21</f>
        <v>5333</v>
      </c>
      <c r="D22" s="2">
        <f t="shared" ref="D22" si="4">D20-D21</f>
        <v>6505</v>
      </c>
      <c r="E22" s="2">
        <f>E20-E21</f>
        <v>7639</v>
      </c>
      <c r="F22" s="2">
        <f t="shared" ref="F22" si="5">F20-F21</f>
        <v>7565.4</v>
      </c>
      <c r="G22" s="2">
        <f t="shared" ref="G22:L22" si="6">G20-G21</f>
        <v>7094</v>
      </c>
      <c r="H22" s="2">
        <f t="shared" ref="H22" si="7">H20-H21</f>
        <v>9133</v>
      </c>
      <c r="I22" s="2">
        <f>I20-I21</f>
        <v>9268</v>
      </c>
      <c r="J22" s="2">
        <f t="shared" ref="J22" si="8">J20-J21</f>
        <v>11129</v>
      </c>
      <c r="K22" s="2">
        <f t="shared" si="6"/>
        <v>10504</v>
      </c>
      <c r="L22" s="2">
        <f t="shared" si="6"/>
        <v>13109</v>
      </c>
      <c r="M22" s="2">
        <f t="shared" ref="M22:R22" si="9">M20-M21</f>
        <v>13590.5952</v>
      </c>
      <c r="N22" s="2">
        <f t="shared" si="9"/>
        <v>14134.219008</v>
      </c>
      <c r="P22" s="2">
        <f t="shared" si="9"/>
        <v>16811</v>
      </c>
      <c r="Q22" s="2">
        <f t="shared" si="9"/>
        <v>17599</v>
      </c>
      <c r="R22" s="2">
        <f t="shared" si="9"/>
        <v>19057</v>
      </c>
      <c r="S22" s="2">
        <f t="shared" ref="S22" si="10">S20-S21</f>
        <v>21005</v>
      </c>
      <c r="T22" s="2">
        <f t="shared" ref="T22" si="11">T20-T21</f>
        <v>21911</v>
      </c>
      <c r="U22" s="2">
        <f t="shared" ref="U22" si="12">U20-U21</f>
        <v>27043.4</v>
      </c>
      <c r="V22" s="2">
        <f t="shared" ref="V22" si="13">V20-V21</f>
        <v>36624.5</v>
      </c>
      <c r="W22" s="2">
        <f t="shared" ref="W22" si="14">W20-W21</f>
        <v>51337.814207999996</v>
      </c>
      <c r="X22" s="2">
        <f t="shared" ref="X22" si="15">X20-X21</f>
        <v>61781.0570496</v>
      </c>
      <c r="Y22" s="2">
        <f t="shared" ref="Y22" si="16">Y20-Y21</f>
        <v>67959.162754560006</v>
      </c>
      <c r="Z22" s="2">
        <f t="shared" ref="Z22" si="17">Z20-Z21</f>
        <v>74755.079030016015</v>
      </c>
      <c r="AA22" s="2">
        <f t="shared" ref="AA22:AB22" si="18">AA20-AA21</f>
        <v>82230.586933017621</v>
      </c>
      <c r="AB22" s="2">
        <f t="shared" si="18"/>
        <v>85519.810410338323</v>
      </c>
      <c r="AC22" s="2">
        <f t="shared" ref="AC22" si="19">AC20-AC21</f>
        <v>88940.602826751856</v>
      </c>
      <c r="AD22" s="2">
        <f t="shared" ref="AD22" si="20">AD20-AD21</f>
        <v>92498.226939821936</v>
      </c>
      <c r="AE22" s="2">
        <f t="shared" ref="AE22" si="21">AE20-AE21</f>
        <v>96198.156017414818</v>
      </c>
      <c r="AF22" s="2">
        <f t="shared" ref="AF22" si="22">AF20-AF21</f>
        <v>100046.0822581114</v>
      </c>
    </row>
    <row r="23" spans="1:126" x14ac:dyDescent="0.2">
      <c r="B23" s="2" t="s">
        <v>25</v>
      </c>
      <c r="C23" s="2">
        <v>1985</v>
      </c>
      <c r="D23" s="2">
        <v>2357</v>
      </c>
      <c r="E23" s="2">
        <v>2409</v>
      </c>
      <c r="F23" s="2">
        <v>2563</v>
      </c>
      <c r="G23" s="2">
        <v>2523</v>
      </c>
      <c r="H23" s="2">
        <v>2711</v>
      </c>
      <c r="I23" s="2">
        <v>2734</v>
      </c>
      <c r="J23" s="2">
        <v>3022.5</v>
      </c>
      <c r="K23" s="2">
        <v>2734</v>
      </c>
      <c r="L23" s="2">
        <v>3336</v>
      </c>
      <c r="M23" s="2">
        <f t="shared" ref="M23:N23" si="23">L23</f>
        <v>3336</v>
      </c>
      <c r="N23" s="2">
        <f t="shared" si="23"/>
        <v>3336</v>
      </c>
      <c r="P23" s="2">
        <v>5051</v>
      </c>
      <c r="Q23" s="2">
        <v>5595</v>
      </c>
      <c r="R23" s="2">
        <v>6086</v>
      </c>
      <c r="S23" s="2">
        <v>7026</v>
      </c>
      <c r="T23" s="2">
        <v>7191</v>
      </c>
      <c r="U23" s="2">
        <v>9313</v>
      </c>
      <c r="V23" s="2">
        <v>10991</v>
      </c>
      <c r="W23" s="2">
        <f>SUM(K23:N23)</f>
        <v>12742</v>
      </c>
    </row>
    <row r="24" spans="1:126" x14ac:dyDescent="0.2">
      <c r="B24" s="2" t="s">
        <v>26</v>
      </c>
      <c r="C24" s="2">
        <v>1749</v>
      </c>
      <c r="D24" s="2">
        <v>1925</v>
      </c>
      <c r="E24" s="2">
        <v>1804</v>
      </c>
      <c r="F24" s="2">
        <v>1925</v>
      </c>
      <c r="G24" s="2">
        <v>1952</v>
      </c>
      <c r="H24" s="2">
        <v>2117</v>
      </c>
      <c r="I24" s="2">
        <v>2100</v>
      </c>
      <c r="J24" s="2">
        <v>2424.5</v>
      </c>
      <c r="K24" s="2">
        <v>2469</v>
      </c>
      <c r="L24" s="2">
        <v>2753</v>
      </c>
      <c r="M24" s="2">
        <f t="shared" ref="M24:N24" si="24">L24</f>
        <v>2753</v>
      </c>
      <c r="N24" s="2">
        <f t="shared" si="24"/>
        <v>2753</v>
      </c>
      <c r="P24" s="2">
        <v>5975</v>
      </c>
      <c r="Q24" s="2">
        <v>6214</v>
      </c>
      <c r="R24" s="2">
        <v>6121</v>
      </c>
      <c r="S24" s="2">
        <v>6432</v>
      </c>
      <c r="T24" s="2">
        <v>6440</v>
      </c>
      <c r="U24" s="2">
        <v>7403</v>
      </c>
      <c r="V24" s="2">
        <v>8594</v>
      </c>
      <c r="W24" s="2">
        <f>SUM(K24:N24)</f>
        <v>10728</v>
      </c>
      <c r="X24" s="2">
        <f>W24*1.1</f>
        <v>11800.800000000001</v>
      </c>
      <c r="Y24" s="2">
        <f t="shared" ref="Y24:AA24" si="25">X24*1.04</f>
        <v>12272.832000000002</v>
      </c>
      <c r="Z24" s="2">
        <f t="shared" si="25"/>
        <v>12763.745280000003</v>
      </c>
      <c r="AA24" s="2">
        <f t="shared" si="25"/>
        <v>13274.295091200003</v>
      </c>
      <c r="AB24" s="2">
        <f>AA24*1.02</f>
        <v>13539.780993024004</v>
      </c>
      <c r="AC24" s="2">
        <f t="shared" ref="AC24:AF24" si="26">AB24*1.02</f>
        <v>13810.576612884484</v>
      </c>
      <c r="AD24" s="2">
        <f t="shared" si="26"/>
        <v>14086.788145142174</v>
      </c>
      <c r="AE24" s="2">
        <f t="shared" si="26"/>
        <v>14368.523908045017</v>
      </c>
      <c r="AF24" s="2">
        <f t="shared" si="26"/>
        <v>14655.894386205919</v>
      </c>
    </row>
    <row r="25" spans="1:126" x14ac:dyDescent="0.2">
      <c r="B25" s="2" t="s">
        <v>27</v>
      </c>
      <c r="C25" s="2">
        <f t="shared" ref="C25" si="27">SUM(C23:C24)</f>
        <v>3734</v>
      </c>
      <c r="D25" s="2">
        <f t="shared" ref="D25" si="28">SUM(D23:D24)</f>
        <v>4282</v>
      </c>
      <c r="E25" s="2">
        <f t="shared" ref="E25:F25" si="29">SUM(E23:E24)</f>
        <v>4213</v>
      </c>
      <c r="F25" s="2">
        <f t="shared" si="29"/>
        <v>4488</v>
      </c>
      <c r="G25" s="2">
        <f t="shared" ref="G25:L25" si="30">SUM(G23:G24)</f>
        <v>4475</v>
      </c>
      <c r="H25" s="2">
        <f t="shared" ref="H25:J25" si="31">SUM(H23:H24)</f>
        <v>4828</v>
      </c>
      <c r="I25" s="2">
        <f t="shared" si="31"/>
        <v>4834</v>
      </c>
      <c r="J25" s="2">
        <f t="shared" si="31"/>
        <v>5447</v>
      </c>
      <c r="K25" s="2">
        <f t="shared" si="30"/>
        <v>5203</v>
      </c>
      <c r="L25" s="2">
        <f t="shared" si="30"/>
        <v>6089</v>
      </c>
      <c r="M25" s="2">
        <f t="shared" ref="M25:R25" si="32">SUM(M23:M24)</f>
        <v>6089</v>
      </c>
      <c r="N25" s="2">
        <f t="shared" si="32"/>
        <v>6089</v>
      </c>
      <c r="P25" s="2">
        <f t="shared" ref="P25" si="33">SUM(P23:P24)</f>
        <v>11026</v>
      </c>
      <c r="Q25" s="2">
        <f t="shared" ref="Q25" si="34">SUM(Q23:Q24)</f>
        <v>11809</v>
      </c>
      <c r="R25" s="2">
        <f t="shared" si="32"/>
        <v>12207</v>
      </c>
      <c r="S25" s="2">
        <f t="shared" ref="S25" si="35">SUM(S23:S24)</f>
        <v>13458</v>
      </c>
      <c r="T25" s="2">
        <f t="shared" ref="T25" si="36">SUM(T23:T24)</f>
        <v>13631</v>
      </c>
      <c r="U25" s="2">
        <f t="shared" ref="U25" si="37">SUM(U23:U24)</f>
        <v>16716</v>
      </c>
      <c r="V25" s="2">
        <f t="shared" ref="V25" si="38">SUM(V23:V24)</f>
        <v>19585</v>
      </c>
      <c r="W25" s="2">
        <f t="shared" ref="W25" si="39">SUM(W23:W24)</f>
        <v>23470</v>
      </c>
      <c r="X25" s="2">
        <f t="shared" ref="X25" si="40">SUM(X23:X24)</f>
        <v>11800.800000000001</v>
      </c>
      <c r="Y25" s="2">
        <f t="shared" ref="Y25" si="41">SUM(Y23:Y24)</f>
        <v>12272.832000000002</v>
      </c>
      <c r="Z25" s="2">
        <f t="shared" ref="Z25" si="42">SUM(Z23:Z24)</f>
        <v>12763.745280000003</v>
      </c>
      <c r="AA25" s="2">
        <f t="shared" ref="AA25:AB25" si="43">SUM(AA23:AA24)</f>
        <v>13274.295091200003</v>
      </c>
      <c r="AB25" s="2">
        <f t="shared" si="43"/>
        <v>13539.780993024004</v>
      </c>
      <c r="AC25" s="2">
        <f t="shared" ref="AC25" si="44">SUM(AC23:AC24)</f>
        <v>13810.576612884484</v>
      </c>
      <c r="AD25" s="2">
        <f t="shared" ref="AD25" si="45">SUM(AD23:AD24)</f>
        <v>14086.788145142174</v>
      </c>
      <c r="AE25" s="2">
        <f t="shared" ref="AE25" si="46">SUM(AE23:AE24)</f>
        <v>14368.523908045017</v>
      </c>
      <c r="AF25" s="2">
        <f t="shared" ref="AF25" si="47">SUM(AF23:AF24)</f>
        <v>14655.894386205919</v>
      </c>
    </row>
    <row r="26" spans="1:126" x14ac:dyDescent="0.2">
      <c r="B26" s="2" t="s">
        <v>28</v>
      </c>
      <c r="C26" s="2">
        <f t="shared" ref="C26" si="48">C22-C25</f>
        <v>1599</v>
      </c>
      <c r="D26" s="2">
        <f t="shared" ref="D26" si="49">D22-D25</f>
        <v>2223</v>
      </c>
      <c r="E26" s="2">
        <f t="shared" ref="E26:F26" si="50">E22-E25</f>
        <v>3426</v>
      </c>
      <c r="F26" s="2">
        <f t="shared" si="50"/>
        <v>3077.3999999999996</v>
      </c>
      <c r="G26" s="2">
        <f t="shared" ref="G26:L26" si="51">G22-G25</f>
        <v>2619</v>
      </c>
      <c r="H26" s="2">
        <f t="shared" ref="H26:J26" si="52">H22-H25</f>
        <v>4305</v>
      </c>
      <c r="I26" s="2">
        <f t="shared" si="52"/>
        <v>4434</v>
      </c>
      <c r="J26" s="2">
        <f t="shared" si="52"/>
        <v>5682</v>
      </c>
      <c r="K26" s="2">
        <f t="shared" si="51"/>
        <v>5301</v>
      </c>
      <c r="L26" s="2">
        <f t="shared" si="51"/>
        <v>7020</v>
      </c>
      <c r="M26" s="2">
        <f t="shared" ref="M26:R26" si="53">M22-M25</f>
        <v>7501.5951999999997</v>
      </c>
      <c r="N26" s="2">
        <f t="shared" si="53"/>
        <v>8045.219008</v>
      </c>
      <c r="P26" s="2">
        <f t="shared" ref="P26" si="54">P22-P25</f>
        <v>5785</v>
      </c>
      <c r="Q26" s="2">
        <f t="shared" ref="Q26" si="55">Q22-Q25</f>
        <v>5790</v>
      </c>
      <c r="R26" s="2">
        <f t="shared" si="53"/>
        <v>6850</v>
      </c>
      <c r="S26" s="2">
        <f t="shared" ref="S26" si="56">S22-S25</f>
        <v>7547</v>
      </c>
      <c r="T26" s="2">
        <f t="shared" ref="T26" si="57">T22-T25</f>
        <v>8280</v>
      </c>
      <c r="U26" s="2">
        <f t="shared" ref="U26" si="58">U22-U25</f>
        <v>10327.400000000001</v>
      </c>
      <c r="V26" s="2">
        <f t="shared" ref="V26" si="59">V22-V25</f>
        <v>17039.5</v>
      </c>
      <c r="W26" s="2">
        <f t="shared" ref="W26" si="60">W22-W25</f>
        <v>27867.814207999996</v>
      </c>
      <c r="X26" s="2">
        <f t="shared" ref="X26" si="61">X22-X25</f>
        <v>49980.257049599997</v>
      </c>
      <c r="Y26" s="2">
        <f t="shared" ref="Y26" si="62">Y22-Y25</f>
        <v>55686.330754560004</v>
      </c>
      <c r="Z26" s="2">
        <f t="shared" ref="Z26" si="63">Z22-Z25</f>
        <v>61991.333750016012</v>
      </c>
      <c r="AA26" s="2">
        <f t="shared" ref="AA26:AB26" si="64">AA22-AA25</f>
        <v>68956.291841817612</v>
      </c>
      <c r="AB26" s="2">
        <f t="shared" si="64"/>
        <v>71980.029417314319</v>
      </c>
      <c r="AC26" s="2">
        <f t="shared" ref="AC26" si="65">AC22-AC25</f>
        <v>75130.026213867372</v>
      </c>
      <c r="AD26" s="2">
        <f t="shared" ref="AD26" si="66">AD22-AD25</f>
        <v>78411.438794679765</v>
      </c>
      <c r="AE26" s="2">
        <f t="shared" ref="AE26" si="67">AE22-AE25</f>
        <v>81829.632109369806</v>
      </c>
      <c r="AF26" s="2">
        <f t="shared" ref="AF26" si="68">AF22-AF25</f>
        <v>85390.18787190548</v>
      </c>
    </row>
    <row r="27" spans="1:126" x14ac:dyDescent="0.2">
      <c r="B27" s="2" t="s">
        <v>47</v>
      </c>
      <c r="C27" s="2">
        <v>-36</v>
      </c>
      <c r="D27" s="2">
        <v>37</v>
      </c>
      <c r="E27" s="2">
        <v>23</v>
      </c>
      <c r="F27" s="2">
        <f>-94+215</f>
        <v>121</v>
      </c>
      <c r="G27" s="2">
        <v>27</v>
      </c>
      <c r="H27" s="2">
        <v>200</v>
      </c>
      <c r="I27" s="2">
        <v>-62</v>
      </c>
      <c r="J27" s="2">
        <f>-180.4+70</f>
        <v>-110.4</v>
      </c>
      <c r="K27" s="2">
        <v>-239</v>
      </c>
      <c r="L27" s="2">
        <v>91</v>
      </c>
      <c r="M27" s="2">
        <f>L38*$AI$32/4</f>
        <v>-17.414999999999999</v>
      </c>
      <c r="N27" s="2">
        <f>M38*$AI$32/4</f>
        <v>12.895929809999998</v>
      </c>
      <c r="P27" s="2">
        <v>-146</v>
      </c>
      <c r="Q27" s="2">
        <v>-292</v>
      </c>
      <c r="R27" s="2">
        <v>-1172</v>
      </c>
      <c r="S27" s="2">
        <v>202</v>
      </c>
      <c r="T27" s="2">
        <v>321</v>
      </c>
      <c r="U27" s="2">
        <v>-97</v>
      </c>
      <c r="V27" s="2">
        <v>219</v>
      </c>
      <c r="W27" s="2">
        <f>SUM(K27:N27)</f>
        <v>-152.51907018999998</v>
      </c>
      <c r="X27" s="2">
        <f t="shared" ref="X27:AF27" si="69">W38*$AI$32</f>
        <v>182.12518123252201</v>
      </c>
      <c r="Y27" s="2">
        <f t="shared" si="69"/>
        <v>994.75577337200889</v>
      </c>
      <c r="Z27" s="2">
        <f t="shared" si="69"/>
        <v>1912.9893751245074</v>
      </c>
      <c r="AA27" s="2">
        <f t="shared" si="69"/>
        <v>2948.239409751784</v>
      </c>
      <c r="AB27" s="2">
        <f t="shared" si="69"/>
        <v>4113.0928160272078</v>
      </c>
      <c r="AC27" s="2">
        <f t="shared" si="69"/>
        <v>5345.8013962073401</v>
      </c>
      <c r="AD27" s="2">
        <f t="shared" si="69"/>
        <v>6649.5098034905504</v>
      </c>
      <c r="AE27" s="2">
        <f t="shared" si="69"/>
        <v>8027.4971707809091</v>
      </c>
      <c r="AF27" s="2">
        <f t="shared" si="69"/>
        <v>9483.1826651193514</v>
      </c>
    </row>
    <row r="28" spans="1:126" x14ac:dyDescent="0.2">
      <c r="B28" s="2" t="s">
        <v>48</v>
      </c>
      <c r="C28" s="2">
        <f t="shared" ref="C28" si="70">C26+C27</f>
        <v>1563</v>
      </c>
      <c r="D28" s="2">
        <f t="shared" ref="D28" si="71">D26+D27</f>
        <v>2260</v>
      </c>
      <c r="E28" s="2">
        <f t="shared" ref="E28:F28" si="72">E26+E27</f>
        <v>3449</v>
      </c>
      <c r="F28" s="2">
        <f t="shared" si="72"/>
        <v>3198.3999999999996</v>
      </c>
      <c r="G28" s="2">
        <f t="shared" ref="G28:L28" si="73">G26+G27</f>
        <v>2646</v>
      </c>
      <c r="H28" s="2">
        <f t="shared" ref="H28:J28" si="74">H26+H27</f>
        <v>4505</v>
      </c>
      <c r="I28" s="2">
        <f t="shared" si="74"/>
        <v>4372</v>
      </c>
      <c r="J28" s="2">
        <f t="shared" si="74"/>
        <v>5571.6</v>
      </c>
      <c r="K28" s="2">
        <f t="shared" si="73"/>
        <v>5062</v>
      </c>
      <c r="L28" s="2">
        <f t="shared" si="73"/>
        <v>7111</v>
      </c>
      <c r="M28" s="2">
        <f t="shared" ref="M28:R28" si="75">M26+M27</f>
        <v>7484.1801999999998</v>
      </c>
      <c r="N28" s="2">
        <f t="shared" si="75"/>
        <v>8058.1149378099999</v>
      </c>
      <c r="P28" s="2">
        <f t="shared" ref="P28" si="76">P26+P27</f>
        <v>5639</v>
      </c>
      <c r="Q28" s="2">
        <f t="shared" ref="Q28" si="77">Q26+Q27</f>
        <v>5498</v>
      </c>
      <c r="R28" s="2">
        <f t="shared" si="75"/>
        <v>5678</v>
      </c>
      <c r="S28" s="2">
        <f t="shared" ref="S28" si="78">S26+S27</f>
        <v>7749</v>
      </c>
      <c r="T28" s="2">
        <f t="shared" ref="T28" si="79">T26+T27</f>
        <v>8601</v>
      </c>
      <c r="U28" s="2">
        <f t="shared" ref="U28" si="80">U26+U27</f>
        <v>10230.400000000001</v>
      </c>
      <c r="V28" s="2">
        <f t="shared" ref="V28" si="81">V26+V27</f>
        <v>17258.5</v>
      </c>
      <c r="W28" s="2">
        <f t="shared" ref="W28" si="82">W26+W27</f>
        <v>27715.295137809997</v>
      </c>
      <c r="X28" s="2">
        <f t="shared" ref="X28" si="83">X26+X27</f>
        <v>50162.382230832518</v>
      </c>
      <c r="Y28" s="2">
        <f t="shared" ref="Y28" si="84">Y26+Y27</f>
        <v>56681.086527932013</v>
      </c>
      <c r="Z28" s="2">
        <f t="shared" ref="Z28" si="85">Z26+Z27</f>
        <v>63904.323125140523</v>
      </c>
      <c r="AA28" s="2">
        <f t="shared" ref="AA28:AB28" si="86">AA26+AA27</f>
        <v>71904.531251569395</v>
      </c>
      <c r="AB28" s="2">
        <f t="shared" si="86"/>
        <v>76093.122233341521</v>
      </c>
      <c r="AC28" s="2">
        <f t="shared" ref="AC28" si="87">AC26+AC27</f>
        <v>80475.827610074717</v>
      </c>
      <c r="AD28" s="2">
        <f t="shared" ref="AD28" si="88">AD26+AD27</f>
        <v>85060.948598170318</v>
      </c>
      <c r="AE28" s="2">
        <f t="shared" ref="AE28" si="89">AE26+AE27</f>
        <v>89857.129280150722</v>
      </c>
      <c r="AF28" s="2">
        <f t="shared" ref="AF28" si="90">AF26+AF27</f>
        <v>94873.370537024835</v>
      </c>
    </row>
    <row r="29" spans="1:126" x14ac:dyDescent="0.2">
      <c r="B29" s="2" t="s">
        <v>49</v>
      </c>
      <c r="C29" s="2">
        <v>185</v>
      </c>
      <c r="D29" s="2">
        <v>326</v>
      </c>
      <c r="E29" s="2">
        <v>485</v>
      </c>
      <c r="F29" s="2">
        <v>320</v>
      </c>
      <c r="G29" s="2">
        <v>293</v>
      </c>
      <c r="H29" s="2">
        <v>550</v>
      </c>
      <c r="I29" s="2">
        <v>618</v>
      </c>
      <c r="J29" s="2">
        <v>629</v>
      </c>
      <c r="K29" s="2">
        <v>697</v>
      </c>
      <c r="L29" s="2">
        <v>1116</v>
      </c>
      <c r="M29" s="2">
        <f t="shared" ref="M29:N29" si="91">M28*0.19</f>
        <v>1421.994238</v>
      </c>
      <c r="N29" s="2">
        <f t="shared" si="91"/>
        <v>1531.0418381838999</v>
      </c>
      <c r="P29" s="2">
        <v>530</v>
      </c>
      <c r="Q29" s="2">
        <v>628</v>
      </c>
      <c r="R29" s="2">
        <v>1036</v>
      </c>
      <c r="S29" s="2">
        <v>574</v>
      </c>
      <c r="T29" s="2">
        <v>562</v>
      </c>
      <c r="U29" s="2">
        <v>1314</v>
      </c>
      <c r="V29" s="2">
        <v>2090</v>
      </c>
      <c r="W29" s="2">
        <f>SUM(K29:N29)</f>
        <v>4766.0360761839001</v>
      </c>
      <c r="X29" s="2">
        <f>X28*0.19</f>
        <v>9530.852623858178</v>
      </c>
      <c r="Y29" s="2">
        <f t="shared" ref="Y29:AB29" si="92">Y28*0.19</f>
        <v>10769.406440307082</v>
      </c>
      <c r="Z29" s="2">
        <f t="shared" si="92"/>
        <v>12141.8213937767</v>
      </c>
      <c r="AA29" s="2">
        <f t="shared" si="92"/>
        <v>13661.860937798185</v>
      </c>
      <c r="AB29" s="2">
        <f t="shared" si="92"/>
        <v>14457.693224334889</v>
      </c>
      <c r="AC29" s="2">
        <f t="shared" ref="AC29" si="93">AC28*0.19</f>
        <v>15290.407245914197</v>
      </c>
      <c r="AD29" s="2">
        <f t="shared" ref="AD29" si="94">AD28*0.19</f>
        <v>16161.580233652361</v>
      </c>
      <c r="AE29" s="2">
        <f t="shared" ref="AE29" si="95">AE28*0.19</f>
        <v>17072.854563228637</v>
      </c>
      <c r="AF29" s="2">
        <f t="shared" ref="AF29" si="96">AF28*0.19</f>
        <v>18025.940402034717</v>
      </c>
    </row>
    <row r="30" spans="1:126" x14ac:dyDescent="0.2">
      <c r="B30" s="2" t="s">
        <v>50</v>
      </c>
      <c r="C30" s="2">
        <f t="shared" ref="C30" si="97">C28-C29</f>
        <v>1378</v>
      </c>
      <c r="D30" s="2">
        <f t="shared" ref="D30" si="98">D28-D29</f>
        <v>1934</v>
      </c>
      <c r="E30" s="2">
        <f t="shared" ref="E30:F30" si="99">E28-E29</f>
        <v>2964</v>
      </c>
      <c r="F30" s="2">
        <f t="shared" si="99"/>
        <v>2878.3999999999996</v>
      </c>
      <c r="G30" s="2">
        <f t="shared" ref="G30:L30" si="100">G28-G29</f>
        <v>2353</v>
      </c>
      <c r="H30" s="2">
        <f t="shared" ref="H30:J30" si="101">H28-H29</f>
        <v>3955</v>
      </c>
      <c r="I30" s="2">
        <f t="shared" si="101"/>
        <v>3754</v>
      </c>
      <c r="J30" s="2">
        <f t="shared" si="101"/>
        <v>4942.6000000000004</v>
      </c>
      <c r="K30" s="2">
        <f t="shared" si="100"/>
        <v>4365</v>
      </c>
      <c r="L30" s="2">
        <f t="shared" si="100"/>
        <v>5995</v>
      </c>
      <c r="M30" s="2">
        <f t="shared" ref="M30:R30" si="102">M28-M29</f>
        <v>6062.1859619999996</v>
      </c>
      <c r="N30" s="2">
        <f t="shared" si="102"/>
        <v>6527.0730996261</v>
      </c>
      <c r="P30" s="2">
        <f t="shared" ref="P30" si="103">P28-P29</f>
        <v>5109</v>
      </c>
      <c r="Q30" s="2">
        <f t="shared" ref="Q30" si="104">Q28-Q29</f>
        <v>4870</v>
      </c>
      <c r="R30" s="2">
        <f t="shared" si="102"/>
        <v>4642</v>
      </c>
      <c r="S30" s="2">
        <f t="shared" ref="S30" si="105">S28-S29</f>
        <v>7175</v>
      </c>
      <c r="T30" s="2">
        <f t="shared" ref="T30" si="106">T28-T29</f>
        <v>8039</v>
      </c>
      <c r="U30" s="2">
        <f t="shared" ref="U30" si="107">U28-U29</f>
        <v>8916.4000000000015</v>
      </c>
      <c r="V30" s="2">
        <f t="shared" ref="V30" si="108">V28-V29</f>
        <v>15168.5</v>
      </c>
      <c r="W30" s="2">
        <f t="shared" ref="W30" si="109">W28-W29</f>
        <v>22949.259061626097</v>
      </c>
      <c r="X30" s="2">
        <f t="shared" ref="X30" si="110">X28-X29</f>
        <v>40631.529606974342</v>
      </c>
      <c r="Y30" s="2">
        <f t="shared" ref="Y30" si="111">Y28-Y29</f>
        <v>45911.680087624933</v>
      </c>
      <c r="Z30" s="2">
        <f t="shared" ref="Z30" si="112">Z28-Z29</f>
        <v>51762.501731363824</v>
      </c>
      <c r="AA30" s="2">
        <f t="shared" ref="AA30:AB30" si="113">AA28-AA29</f>
        <v>58242.67031377121</v>
      </c>
      <c r="AB30" s="2">
        <f t="shared" si="113"/>
        <v>61635.429009006635</v>
      </c>
      <c r="AC30" s="2">
        <f t="shared" ref="AC30" si="114">AC28-AC29</f>
        <v>65185.42036416052</v>
      </c>
      <c r="AD30" s="2">
        <f t="shared" ref="AD30" si="115">AD28-AD29</f>
        <v>68899.368364517955</v>
      </c>
      <c r="AE30" s="2">
        <f t="shared" ref="AE30" si="116">AE28-AE29</f>
        <v>72784.274716922082</v>
      </c>
      <c r="AF30" s="2">
        <f t="shared" ref="AF30" si="117">AF28-AF29</f>
        <v>76847.430134990122</v>
      </c>
      <c r="AG30" s="2">
        <f t="shared" ref="AG30:BL30" si="118">AF30*(1+$AI$33)</f>
        <v>76078.955833640226</v>
      </c>
      <c r="AH30" s="2">
        <f t="shared" si="118"/>
        <v>75318.166275303825</v>
      </c>
      <c r="AI30" s="2">
        <f t="shared" si="118"/>
        <v>74564.98461255079</v>
      </c>
      <c r="AJ30" s="2">
        <f t="shared" si="118"/>
        <v>73819.33476642528</v>
      </c>
      <c r="AK30" s="2">
        <f t="shared" si="118"/>
        <v>73081.141418761021</v>
      </c>
      <c r="AL30" s="2">
        <f t="shared" si="118"/>
        <v>72350.330004573407</v>
      </c>
      <c r="AM30" s="2">
        <f t="shared" si="118"/>
        <v>71626.826704527673</v>
      </c>
      <c r="AN30" s="2">
        <f t="shared" si="118"/>
        <v>70910.558437482396</v>
      </c>
      <c r="AO30" s="2">
        <f t="shared" si="118"/>
        <v>70201.452853107578</v>
      </c>
      <c r="AP30" s="2">
        <f t="shared" si="118"/>
        <v>69499.438324576506</v>
      </c>
      <c r="AQ30" s="2">
        <f t="shared" si="118"/>
        <v>68804.443941330741</v>
      </c>
      <c r="AR30" s="2">
        <f t="shared" si="118"/>
        <v>68116.399501917433</v>
      </c>
      <c r="AS30" s="2">
        <f t="shared" si="118"/>
        <v>67435.235506898258</v>
      </c>
      <c r="AT30" s="2">
        <f t="shared" si="118"/>
        <v>66760.883151829272</v>
      </c>
      <c r="AU30" s="2">
        <f t="shared" si="118"/>
        <v>66093.274320310971</v>
      </c>
      <c r="AV30" s="2">
        <f t="shared" si="118"/>
        <v>65432.341577107858</v>
      </c>
      <c r="AW30" s="2">
        <f t="shared" si="118"/>
        <v>64778.018161336782</v>
      </c>
      <c r="AX30" s="2">
        <f t="shared" si="118"/>
        <v>64130.237979723417</v>
      </c>
      <c r="AY30" s="2">
        <f t="shared" si="118"/>
        <v>63488.935599926182</v>
      </c>
      <c r="AZ30" s="2">
        <f t="shared" si="118"/>
        <v>62854.046243926918</v>
      </c>
      <c r="BA30" s="2">
        <f t="shared" si="118"/>
        <v>62225.505781487649</v>
      </c>
      <c r="BB30" s="2">
        <f t="shared" si="118"/>
        <v>61603.250723672769</v>
      </c>
      <c r="BC30" s="2">
        <f t="shared" si="118"/>
        <v>60987.218216436042</v>
      </c>
      <c r="BD30" s="2">
        <f t="shared" si="118"/>
        <v>60377.346034271679</v>
      </c>
      <c r="BE30" s="2">
        <f t="shared" si="118"/>
        <v>59773.572573928963</v>
      </c>
      <c r="BF30" s="2">
        <f t="shared" si="118"/>
        <v>59175.836848189676</v>
      </c>
      <c r="BG30" s="2">
        <f t="shared" si="118"/>
        <v>58584.078479707779</v>
      </c>
      <c r="BH30" s="2">
        <f t="shared" si="118"/>
        <v>57998.237694910698</v>
      </c>
      <c r="BI30" s="2">
        <f t="shared" si="118"/>
        <v>57418.255317961593</v>
      </c>
      <c r="BJ30" s="2">
        <f t="shared" si="118"/>
        <v>56844.07276478198</v>
      </c>
      <c r="BK30" s="2">
        <f t="shared" si="118"/>
        <v>56275.632037134157</v>
      </c>
      <c r="BL30" s="2">
        <f t="shared" si="118"/>
        <v>55712.875716762814</v>
      </c>
      <c r="BM30" s="2">
        <f t="shared" ref="BM30:CR30" si="119">BL30*(1+$AI$33)</f>
        <v>55155.746959595184</v>
      </c>
      <c r="BN30" s="2">
        <f t="shared" si="119"/>
        <v>54604.189489999233</v>
      </c>
      <c r="BO30" s="2">
        <f t="shared" si="119"/>
        <v>54058.147595099239</v>
      </c>
      <c r="BP30" s="2">
        <f t="shared" si="119"/>
        <v>53517.566119148243</v>
      </c>
      <c r="BQ30" s="2">
        <f t="shared" si="119"/>
        <v>52982.390457956761</v>
      </c>
      <c r="BR30" s="2">
        <f t="shared" si="119"/>
        <v>52452.56655337719</v>
      </c>
      <c r="BS30" s="2">
        <f t="shared" si="119"/>
        <v>51928.040887843417</v>
      </c>
      <c r="BT30" s="2">
        <f t="shared" si="119"/>
        <v>51408.760478964985</v>
      </c>
      <c r="BU30" s="2">
        <f t="shared" si="119"/>
        <v>50894.672874175332</v>
      </c>
      <c r="BV30" s="2">
        <f t="shared" si="119"/>
        <v>50385.726145433575</v>
      </c>
      <c r="BW30" s="2">
        <f t="shared" si="119"/>
        <v>49881.868883979238</v>
      </c>
      <c r="BX30" s="2">
        <f t="shared" si="119"/>
        <v>49383.050195139447</v>
      </c>
      <c r="BY30" s="2">
        <f t="shared" si="119"/>
        <v>48889.219693188053</v>
      </c>
      <c r="BZ30" s="2">
        <f t="shared" si="119"/>
        <v>48400.32749625617</v>
      </c>
      <c r="CA30" s="2">
        <f t="shared" si="119"/>
        <v>47916.324221293609</v>
      </c>
      <c r="CB30" s="2">
        <f t="shared" si="119"/>
        <v>47437.160979080676</v>
      </c>
      <c r="CC30" s="2">
        <f t="shared" si="119"/>
        <v>46962.789369289872</v>
      </c>
      <c r="CD30" s="2">
        <f t="shared" si="119"/>
        <v>46493.161475596971</v>
      </c>
      <c r="CE30" s="2">
        <f t="shared" si="119"/>
        <v>46028.229860840998</v>
      </c>
      <c r="CF30" s="2">
        <f t="shared" si="119"/>
        <v>45567.947562232584</v>
      </c>
      <c r="CG30" s="2">
        <f t="shared" si="119"/>
        <v>45112.26808661026</v>
      </c>
      <c r="CH30" s="2">
        <f t="shared" si="119"/>
        <v>44661.145405744159</v>
      </c>
      <c r="CI30" s="2">
        <f t="shared" si="119"/>
        <v>44214.533951686717</v>
      </c>
      <c r="CJ30" s="2">
        <f t="shared" si="119"/>
        <v>43772.388612169852</v>
      </c>
      <c r="CK30" s="2">
        <f t="shared" si="119"/>
        <v>43334.664726048155</v>
      </c>
      <c r="CL30" s="2">
        <f t="shared" si="119"/>
        <v>42901.31807878767</v>
      </c>
      <c r="CM30" s="2">
        <f t="shared" si="119"/>
        <v>42472.304897999791</v>
      </c>
      <c r="CN30" s="2">
        <f t="shared" si="119"/>
        <v>42047.581849019793</v>
      </c>
      <c r="CO30" s="2">
        <f t="shared" si="119"/>
        <v>41627.106030529598</v>
      </c>
      <c r="CP30" s="2">
        <f t="shared" si="119"/>
        <v>41210.834970224299</v>
      </c>
      <c r="CQ30" s="2">
        <f t="shared" si="119"/>
        <v>40798.726620522059</v>
      </c>
      <c r="CR30" s="2">
        <f t="shared" si="119"/>
        <v>40390.739354316836</v>
      </c>
      <c r="CS30" s="2">
        <f t="shared" ref="CS30:DV30" si="120">CR30*(1+$AI$33)</f>
        <v>39986.83196077367</v>
      </c>
      <c r="CT30" s="2">
        <f t="shared" si="120"/>
        <v>39586.96364116593</v>
      </c>
      <c r="CU30" s="2">
        <f t="shared" si="120"/>
        <v>39191.094004754268</v>
      </c>
      <c r="CV30" s="2">
        <f t="shared" si="120"/>
        <v>38799.183064706725</v>
      </c>
      <c r="CW30" s="2">
        <f t="shared" si="120"/>
        <v>38411.191234059661</v>
      </c>
      <c r="CX30" s="2">
        <f t="shared" si="120"/>
        <v>38027.079321719066</v>
      </c>
      <c r="CY30" s="2">
        <f t="shared" si="120"/>
        <v>37646.808528501875</v>
      </c>
      <c r="CZ30" s="2">
        <f t="shared" si="120"/>
        <v>37270.340443216854</v>
      </c>
      <c r="DA30" s="2">
        <f t="shared" si="120"/>
        <v>36897.637038784684</v>
      </c>
      <c r="DB30" s="2">
        <f t="shared" si="120"/>
        <v>36528.660668396835</v>
      </c>
      <c r="DC30" s="2">
        <f t="shared" si="120"/>
        <v>36163.374061712864</v>
      </c>
      <c r="DD30" s="2">
        <f t="shared" si="120"/>
        <v>35801.740321095735</v>
      </c>
      <c r="DE30" s="2">
        <f t="shared" si="120"/>
        <v>35443.722917884777</v>
      </c>
      <c r="DF30" s="2">
        <f t="shared" si="120"/>
        <v>35089.285688705932</v>
      </c>
      <c r="DG30" s="2">
        <f t="shared" si="120"/>
        <v>34738.39283181887</v>
      </c>
      <c r="DH30" s="2">
        <f t="shared" si="120"/>
        <v>34391.008903500682</v>
      </c>
      <c r="DI30" s="2">
        <f t="shared" si="120"/>
        <v>34047.098814465673</v>
      </c>
      <c r="DJ30" s="2">
        <f t="shared" si="120"/>
        <v>33706.627826321019</v>
      </c>
      <c r="DK30" s="2">
        <f t="shared" si="120"/>
        <v>33369.561548057805</v>
      </c>
      <c r="DL30" s="2">
        <f t="shared" si="120"/>
        <v>33035.865932577224</v>
      </c>
      <c r="DM30" s="2">
        <f t="shared" si="120"/>
        <v>32705.507273251453</v>
      </c>
      <c r="DN30" s="2">
        <f t="shared" si="120"/>
        <v>32378.452200518939</v>
      </c>
      <c r="DO30" s="2">
        <f t="shared" si="120"/>
        <v>32054.66767851375</v>
      </c>
      <c r="DP30" s="2">
        <f t="shared" si="120"/>
        <v>31734.12100172861</v>
      </c>
      <c r="DQ30" s="2">
        <f t="shared" si="120"/>
        <v>31416.779791711324</v>
      </c>
      <c r="DR30" s="2">
        <f t="shared" si="120"/>
        <v>31102.611993794209</v>
      </c>
      <c r="DS30" s="2">
        <f t="shared" si="120"/>
        <v>30791.585873856267</v>
      </c>
      <c r="DT30" s="2">
        <f t="shared" si="120"/>
        <v>30483.670015117703</v>
      </c>
      <c r="DU30" s="2">
        <f t="shared" si="120"/>
        <v>30178.833314966527</v>
      </c>
      <c r="DV30" s="2">
        <f t="shared" si="120"/>
        <v>29877.04498181686</v>
      </c>
    </row>
    <row r="31" spans="1:126" x14ac:dyDescent="0.2">
      <c r="B31" s="2" t="s">
        <v>1</v>
      </c>
      <c r="C31" s="2">
        <v>901</v>
      </c>
      <c r="D31" s="2">
        <v>900</v>
      </c>
      <c r="E31" s="2">
        <v>900</v>
      </c>
      <c r="F31" s="2">
        <v>900</v>
      </c>
      <c r="G31" s="2">
        <v>901</v>
      </c>
      <c r="H31" s="2">
        <v>901</v>
      </c>
      <c r="I31" s="2">
        <v>901</v>
      </c>
      <c r="J31" s="2">
        <v>900</v>
      </c>
      <c r="K31" s="2">
        <v>899</v>
      </c>
      <c r="L31" s="2">
        <v>898</v>
      </c>
      <c r="M31" s="2">
        <f t="shared" ref="M31:N31" si="121">L31</f>
        <v>898</v>
      </c>
      <c r="N31" s="2">
        <f t="shared" si="121"/>
        <v>898</v>
      </c>
      <c r="P31" s="2">
        <v>1027.7</v>
      </c>
      <c r="Q31" s="2">
        <v>931.06</v>
      </c>
      <c r="R31" s="2">
        <v>907.6</v>
      </c>
      <c r="S31" s="2">
        <v>907</v>
      </c>
      <c r="T31" s="2">
        <v>901.74</v>
      </c>
      <c r="U31" s="2">
        <v>900.2</v>
      </c>
      <c r="V31" s="2">
        <v>900.6</v>
      </c>
      <c r="W31" s="2">
        <f>N31</f>
        <v>898</v>
      </c>
      <c r="X31" s="2">
        <f>W31</f>
        <v>898</v>
      </c>
      <c r="Y31" s="2">
        <f t="shared" ref="Y31:AB31" si="122">X31</f>
        <v>898</v>
      </c>
      <c r="Z31" s="2">
        <f t="shared" si="122"/>
        <v>898</v>
      </c>
      <c r="AA31" s="2">
        <f t="shared" si="122"/>
        <v>898</v>
      </c>
      <c r="AB31" s="2">
        <f t="shared" si="122"/>
        <v>898</v>
      </c>
      <c r="AC31" s="2">
        <f t="shared" ref="AC31:AF31" si="123">AB31</f>
        <v>898</v>
      </c>
      <c r="AD31" s="2">
        <f t="shared" si="123"/>
        <v>898</v>
      </c>
      <c r="AE31" s="2">
        <f t="shared" si="123"/>
        <v>898</v>
      </c>
      <c r="AF31" s="2">
        <f t="shared" si="123"/>
        <v>898</v>
      </c>
    </row>
    <row r="32" spans="1:126" x14ac:dyDescent="0.2">
      <c r="B32" s="2" t="s">
        <v>51</v>
      </c>
      <c r="C32" s="1">
        <f t="shared" ref="C32" si="124">C30/C31</f>
        <v>1.5294117647058822</v>
      </c>
      <c r="D32" s="1">
        <f t="shared" ref="D32" si="125">D30/D31</f>
        <v>2.1488888888888891</v>
      </c>
      <c r="E32" s="1">
        <f t="shared" ref="E32:F32" si="126">E30/E31</f>
        <v>3.2933333333333334</v>
      </c>
      <c r="F32" s="1">
        <f t="shared" si="126"/>
        <v>3.1982222222222219</v>
      </c>
      <c r="G32" s="1">
        <f t="shared" ref="G32:L32" si="127">G30/G31</f>
        <v>2.611542730299667</v>
      </c>
      <c r="H32" s="1">
        <f t="shared" ref="H32:J32" si="128">H30/H31</f>
        <v>4.3895671476137625</v>
      </c>
      <c r="I32" s="1">
        <f t="shared" si="128"/>
        <v>4.1664816870144286</v>
      </c>
      <c r="J32" s="1">
        <f t="shared" si="128"/>
        <v>5.4917777777777781</v>
      </c>
      <c r="K32" s="1">
        <f t="shared" si="127"/>
        <v>4.8553948832035596</v>
      </c>
      <c r="L32" s="1">
        <f t="shared" si="127"/>
        <v>6.6759465478841875</v>
      </c>
      <c r="M32" s="1">
        <f t="shared" ref="M32:R32" si="129">M30/M31</f>
        <v>6.7507638775055678</v>
      </c>
      <c r="N32" s="1">
        <f t="shared" si="129"/>
        <v>7.268455567512361</v>
      </c>
      <c r="O32" s="1"/>
      <c r="P32" s="1">
        <f t="shared" ref="P32" si="130">P30/P31</f>
        <v>4.9712951250364892</v>
      </c>
      <c r="Q32" s="1">
        <f t="shared" ref="Q32" si="131">Q30/Q31</f>
        <v>5.2305973836272637</v>
      </c>
      <c r="R32" s="1">
        <f t="shared" si="129"/>
        <v>5.1145879241956811</v>
      </c>
      <c r="S32" s="1">
        <f t="shared" ref="S32" si="132">S30/S31</f>
        <v>7.9106945975744214</v>
      </c>
      <c r="T32" s="1">
        <f t="shared" ref="T32" si="133">T30/T31</f>
        <v>8.9149865814979918</v>
      </c>
      <c r="U32" s="1">
        <f t="shared" ref="U32" si="134">U30/U31</f>
        <v>9.9049100199955582</v>
      </c>
      <c r="V32" s="1">
        <f t="shared" ref="V32" si="135">V30/V31</f>
        <v>16.842660448589829</v>
      </c>
      <c r="W32" s="1">
        <f t="shared" ref="W32" si="136">W30/W31</f>
        <v>25.555967774639306</v>
      </c>
      <c r="X32" s="1">
        <f t="shared" ref="X32" si="137">X30/X31</f>
        <v>45.246692212666304</v>
      </c>
      <c r="Y32" s="1">
        <f t="shared" ref="Y32" si="138">Y30/Y31</f>
        <v>51.126592525194802</v>
      </c>
      <c r="Z32" s="1">
        <f t="shared" ref="Z32" si="139">Z30/Z31</f>
        <v>57.641984110650135</v>
      </c>
      <c r="AA32" s="1">
        <f t="shared" ref="AA32:AB32" si="140">AA30/AA31</f>
        <v>64.858207476359922</v>
      </c>
      <c r="AB32" s="1">
        <f t="shared" si="140"/>
        <v>68.636335199339243</v>
      </c>
      <c r="AC32" s="1">
        <f t="shared" ref="AC32" si="141">AC30/AC31</f>
        <v>72.589554971225525</v>
      </c>
      <c r="AD32" s="1">
        <f t="shared" ref="AD32" si="142">AD30/AD31</f>
        <v>76.725354526189264</v>
      </c>
      <c r="AE32" s="1">
        <f t="shared" ref="AE32" si="143">AE30/AE31</f>
        <v>81.051530865169354</v>
      </c>
      <c r="AF32" s="1">
        <f t="shared" ref="AF32" si="144">AF30/AF31</f>
        <v>85.576202822928863</v>
      </c>
      <c r="AG32" s="1"/>
      <c r="AH32" s="2" t="s">
        <v>108</v>
      </c>
      <c r="AI32" s="10">
        <v>0.02</v>
      </c>
    </row>
    <row r="33" spans="1:35" x14ac:dyDescent="0.2">
      <c r="AH33" s="2" t="s">
        <v>109</v>
      </c>
      <c r="AI33" s="10">
        <v>-0.01</v>
      </c>
    </row>
    <row r="34" spans="1:35" s="7" customFormat="1" x14ac:dyDescent="0.2">
      <c r="A34" s="2"/>
      <c r="B34" s="7" t="s">
        <v>52</v>
      </c>
      <c r="K34" s="9">
        <f>K20/G20-1</f>
        <v>0.45164233576642343</v>
      </c>
      <c r="L34" s="9">
        <f t="shared" ref="L34:M34" si="145">L20/H20-1</f>
        <v>0.37636025833849418</v>
      </c>
      <c r="M34" s="9">
        <f t="shared" si="145"/>
        <v>0.41439636331847196</v>
      </c>
      <c r="N34" s="9">
        <f>N20/J20-1</f>
        <v>0.24336445725264166</v>
      </c>
      <c r="O34" s="9"/>
      <c r="Q34" s="9">
        <f t="shared" ref="Q34:AB34" si="146">Q20/P20-1</f>
        <v>3.8477643884055279E-2</v>
      </c>
      <c r="R34" s="9">
        <f t="shared" si="146"/>
        <v>9.9462365591397761E-2</v>
      </c>
      <c r="S34" s="9">
        <f t="shared" si="146"/>
        <v>0.15395273023634881</v>
      </c>
      <c r="T34" s="9">
        <f t="shared" si="146"/>
        <v>7.874849918779514E-3</v>
      </c>
      <c r="U34" s="9">
        <f t="shared" si="146"/>
        <v>0.1956623804351636</v>
      </c>
      <c r="V34" s="9">
        <f t="shared" si="146"/>
        <v>0.31991126843934414</v>
      </c>
      <c r="W34" s="9">
        <f t="shared" si="146"/>
        <v>0.36073111394793789</v>
      </c>
      <c r="X34" s="9">
        <f t="shared" si="146"/>
        <v>0.19999999999999996</v>
      </c>
      <c r="Y34" s="9">
        <f t="shared" si="146"/>
        <v>0.10000000000000009</v>
      </c>
      <c r="Z34" s="9">
        <f t="shared" si="146"/>
        <v>0.10000000000000009</v>
      </c>
      <c r="AA34" s="9">
        <f t="shared" si="146"/>
        <v>0.10000000000000009</v>
      </c>
      <c r="AB34" s="9">
        <f t="shared" si="146"/>
        <v>4.0000000000000036E-2</v>
      </c>
      <c r="AC34" s="9">
        <f t="shared" ref="AC34:AF34" si="147">AC20/AB20-1</f>
        <v>4.0000000000000036E-2</v>
      </c>
      <c r="AD34" s="9">
        <f t="shared" si="147"/>
        <v>4.0000000000000036E-2</v>
      </c>
      <c r="AE34" s="9">
        <f t="shared" si="147"/>
        <v>4.0000000000000036E-2</v>
      </c>
      <c r="AF34" s="9">
        <f t="shared" si="147"/>
        <v>4.0000000000000036E-2</v>
      </c>
      <c r="AG34" s="9"/>
      <c r="AH34" s="2" t="s">
        <v>110</v>
      </c>
      <c r="AI34" s="10">
        <v>7.0000000000000007E-2</v>
      </c>
    </row>
    <row r="35" spans="1:35" x14ac:dyDescent="0.2">
      <c r="B35" s="2" t="s">
        <v>53</v>
      </c>
      <c r="C35" s="10">
        <f t="shared" ref="C35" si="148">C22/C20</f>
        <v>0.766235632183908</v>
      </c>
      <c r="D35" s="10">
        <f t="shared" ref="D35" si="149">D22/D20</f>
        <v>0.78260346487006738</v>
      </c>
      <c r="E35" s="10">
        <f t="shared" ref="E35" si="150">E22/E20</f>
        <v>0.80418991472786605</v>
      </c>
      <c r="F35" s="10">
        <f>F22/F20</f>
        <v>0.80883956636089549</v>
      </c>
      <c r="G35" s="10">
        <f>G22/G20</f>
        <v>0.80907846715328469</v>
      </c>
      <c r="H35" s="10">
        <f t="shared" ref="H35:N35" si="151">H22/H20</f>
        <v>0.80801557108732192</v>
      </c>
      <c r="I35" s="10">
        <f t="shared" si="151"/>
        <v>0.81021068275198882</v>
      </c>
      <c r="J35" s="10">
        <f>J22/J20</f>
        <v>0.82236015665410478</v>
      </c>
      <c r="K35" s="10">
        <f t="shared" si="151"/>
        <v>0.82526712759270904</v>
      </c>
      <c r="L35" s="10">
        <f t="shared" si="151"/>
        <v>0.8426431831329948</v>
      </c>
      <c r="M35" s="10">
        <f t="shared" si="151"/>
        <v>0.84</v>
      </c>
      <c r="N35" s="10">
        <f t="shared" si="151"/>
        <v>0.84000000000000008</v>
      </c>
      <c r="O35" s="10"/>
      <c r="P35" s="10">
        <f t="shared" ref="P35" si="152">P22/P20</f>
        <v>0.78216163402037875</v>
      </c>
      <c r="Q35" s="10">
        <f t="shared" ref="Q35" si="153">Q22/Q20</f>
        <v>0.78848566308243728</v>
      </c>
      <c r="R35" s="10">
        <f t="shared" ref="R35:W35" si="154">R22/R20</f>
        <v>0.7765688671556642</v>
      </c>
      <c r="S35" s="10">
        <f t="shared" si="154"/>
        <v>0.74175436118369942</v>
      </c>
      <c r="T35" s="10">
        <f t="shared" si="154"/>
        <v>0.76770260327248518</v>
      </c>
      <c r="U35" s="10">
        <f t="shared" si="154"/>
        <v>0.79247129703974162</v>
      </c>
      <c r="V35" s="10">
        <f t="shared" si="154"/>
        <v>0.8131098407059999</v>
      </c>
      <c r="W35" s="10">
        <f t="shared" si="154"/>
        <v>0.83761138434582749</v>
      </c>
      <c r="X35" s="10">
        <f t="shared" ref="X35:AB35" si="155">X22/X20</f>
        <v>0.84000000000000008</v>
      </c>
      <c r="Y35" s="10">
        <f t="shared" si="155"/>
        <v>0.84000000000000008</v>
      </c>
      <c r="Z35" s="10">
        <f t="shared" si="155"/>
        <v>0.84000000000000008</v>
      </c>
      <c r="AA35" s="10">
        <f t="shared" si="155"/>
        <v>0.84000000000000008</v>
      </c>
      <c r="AB35" s="10">
        <f t="shared" si="155"/>
        <v>0.84000000000000008</v>
      </c>
      <c r="AC35" s="10">
        <f t="shared" ref="AC35:AF35" si="156">AC22/AC20</f>
        <v>0.84</v>
      </c>
      <c r="AD35" s="10">
        <f t="shared" si="156"/>
        <v>0.84000000000000008</v>
      </c>
      <c r="AE35" s="10">
        <f t="shared" si="156"/>
        <v>0.84000000000000008</v>
      </c>
      <c r="AF35" s="10">
        <f t="shared" si="156"/>
        <v>0.84</v>
      </c>
      <c r="AG35" s="10"/>
      <c r="AH35" s="2" t="s">
        <v>111</v>
      </c>
      <c r="AI35" s="2">
        <f>NPV(AI34,W30:XFD30)+Main!K6-Main!K7</f>
        <v>815642.43678764242</v>
      </c>
    </row>
    <row r="36" spans="1:35" x14ac:dyDescent="0.2">
      <c r="B36" s="2" t="s">
        <v>107</v>
      </c>
      <c r="G36" s="10"/>
      <c r="K36" s="10">
        <f>K24/G24-1</f>
        <v>0.26485655737704916</v>
      </c>
      <c r="L36" s="10">
        <f t="shared" ref="L36:N36" si="157">L24/H24-1</f>
        <v>0.30042512990080295</v>
      </c>
      <c r="M36" s="10">
        <f t="shared" si="157"/>
        <v>0.31095238095238087</v>
      </c>
      <c r="N36" s="10">
        <f t="shared" si="157"/>
        <v>0.13549185399051344</v>
      </c>
      <c r="O36" s="10"/>
      <c r="P36" s="10"/>
      <c r="Q36" s="10">
        <f t="shared" ref="Q36:X36" si="158">Q24/P24-1</f>
        <v>4.0000000000000036E-2</v>
      </c>
      <c r="R36" s="10">
        <f t="shared" si="158"/>
        <v>-1.4966205342774375E-2</v>
      </c>
      <c r="S36" s="10">
        <f t="shared" si="158"/>
        <v>5.0808691390295646E-2</v>
      </c>
      <c r="T36" s="10">
        <f t="shared" si="158"/>
        <v>1.2437810945273853E-3</v>
      </c>
      <c r="U36" s="10">
        <f t="shared" si="158"/>
        <v>0.14953416149068333</v>
      </c>
      <c r="V36" s="10">
        <f t="shared" si="158"/>
        <v>0.16088072403079834</v>
      </c>
      <c r="W36" s="10">
        <f t="shared" si="158"/>
        <v>0.24831277635559701</v>
      </c>
      <c r="X36" s="10">
        <f t="shared" si="158"/>
        <v>0.10000000000000009</v>
      </c>
      <c r="Y36" s="10">
        <f t="shared" ref="Y36:AB36" si="159">Y24/X24-1</f>
        <v>4.0000000000000036E-2</v>
      </c>
      <c r="Z36" s="10">
        <f t="shared" si="159"/>
        <v>4.0000000000000036E-2</v>
      </c>
      <c r="AA36" s="10">
        <f t="shared" si="159"/>
        <v>4.0000000000000036E-2</v>
      </c>
      <c r="AB36" s="10">
        <f t="shared" si="159"/>
        <v>2.0000000000000018E-2</v>
      </c>
      <c r="AC36" s="10">
        <f t="shared" ref="AC36:AF36" si="160">AC24/AB24-1</f>
        <v>2.0000000000000018E-2</v>
      </c>
      <c r="AD36" s="10">
        <f t="shared" si="160"/>
        <v>2.0000000000000018E-2</v>
      </c>
      <c r="AE36" s="10">
        <f t="shared" si="160"/>
        <v>2.0000000000000018E-2</v>
      </c>
      <c r="AF36" s="10">
        <f t="shared" si="160"/>
        <v>2.0000000000000018E-2</v>
      </c>
      <c r="AG36" s="10"/>
      <c r="AH36" s="2" t="s">
        <v>112</v>
      </c>
      <c r="AI36" s="1">
        <f>AI35/Main!K4</f>
        <v>908.28779152298716</v>
      </c>
    </row>
    <row r="37" spans="1:35" x14ac:dyDescent="0.2">
      <c r="AI37" s="10">
        <f>AI36/Main!K3-1</f>
        <v>0.32596757886567462</v>
      </c>
    </row>
    <row r="38" spans="1:35" x14ac:dyDescent="0.2">
      <c r="B38" s="2" t="s">
        <v>54</v>
      </c>
      <c r="C38" s="2">
        <f t="shared" ref="C38:J38" si="161">C39-SUM(C60:C62)</f>
        <v>0</v>
      </c>
      <c r="D38" s="2">
        <f t="shared" si="161"/>
        <v>0</v>
      </c>
      <c r="E38" s="2">
        <f t="shared" si="161"/>
        <v>0</v>
      </c>
      <c r="F38" s="2">
        <f t="shared" si="161"/>
        <v>0</v>
      </c>
      <c r="G38" s="2">
        <f t="shared" si="161"/>
        <v>0</v>
      </c>
      <c r="H38" s="2">
        <f t="shared" si="161"/>
        <v>0</v>
      </c>
      <c r="I38" s="2">
        <f t="shared" si="161"/>
        <v>0</v>
      </c>
      <c r="J38" s="2">
        <f t="shared" si="161"/>
        <v>0</v>
      </c>
      <c r="K38" s="2">
        <f>K39-SUM(K60:K61)</f>
        <v>-3466</v>
      </c>
      <c r="L38" s="2">
        <f>L39-SUM(L60:L61)</f>
        <v>-3483</v>
      </c>
      <c r="M38" s="2">
        <f t="shared" ref="M38:N38" si="162">L38+M30</f>
        <v>2579.1859619999996</v>
      </c>
      <c r="N38" s="2">
        <f t="shared" si="162"/>
        <v>9106.2590616261004</v>
      </c>
      <c r="P38" s="2">
        <f t="shared" ref="P38:V38" si="163">P39-SUM(P60:P62)</f>
        <v>0</v>
      </c>
      <c r="Q38" s="2">
        <f t="shared" si="163"/>
        <v>0</v>
      </c>
      <c r="R38" s="2">
        <f t="shared" si="163"/>
        <v>0</v>
      </c>
      <c r="S38" s="2">
        <f t="shared" si="163"/>
        <v>0</v>
      </c>
      <c r="T38" s="2">
        <f t="shared" si="163"/>
        <v>0</v>
      </c>
      <c r="U38" s="2">
        <f t="shared" si="163"/>
        <v>0</v>
      </c>
      <c r="V38" s="2">
        <f t="shared" si="163"/>
        <v>0</v>
      </c>
      <c r="W38" s="2">
        <f>N38</f>
        <v>9106.2590616261004</v>
      </c>
      <c r="X38" s="2">
        <f>W38+X30</f>
        <v>49737.788668600442</v>
      </c>
      <c r="Y38" s="2">
        <f t="shared" ref="Y38:AB38" si="164">X38+Y30</f>
        <v>95649.468756225368</v>
      </c>
      <c r="Z38" s="2">
        <f t="shared" si="164"/>
        <v>147411.97048758919</v>
      </c>
      <c r="AA38" s="2">
        <f t="shared" si="164"/>
        <v>205654.64080136039</v>
      </c>
      <c r="AB38" s="2">
        <f t="shared" si="164"/>
        <v>267290.06981036701</v>
      </c>
      <c r="AC38" s="2">
        <f t="shared" ref="AC38:AF38" si="165">AB38+AC30</f>
        <v>332475.49017452751</v>
      </c>
      <c r="AD38" s="2">
        <f t="shared" si="165"/>
        <v>401374.85853904544</v>
      </c>
      <c r="AE38" s="2">
        <f t="shared" si="165"/>
        <v>474159.13325596752</v>
      </c>
      <c r="AF38" s="2">
        <f t="shared" si="165"/>
        <v>551006.56339095766</v>
      </c>
    </row>
    <row r="39" spans="1:35" x14ac:dyDescent="0.2">
      <c r="B39" s="2" t="s">
        <v>3</v>
      </c>
      <c r="K39" s="2">
        <f>3093+128</f>
        <v>3221</v>
      </c>
      <c r="L39" s="2">
        <f>3376+170</f>
        <v>3546</v>
      </c>
    </row>
    <row r="40" spans="1:35" x14ac:dyDescent="0.2">
      <c r="B40" s="2" t="s">
        <v>340</v>
      </c>
      <c r="K40" s="2">
        <v>12037</v>
      </c>
      <c r="L40" s="2">
        <v>14170</v>
      </c>
      <c r="AD40" s="10"/>
    </row>
    <row r="41" spans="1:35" x14ac:dyDescent="0.2">
      <c r="B41" s="2" t="s">
        <v>60</v>
      </c>
      <c r="K41" s="2">
        <v>1966.6</v>
      </c>
      <c r="L41" s="2">
        <v>3035</v>
      </c>
      <c r="AH41" s="31"/>
    </row>
    <row r="42" spans="1:35" x14ac:dyDescent="0.2">
      <c r="B42" s="2" t="s">
        <v>55</v>
      </c>
      <c r="K42" s="2">
        <v>9311</v>
      </c>
      <c r="L42" s="2">
        <v>11014</v>
      </c>
      <c r="AH42" s="31"/>
    </row>
    <row r="43" spans="1:35" x14ac:dyDescent="0.2">
      <c r="B43" s="2" t="s">
        <v>56</v>
      </c>
      <c r="K43" s="2">
        <v>14654</v>
      </c>
      <c r="L43" s="2">
        <v>18020</v>
      </c>
      <c r="AH43" s="10"/>
    </row>
    <row r="44" spans="1:35" x14ac:dyDescent="0.2">
      <c r="B44" s="2" t="s">
        <v>57</v>
      </c>
      <c r="K44" s="2">
        <v>72</v>
      </c>
      <c r="L44" s="2">
        <v>69</v>
      </c>
    </row>
    <row r="45" spans="1:35" x14ac:dyDescent="0.2">
      <c r="B45" s="2" t="s">
        <v>58</v>
      </c>
      <c r="K45" s="2">
        <v>3223</v>
      </c>
      <c r="L45" s="2">
        <v>3207</v>
      </c>
    </row>
    <row r="46" spans="1:35" x14ac:dyDescent="0.2">
      <c r="B46" s="2" t="s">
        <v>59</v>
      </c>
      <c r="K46" s="2">
        <v>5771</v>
      </c>
      <c r="L46" s="2">
        <v>5771</v>
      </c>
    </row>
    <row r="47" spans="1:35" x14ac:dyDescent="0.2">
      <c r="B47" s="2" t="s">
        <v>61</v>
      </c>
      <c r="K47" s="2">
        <v>6012</v>
      </c>
      <c r="L47" s="2">
        <v>5908</v>
      </c>
    </row>
    <row r="48" spans="1:35" x14ac:dyDescent="0.2">
      <c r="B48" s="2" t="s">
        <v>75</v>
      </c>
      <c r="K48" s="2">
        <v>8573</v>
      </c>
      <c r="L48" s="2">
        <v>9427</v>
      </c>
    </row>
    <row r="49" spans="2:12" x14ac:dyDescent="0.2">
      <c r="B49" s="2" t="s">
        <v>62</v>
      </c>
      <c r="K49" s="2">
        <v>18474</v>
      </c>
      <c r="L49" s="2">
        <v>20530</v>
      </c>
    </row>
    <row r="50" spans="2:12" x14ac:dyDescent="0.2">
      <c r="B50" s="2" t="s">
        <v>63</v>
      </c>
      <c r="K50" s="2">
        <v>6075</v>
      </c>
      <c r="L50" s="2">
        <v>6225</v>
      </c>
    </row>
    <row r="51" spans="2:12" x14ac:dyDescent="0.2">
      <c r="B51" s="2" t="s">
        <v>64</v>
      </c>
      <c r="K51" s="2">
        <f>SUM(K39:K50)</f>
        <v>89389.6</v>
      </c>
      <c r="L51" s="2">
        <f>SUM(L39:L50)</f>
        <v>100922</v>
      </c>
    </row>
    <row r="53" spans="2:12" x14ac:dyDescent="0.2">
      <c r="B53" s="2" t="s">
        <v>4</v>
      </c>
      <c r="K53" s="2">
        <f>4016+34449</f>
        <v>38465</v>
      </c>
      <c r="L53" s="2">
        <f>5724+6958+34180</f>
        <v>46862</v>
      </c>
    </row>
    <row r="54" spans="2:12" x14ac:dyDescent="0.2">
      <c r="B54" s="2" t="s">
        <v>65</v>
      </c>
      <c r="K54" s="2">
        <v>3442</v>
      </c>
      <c r="L54" s="2">
        <v>4076</v>
      </c>
    </row>
    <row r="55" spans="2:12" x14ac:dyDescent="0.2">
      <c r="B55" s="2" t="s">
        <v>66</v>
      </c>
      <c r="K55" s="2">
        <v>1114</v>
      </c>
      <c r="L55" s="2">
        <v>1303</v>
      </c>
    </row>
    <row r="56" spans="2:12" x14ac:dyDescent="0.2">
      <c r="B56" s="2" t="s">
        <v>78</v>
      </c>
      <c r="K56" s="2">
        <v>11550</v>
      </c>
      <c r="L56" s="2">
        <v>14537</v>
      </c>
    </row>
    <row r="57" spans="2:12" x14ac:dyDescent="0.2">
      <c r="B57" s="2" t="s">
        <v>79</v>
      </c>
      <c r="K57" s="2">
        <v>0</v>
      </c>
      <c r="L57" s="2">
        <v>1345</v>
      </c>
    </row>
    <row r="58" spans="2:12" x14ac:dyDescent="0.2">
      <c r="B58" s="2" t="s">
        <v>76</v>
      </c>
      <c r="K58" s="2">
        <v>6176</v>
      </c>
      <c r="L58" s="2">
        <v>6958</v>
      </c>
    </row>
    <row r="59" spans="2:12" x14ac:dyDescent="0.2">
      <c r="B59" s="2" t="s">
        <v>67</v>
      </c>
      <c r="K59" s="2">
        <v>3770</v>
      </c>
      <c r="L59" s="2">
        <v>5077</v>
      </c>
    </row>
    <row r="60" spans="2:12" x14ac:dyDescent="0.2">
      <c r="B60" s="2" t="s">
        <v>77</v>
      </c>
      <c r="K60" s="2">
        <v>1316</v>
      </c>
      <c r="L60" s="2">
        <v>1345</v>
      </c>
    </row>
    <row r="61" spans="2:12" x14ac:dyDescent="0.2">
      <c r="B61" s="2" t="s">
        <v>76</v>
      </c>
      <c r="K61" s="2">
        <v>5371</v>
      </c>
      <c r="L61" s="2">
        <v>5684</v>
      </c>
    </row>
    <row r="62" spans="2:12" x14ac:dyDescent="0.2">
      <c r="B62" s="2" t="s">
        <v>68</v>
      </c>
      <c r="K62" s="2">
        <v>2288</v>
      </c>
      <c r="L62" s="2">
        <v>2345</v>
      </c>
    </row>
    <row r="63" spans="2:12" x14ac:dyDescent="0.2">
      <c r="B63" s="2" t="s">
        <v>69</v>
      </c>
      <c r="K63" s="2">
        <f>SUM(K53:K62)</f>
        <v>73492</v>
      </c>
      <c r="L63" s="2">
        <f>SUM(L53:L62)</f>
        <v>89532</v>
      </c>
    </row>
    <row r="64" spans="2:12" x14ac:dyDescent="0.2">
      <c r="B64" s="2" t="s">
        <v>71</v>
      </c>
      <c r="K64" s="2">
        <f>K51-K63</f>
        <v>15897.600000000006</v>
      </c>
      <c r="L64" s="2">
        <f>L51-L63</f>
        <v>11390</v>
      </c>
    </row>
    <row r="65" spans="2:12" x14ac:dyDescent="0.2">
      <c r="B65" s="2" t="s">
        <v>70</v>
      </c>
      <c r="K65" s="2">
        <f>K64+K63</f>
        <v>89389.6</v>
      </c>
      <c r="L65" s="2">
        <f>L64+L63</f>
        <v>100922</v>
      </c>
    </row>
    <row r="67" spans="2:12" x14ac:dyDescent="0.2">
      <c r="B67" s="2" t="s">
        <v>72</v>
      </c>
      <c r="G67" s="2">
        <f t="shared" ref="G67:L67" si="166">G30</f>
        <v>2353</v>
      </c>
      <c r="H67" s="2">
        <f t="shared" si="166"/>
        <v>3955</v>
      </c>
      <c r="I67" s="2">
        <f t="shared" si="166"/>
        <v>3754</v>
      </c>
      <c r="J67" s="2">
        <f t="shared" si="166"/>
        <v>4942.6000000000004</v>
      </c>
      <c r="K67" s="2">
        <f t="shared" si="166"/>
        <v>4365</v>
      </c>
      <c r="L67" s="2">
        <f t="shared" si="166"/>
        <v>5995</v>
      </c>
    </row>
    <row r="68" spans="2:12" x14ac:dyDescent="0.2">
      <c r="B68" s="2" t="s">
        <v>73</v>
      </c>
      <c r="G68" s="2">
        <v>2243</v>
      </c>
      <c r="K68" s="2">
        <v>2759</v>
      </c>
    </row>
    <row r="69" spans="2:12" x14ac:dyDescent="0.2">
      <c r="B69" s="2" t="s">
        <v>74</v>
      </c>
      <c r="K69" s="2">
        <v>463</v>
      </c>
    </row>
    <row r="70" spans="2:12" x14ac:dyDescent="0.2">
      <c r="B70" s="2" t="s">
        <v>75</v>
      </c>
      <c r="K70" s="2">
        <v>-392</v>
      </c>
    </row>
    <row r="71" spans="2:12" x14ac:dyDescent="0.2">
      <c r="B71" s="2" t="s">
        <v>80</v>
      </c>
      <c r="K71" s="2">
        <v>154</v>
      </c>
    </row>
    <row r="72" spans="2:12" x14ac:dyDescent="0.2">
      <c r="B72" s="2" t="s">
        <v>58</v>
      </c>
      <c r="K72" s="2">
        <v>149</v>
      </c>
    </row>
    <row r="73" spans="2:12" x14ac:dyDescent="0.2">
      <c r="B73" s="2" t="s">
        <v>81</v>
      </c>
      <c r="K73" s="2">
        <v>1572</v>
      </c>
    </row>
    <row r="74" spans="2:12" x14ac:dyDescent="0.2">
      <c r="B74" s="2" t="s">
        <v>82</v>
      </c>
      <c r="K74" s="2">
        <f>-3364+325</f>
        <v>-3039</v>
      </c>
    </row>
    <row r="75" spans="2:12" x14ac:dyDescent="0.2">
      <c r="B75" s="2" t="s">
        <v>83</v>
      </c>
      <c r="K75" s="2">
        <f>SUM(K39:K44)-SUM(K45:K50)</f>
        <v>-6866.4000000000015</v>
      </c>
    </row>
    <row r="76" spans="2:12" x14ac:dyDescent="0.2">
      <c r="B76" s="2" t="s">
        <v>84</v>
      </c>
      <c r="K76" s="2">
        <f>SUM(K68:K74)</f>
        <v>1666</v>
      </c>
    </row>
    <row r="78" spans="2:12" x14ac:dyDescent="0.2">
      <c r="B78" s="2" t="s">
        <v>85</v>
      </c>
      <c r="K78" s="2">
        <v>-1510</v>
      </c>
    </row>
    <row r="79" spans="2:12" x14ac:dyDescent="0.2">
      <c r="B79" s="2" t="s">
        <v>58</v>
      </c>
      <c r="K79" s="2">
        <f>72-197</f>
        <v>-125</v>
      </c>
    </row>
    <row r="80" spans="2:12" x14ac:dyDescent="0.2">
      <c r="B80" s="2" t="s">
        <v>86</v>
      </c>
      <c r="K80" s="2">
        <v>-1757</v>
      </c>
    </row>
    <row r="81" spans="2:12" x14ac:dyDescent="0.2">
      <c r="B81" s="2" t="s">
        <v>82</v>
      </c>
      <c r="K81" s="2">
        <v>39</v>
      </c>
    </row>
    <row r="82" spans="2:12" x14ac:dyDescent="0.2">
      <c r="B82" s="2" t="s">
        <v>87</v>
      </c>
      <c r="K82" s="2">
        <f>SUM(K78:K81)</f>
        <v>-3353</v>
      </c>
    </row>
    <row r="84" spans="2:12" x14ac:dyDescent="0.2">
      <c r="B84" s="2" t="s">
        <v>79</v>
      </c>
      <c r="K84" s="2">
        <v>-1346</v>
      </c>
    </row>
    <row r="85" spans="2:12" x14ac:dyDescent="0.2">
      <c r="B85" s="2" t="s">
        <v>88</v>
      </c>
      <c r="K85" s="2">
        <f>-1849+6461</f>
        <v>4612</v>
      </c>
    </row>
    <row r="86" spans="2:12" x14ac:dyDescent="0.2">
      <c r="B86" s="2" t="s">
        <v>89</v>
      </c>
      <c r="K86" s="2">
        <v>-1200</v>
      </c>
    </row>
    <row r="87" spans="2:12" x14ac:dyDescent="0.2">
      <c r="B87" s="2" t="s">
        <v>82</v>
      </c>
      <c r="K87" s="2">
        <v>-686</v>
      </c>
    </row>
    <row r="88" spans="2:12" x14ac:dyDescent="0.2">
      <c r="B88" s="2" t="s">
        <v>90</v>
      </c>
      <c r="K88" s="2">
        <f>SUM(K84:K87)</f>
        <v>1380</v>
      </c>
    </row>
    <row r="89" spans="2:12" x14ac:dyDescent="0.2">
      <c r="B89" s="2" t="s">
        <v>91</v>
      </c>
      <c r="G89" s="2">
        <v>-36</v>
      </c>
      <c r="K89" s="2">
        <v>132</v>
      </c>
    </row>
    <row r="90" spans="2:12" x14ac:dyDescent="0.2">
      <c r="B90" s="2" t="s">
        <v>92</v>
      </c>
      <c r="K90" s="2">
        <f>K76+K82+K88+K89</f>
        <v>-175</v>
      </c>
    </row>
    <row r="92" spans="2:12" x14ac:dyDescent="0.2">
      <c r="B92" s="2" t="s">
        <v>356</v>
      </c>
      <c r="K92" s="2">
        <v>8489</v>
      </c>
      <c r="L92" s="2">
        <v>10814</v>
      </c>
    </row>
    <row r="93" spans="2:12" x14ac:dyDescent="0.2">
      <c r="B93" s="2" t="s">
        <v>357</v>
      </c>
      <c r="K93" s="2">
        <v>2389</v>
      </c>
      <c r="L93" s="2">
        <v>2574</v>
      </c>
    </row>
    <row r="94" spans="2:12" x14ac:dyDescent="0.2">
      <c r="B94" s="2" t="s">
        <v>358</v>
      </c>
      <c r="K94" s="2">
        <v>451</v>
      </c>
      <c r="L94" s="2">
        <v>466</v>
      </c>
    </row>
    <row r="95" spans="2:12" x14ac:dyDescent="0.2">
      <c r="B95" s="2" t="s">
        <v>359</v>
      </c>
      <c r="K95" s="2">
        <v>402</v>
      </c>
      <c r="L95" s="2">
        <v>521</v>
      </c>
    </row>
    <row r="96" spans="2:12" x14ac:dyDescent="0.2">
      <c r="B96" s="2" t="s">
        <v>360</v>
      </c>
      <c r="K96" s="2">
        <v>997</v>
      </c>
      <c r="L96" s="2">
        <v>1182</v>
      </c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</sheetData>
  <hyperlinks>
    <hyperlink ref="A1" location="Main!A1" display="Main" xr:uid="{87DF8049-26DF-4905-BACD-85C49EBD7562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221-2168-4E03-8F61-52C2DF201221}">
  <dimension ref="A1:E2"/>
  <sheetViews>
    <sheetView tabSelected="1" zoomScale="130" zoomScaleNormal="130" workbookViewId="0">
      <pane ySplit="2" topLeftCell="A3" activePane="bottomLeft" state="frozen"/>
      <selection pane="bottomLeft" activeCell="D13" sqref="D13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4" t="s">
        <v>14</v>
      </c>
    </row>
    <row r="2" spans="1:5" x14ac:dyDescent="0.2">
      <c r="B2" t="s">
        <v>361</v>
      </c>
      <c r="C2" t="s">
        <v>362</v>
      </c>
      <c r="D2" t="s">
        <v>363</v>
      </c>
      <c r="E2" t="s">
        <v>34</v>
      </c>
    </row>
  </sheetData>
  <hyperlinks>
    <hyperlink ref="A1" location="Main!A1" display="Main" xr:uid="{4E39AA09-BE41-43ED-BE61-D2715B2CAA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813-3D1E-4A9E-A516-334ACAC114C1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</cols>
  <sheetData>
    <row r="1" spans="1:5" x14ac:dyDescent="0.2">
      <c r="A1" s="4" t="s">
        <v>14</v>
      </c>
    </row>
    <row r="2" spans="1:5" x14ac:dyDescent="0.2">
      <c r="B2" t="s">
        <v>33</v>
      </c>
      <c r="C2" t="s">
        <v>34</v>
      </c>
      <c r="D2" t="s">
        <v>10</v>
      </c>
      <c r="E2" t="s">
        <v>32</v>
      </c>
    </row>
  </sheetData>
  <hyperlinks>
    <hyperlink ref="A1" location="Main!A1" display="Main" xr:uid="{68702C78-0E79-41C3-8141-0ECEA5C532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51B-1DA4-4878-A4F2-4493F7143AF8}">
  <dimension ref="A1:H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</cols>
  <sheetData>
    <row r="1" spans="1:8" x14ac:dyDescent="0.2">
      <c r="A1" s="4" t="s">
        <v>14</v>
      </c>
    </row>
    <row r="2" spans="1:8" x14ac:dyDescent="0.2">
      <c r="B2" t="s">
        <v>29</v>
      </c>
      <c r="C2" t="s">
        <v>6</v>
      </c>
      <c r="D2" t="s">
        <v>7</v>
      </c>
      <c r="E2" t="s">
        <v>30</v>
      </c>
      <c r="F2" t="s">
        <v>8</v>
      </c>
      <c r="G2" t="s">
        <v>31</v>
      </c>
      <c r="H2" t="s">
        <v>32</v>
      </c>
    </row>
  </sheetData>
  <hyperlinks>
    <hyperlink ref="A1" location="Main!A1" display="Main" xr:uid="{9C0804F9-70CE-4485-9C8A-22A1D2ECD7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FCAD-61D7-4A2F-914E-2906B0E5F55A}">
  <dimension ref="A1:N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2.75" x14ac:dyDescent="0.2"/>
  <cols>
    <col min="1" max="1" width="5" bestFit="1" customWidth="1"/>
    <col min="3" max="3" width="11" bestFit="1" customWidth="1"/>
  </cols>
  <sheetData>
    <row r="1" spans="1:14" x14ac:dyDescent="0.2">
      <c r="A1" s="4" t="s">
        <v>14</v>
      </c>
    </row>
    <row r="2" spans="1:14" x14ac:dyDescent="0.2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M2" t="s">
        <v>44</v>
      </c>
      <c r="N2" t="s">
        <v>45</v>
      </c>
    </row>
    <row r="3" spans="1:14" s="5" customFormat="1" x14ac:dyDescent="0.2">
      <c r="A3"/>
      <c r="B3" s="5" t="s">
        <v>46</v>
      </c>
    </row>
    <row r="5" spans="1:14" x14ac:dyDescent="0.2">
      <c r="B5" t="s">
        <v>93</v>
      </c>
      <c r="C5" t="s">
        <v>326</v>
      </c>
      <c r="E5" t="s">
        <v>319</v>
      </c>
    </row>
    <row r="6" spans="1:14" x14ac:dyDescent="0.2">
      <c r="B6" t="s">
        <v>94</v>
      </c>
      <c r="C6" t="s">
        <v>326</v>
      </c>
      <c r="E6" t="s">
        <v>319</v>
      </c>
    </row>
    <row r="7" spans="1:14" x14ac:dyDescent="0.2">
      <c r="B7" t="s">
        <v>95</v>
      </c>
      <c r="C7" t="s">
        <v>326</v>
      </c>
      <c r="E7" t="s">
        <v>319</v>
      </c>
    </row>
    <row r="8" spans="1:14" x14ac:dyDescent="0.2">
      <c r="B8" t="s">
        <v>317</v>
      </c>
      <c r="C8" t="s">
        <v>325</v>
      </c>
      <c r="E8" t="s">
        <v>318</v>
      </c>
    </row>
    <row r="9" spans="1:14" x14ac:dyDescent="0.2">
      <c r="B9" t="s">
        <v>320</v>
      </c>
      <c r="C9" t="s">
        <v>325</v>
      </c>
      <c r="E9" t="s">
        <v>318</v>
      </c>
    </row>
    <row r="10" spans="1:14" x14ac:dyDescent="0.2">
      <c r="B10" t="s">
        <v>321</v>
      </c>
      <c r="C10" t="s">
        <v>325</v>
      </c>
      <c r="E10" t="s">
        <v>318</v>
      </c>
    </row>
    <row r="11" spans="1:14" x14ac:dyDescent="0.2">
      <c r="B11" t="s">
        <v>322</v>
      </c>
      <c r="C11" t="s">
        <v>325</v>
      </c>
      <c r="E11" t="s">
        <v>318</v>
      </c>
    </row>
    <row r="12" spans="1:14" x14ac:dyDescent="0.2">
      <c r="B12" t="s">
        <v>323</v>
      </c>
      <c r="C12" t="s">
        <v>324</v>
      </c>
      <c r="E12" t="s">
        <v>318</v>
      </c>
    </row>
  </sheetData>
  <hyperlinks>
    <hyperlink ref="A1" location="Main!A1" display="Main" xr:uid="{A47F4495-C645-46E6-AB03-224D143A5DE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FC46-79AB-4D31-998B-F6F3117F2304}">
  <dimension ref="A1:R31"/>
  <sheetViews>
    <sheetView zoomScale="130" zoomScaleNormal="130" workbookViewId="0">
      <selection activeCell="D16" sqref="D16"/>
    </sheetView>
  </sheetViews>
  <sheetFormatPr defaultRowHeight="12.75" x14ac:dyDescent="0.2"/>
  <cols>
    <col min="1" max="1" width="5" bestFit="1" customWidth="1"/>
    <col min="2" max="2" width="15" bestFit="1" customWidth="1"/>
    <col min="3" max="3" width="11.140625" customWidth="1"/>
    <col min="4" max="4" width="12.85546875" customWidth="1"/>
    <col min="5" max="18" width="11.140625" bestFit="1" customWidth="1"/>
  </cols>
  <sheetData>
    <row r="1" spans="1:2" x14ac:dyDescent="0.2">
      <c r="A1" s="4" t="s">
        <v>14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7</v>
      </c>
    </row>
    <row r="5" spans="1:2" x14ac:dyDescent="0.2">
      <c r="B5" t="s">
        <v>10</v>
      </c>
    </row>
    <row r="6" spans="1:2" x14ac:dyDescent="0.2">
      <c r="B6" t="s">
        <v>200</v>
      </c>
    </row>
    <row r="7" spans="1:2" x14ac:dyDescent="0.2">
      <c r="B7" t="s">
        <v>199</v>
      </c>
    </row>
    <row r="8" spans="1:2" x14ac:dyDescent="0.2">
      <c r="B8" t="s">
        <v>201</v>
      </c>
    </row>
    <row r="9" spans="1:2" x14ac:dyDescent="0.2">
      <c r="B9" t="s">
        <v>11</v>
      </c>
    </row>
    <row r="10" spans="1:2" x14ac:dyDescent="0.2">
      <c r="B10" t="s">
        <v>198</v>
      </c>
    </row>
    <row r="20" spans="2:18" x14ac:dyDescent="0.2">
      <c r="C20" s="10"/>
    </row>
    <row r="22" spans="2:18" x14ac:dyDescent="0.2">
      <c r="C22">
        <v>2024</v>
      </c>
      <c r="D22">
        <f>C22+1</f>
        <v>2025</v>
      </c>
      <c r="E22">
        <f t="shared" ref="E22:R22" si="0">D22+1</f>
        <v>2026</v>
      </c>
      <c r="F22">
        <f t="shared" si="0"/>
        <v>2027</v>
      </c>
      <c r="G22">
        <f t="shared" si="0"/>
        <v>2028</v>
      </c>
      <c r="H22">
        <f t="shared" si="0"/>
        <v>2029</v>
      </c>
      <c r="I22">
        <f t="shared" si="0"/>
        <v>2030</v>
      </c>
      <c r="J22">
        <f t="shared" si="0"/>
        <v>2031</v>
      </c>
      <c r="K22">
        <f t="shared" si="0"/>
        <v>2032</v>
      </c>
      <c r="L22">
        <f t="shared" si="0"/>
        <v>2033</v>
      </c>
      <c r="M22">
        <f t="shared" si="0"/>
        <v>2034</v>
      </c>
      <c r="N22">
        <f t="shared" si="0"/>
        <v>2035</v>
      </c>
      <c r="O22">
        <f t="shared" si="0"/>
        <v>2036</v>
      </c>
      <c r="P22">
        <f t="shared" si="0"/>
        <v>2037</v>
      </c>
      <c r="Q22">
        <f t="shared" si="0"/>
        <v>2038</v>
      </c>
      <c r="R22">
        <f t="shared" si="0"/>
        <v>2039</v>
      </c>
    </row>
    <row r="23" spans="2:18" x14ac:dyDescent="0.2">
      <c r="B23" t="s">
        <v>202</v>
      </c>
      <c r="C23" s="2">
        <v>136000000</v>
      </c>
      <c r="D23" s="2">
        <f>C23*1.005</f>
        <v>136680000</v>
      </c>
      <c r="E23" s="2">
        <f t="shared" ref="E23:R23" si="1">D23*1.005</f>
        <v>137363400</v>
      </c>
      <c r="F23" s="2">
        <f t="shared" si="1"/>
        <v>138050217</v>
      </c>
      <c r="G23" s="2">
        <f t="shared" si="1"/>
        <v>138740468.08499998</v>
      </c>
      <c r="H23" s="2">
        <f t="shared" si="1"/>
        <v>139434170.42542496</v>
      </c>
      <c r="I23" s="2">
        <f t="shared" si="1"/>
        <v>140131341.27755207</v>
      </c>
      <c r="J23" s="2">
        <f t="shared" si="1"/>
        <v>140831997.98393983</v>
      </c>
      <c r="K23" s="2">
        <f t="shared" si="1"/>
        <v>141536157.97385952</v>
      </c>
      <c r="L23" s="2">
        <f t="shared" si="1"/>
        <v>142243838.7637288</v>
      </c>
      <c r="M23" s="2">
        <f t="shared" si="1"/>
        <v>142955057.95754743</v>
      </c>
      <c r="N23" s="2">
        <f t="shared" si="1"/>
        <v>143669833.24733514</v>
      </c>
      <c r="O23" s="2">
        <f t="shared" si="1"/>
        <v>144388182.4135718</v>
      </c>
      <c r="P23" s="2">
        <f t="shared" si="1"/>
        <v>145110123.32563964</v>
      </c>
      <c r="Q23" s="2">
        <f t="shared" si="1"/>
        <v>145835673.94226781</v>
      </c>
      <c r="R23" s="2">
        <f t="shared" si="1"/>
        <v>146564852.31197912</v>
      </c>
    </row>
    <row r="24" spans="2:18" x14ac:dyDescent="0.2">
      <c r="B24" t="s">
        <v>337</v>
      </c>
      <c r="C24" s="2">
        <f>C23*0.03</f>
        <v>4080000</v>
      </c>
      <c r="D24">
        <f>D23*0.04</f>
        <v>5467200</v>
      </c>
      <c r="E24">
        <f>E23*0.05</f>
        <v>6868170</v>
      </c>
      <c r="F24">
        <f t="shared" ref="F24:R24" si="2">F23*0.05</f>
        <v>6902510.8500000006</v>
      </c>
      <c r="G24">
        <f t="shared" si="2"/>
        <v>6937023.4042499997</v>
      </c>
      <c r="H24">
        <f t="shared" si="2"/>
        <v>6971708.5212712483</v>
      </c>
      <c r="I24">
        <f t="shared" si="2"/>
        <v>7006567.063877604</v>
      </c>
      <c r="J24">
        <f t="shared" si="2"/>
        <v>7041599.8991969917</v>
      </c>
      <c r="K24">
        <f t="shared" si="2"/>
        <v>7076807.8986929767</v>
      </c>
      <c r="L24">
        <f t="shared" si="2"/>
        <v>7112191.9381864406</v>
      </c>
      <c r="M24">
        <f t="shared" si="2"/>
        <v>7147752.8978773719</v>
      </c>
      <c r="N24">
        <f t="shared" si="2"/>
        <v>7183491.6623667572</v>
      </c>
      <c r="O24">
        <f t="shared" si="2"/>
        <v>7219409.1206785906</v>
      </c>
      <c r="P24">
        <f t="shared" si="2"/>
        <v>7255506.1662819823</v>
      </c>
      <c r="Q24">
        <f t="shared" si="2"/>
        <v>7291783.697113391</v>
      </c>
      <c r="R24">
        <f t="shared" si="2"/>
        <v>7328242.6155989561</v>
      </c>
    </row>
    <row r="25" spans="2:18" x14ac:dyDescent="0.2">
      <c r="B25" t="s">
        <v>0</v>
      </c>
      <c r="C25" s="2">
        <v>12000</v>
      </c>
      <c r="D25" s="2">
        <v>12000</v>
      </c>
      <c r="E25" s="2">
        <v>12000</v>
      </c>
      <c r="F25" s="2">
        <v>12000</v>
      </c>
      <c r="G25" s="2">
        <v>12000</v>
      </c>
      <c r="H25" s="2">
        <v>12000</v>
      </c>
      <c r="I25" s="2">
        <v>12000</v>
      </c>
      <c r="J25" s="2">
        <v>12000</v>
      </c>
      <c r="K25" s="2">
        <v>12000</v>
      </c>
      <c r="L25" s="2">
        <v>12000</v>
      </c>
      <c r="M25" s="2">
        <v>12000</v>
      </c>
      <c r="N25" s="2">
        <v>12000</v>
      </c>
      <c r="O25" s="2">
        <v>12000</v>
      </c>
      <c r="P25" s="2">
        <v>12000</v>
      </c>
      <c r="Q25" s="2">
        <v>12000</v>
      </c>
      <c r="R25" s="2">
        <v>12000</v>
      </c>
    </row>
    <row r="26" spans="2:18" x14ac:dyDescent="0.2">
      <c r="B26" t="s">
        <v>15</v>
      </c>
      <c r="C26" s="2">
        <f>C25*C24/1000000</f>
        <v>48960</v>
      </c>
      <c r="D26" s="2">
        <f t="shared" ref="D26:R26" si="3">D25*D24/1000000</f>
        <v>65606.399999999994</v>
      </c>
      <c r="E26" s="2">
        <f t="shared" si="3"/>
        <v>82418.039999999994</v>
      </c>
      <c r="F26" s="2">
        <f t="shared" si="3"/>
        <v>82830.1302</v>
      </c>
      <c r="G26" s="2">
        <f t="shared" si="3"/>
        <v>83244.280851000003</v>
      </c>
      <c r="H26" s="2">
        <f t="shared" si="3"/>
        <v>83660.502255254978</v>
      </c>
      <c r="I26" s="2">
        <f t="shared" si="3"/>
        <v>84078.804766531248</v>
      </c>
      <c r="J26" s="2">
        <f t="shared" si="3"/>
        <v>84499.198790363909</v>
      </c>
      <c r="K26" s="2">
        <f t="shared" si="3"/>
        <v>84921.694784315725</v>
      </c>
      <c r="L26" s="2">
        <f t="shared" si="3"/>
        <v>85346.303258237283</v>
      </c>
      <c r="M26" s="2">
        <f t="shared" si="3"/>
        <v>85773.034774528453</v>
      </c>
      <c r="N26" s="2">
        <f t="shared" si="3"/>
        <v>86201.899948401086</v>
      </c>
      <c r="O26" s="2">
        <f t="shared" si="3"/>
        <v>86632.90944814308</v>
      </c>
      <c r="P26" s="2">
        <f t="shared" si="3"/>
        <v>87066.073995383791</v>
      </c>
      <c r="Q26" s="2">
        <f t="shared" si="3"/>
        <v>87501.404365360693</v>
      </c>
      <c r="R26" s="2">
        <f t="shared" si="3"/>
        <v>87938.911387187472</v>
      </c>
    </row>
    <row r="28" spans="2:18" x14ac:dyDescent="0.2">
      <c r="C28" t="s">
        <v>110</v>
      </c>
      <c r="D28" s="10">
        <v>7.0000000000000007E-2</v>
      </c>
    </row>
    <row r="29" spans="2:18" x14ac:dyDescent="0.2">
      <c r="C29" t="s">
        <v>111</v>
      </c>
      <c r="D29" s="2">
        <f>NPV(D28,D26:R26)</f>
        <v>753525.64885395556</v>
      </c>
      <c r="E29" t="s">
        <v>339</v>
      </c>
    </row>
    <row r="30" spans="2:18" x14ac:dyDescent="0.2">
      <c r="E30" t="s">
        <v>338</v>
      </c>
    </row>
    <row r="31" spans="2:18" x14ac:dyDescent="0.2">
      <c r="D31" s="2">
        <f>D29+200000</f>
        <v>953525.64885395556</v>
      </c>
    </row>
  </sheetData>
  <hyperlinks>
    <hyperlink ref="A1" location="Main!A1" display="Main" xr:uid="{136DCBE8-B5AB-47A8-8D7F-FB3291663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376-F086-44CA-9B21-31B260C7B0CC}">
  <dimension ref="A1:C13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95</v>
      </c>
    </row>
    <row r="3" spans="1:3" x14ac:dyDescent="0.2">
      <c r="B3" t="s">
        <v>36</v>
      </c>
      <c r="C3" t="s">
        <v>222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221</v>
      </c>
    </row>
    <row r="12" spans="1:3" x14ac:dyDescent="0.2">
      <c r="C12" t="s">
        <v>220</v>
      </c>
    </row>
    <row r="13" spans="1:3" x14ac:dyDescent="0.2">
      <c r="C13" t="s">
        <v>223</v>
      </c>
    </row>
  </sheetData>
  <hyperlinks>
    <hyperlink ref="A1" location="Main!A1" display="Main" xr:uid="{8E2C417C-8312-4EDA-894E-5C8387569F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CA0-1E65-4F76-BF8E-7B463599745A}">
  <dimension ref="A1:S38"/>
  <sheetViews>
    <sheetView topLeftCell="A4" zoomScale="130" zoomScaleNormal="130" workbookViewId="0">
      <selection activeCell="C14" sqref="C14"/>
    </sheetView>
  </sheetViews>
  <sheetFormatPr defaultRowHeight="12.75" x14ac:dyDescent="0.2"/>
  <cols>
    <col min="1" max="1" width="5" bestFit="1" customWidth="1"/>
    <col min="2" max="2" width="15" bestFit="1" customWidth="1"/>
    <col min="3" max="3" width="13.85546875" bestFit="1" customWidth="1"/>
    <col min="4" max="4" width="11.710937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205</v>
      </c>
    </row>
    <row r="3" spans="1:3" x14ac:dyDescent="0.2">
      <c r="B3" t="s">
        <v>36</v>
      </c>
      <c r="C3" t="s">
        <v>206</v>
      </c>
    </row>
    <row r="4" spans="1:3" x14ac:dyDescent="0.2">
      <c r="B4" t="s">
        <v>7</v>
      </c>
      <c r="C4" t="s">
        <v>207</v>
      </c>
    </row>
    <row r="5" spans="1:3" x14ac:dyDescent="0.2">
      <c r="B5" t="s">
        <v>10</v>
      </c>
      <c r="C5" t="s">
        <v>208</v>
      </c>
    </row>
    <row r="6" spans="1:3" x14ac:dyDescent="0.2">
      <c r="B6" t="s">
        <v>200</v>
      </c>
      <c r="C6" t="s">
        <v>209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239</v>
      </c>
    </row>
    <row r="12" spans="1:3" x14ac:dyDescent="0.2">
      <c r="C12" t="s">
        <v>240</v>
      </c>
    </row>
    <row r="13" spans="1:3" x14ac:dyDescent="0.2">
      <c r="C13" t="s">
        <v>336</v>
      </c>
    </row>
    <row r="16" spans="1:3" x14ac:dyDescent="0.2">
      <c r="C16" s="25" t="s">
        <v>238</v>
      </c>
    </row>
    <row r="17" spans="2:19" x14ac:dyDescent="0.2">
      <c r="C17" t="s">
        <v>241</v>
      </c>
    </row>
    <row r="18" spans="2:19" x14ac:dyDescent="0.2">
      <c r="C18" s="29">
        <v>45870</v>
      </c>
    </row>
    <row r="19" spans="2:19" x14ac:dyDescent="0.2">
      <c r="C19" s="29"/>
    </row>
    <row r="20" spans="2:19" x14ac:dyDescent="0.2">
      <c r="C20" s="25" t="s">
        <v>237</v>
      </c>
    </row>
    <row r="21" spans="2:19" x14ac:dyDescent="0.2">
      <c r="C21" t="s">
        <v>240</v>
      </c>
    </row>
    <row r="22" spans="2:19" x14ac:dyDescent="0.2">
      <c r="C22" s="29">
        <v>46478</v>
      </c>
    </row>
    <row r="23" spans="2:19" x14ac:dyDescent="0.2">
      <c r="C23" s="29"/>
    </row>
    <row r="24" spans="2:19" x14ac:dyDescent="0.2">
      <c r="C24" s="25" t="s">
        <v>236</v>
      </c>
    </row>
    <row r="25" spans="2:19" x14ac:dyDescent="0.2">
      <c r="C25" t="s">
        <v>242</v>
      </c>
    </row>
    <row r="26" spans="2:19" x14ac:dyDescent="0.2">
      <c r="C26" s="29">
        <v>46692</v>
      </c>
    </row>
    <row r="31" spans="2:19" x14ac:dyDescent="0.2">
      <c r="C31">
        <v>2025</v>
      </c>
      <c r="D31">
        <f>C31+1</f>
        <v>2026</v>
      </c>
      <c r="E31">
        <f t="shared" ref="E31:S31" si="0">D31+1</f>
        <v>2027</v>
      </c>
      <c r="F31">
        <f t="shared" si="0"/>
        <v>2028</v>
      </c>
      <c r="G31">
        <f t="shared" si="0"/>
        <v>2029</v>
      </c>
      <c r="H31">
        <f t="shared" si="0"/>
        <v>2030</v>
      </c>
      <c r="I31">
        <f t="shared" si="0"/>
        <v>2031</v>
      </c>
      <c r="J31">
        <f t="shared" si="0"/>
        <v>2032</v>
      </c>
      <c r="K31">
        <f t="shared" si="0"/>
        <v>2033</v>
      </c>
      <c r="L31">
        <f t="shared" si="0"/>
        <v>2034</v>
      </c>
      <c r="M31">
        <f t="shared" si="0"/>
        <v>2035</v>
      </c>
      <c r="N31">
        <f t="shared" si="0"/>
        <v>2036</v>
      </c>
      <c r="O31">
        <f t="shared" si="0"/>
        <v>2037</v>
      </c>
      <c r="P31">
        <f t="shared" si="0"/>
        <v>2038</v>
      </c>
      <c r="Q31">
        <f t="shared" si="0"/>
        <v>2039</v>
      </c>
      <c r="R31">
        <f t="shared" si="0"/>
        <v>2040</v>
      </c>
      <c r="S31">
        <f t="shared" si="0"/>
        <v>2041</v>
      </c>
    </row>
    <row r="32" spans="2:19" x14ac:dyDescent="0.2">
      <c r="B32" t="s">
        <v>202</v>
      </c>
      <c r="C32" s="2">
        <v>4150000</v>
      </c>
      <c r="D32" s="2">
        <f>C32*1.03</f>
        <v>4274500</v>
      </c>
      <c r="E32" s="2">
        <f t="shared" ref="E32:S32" si="1">D32*1.03</f>
        <v>4402735</v>
      </c>
      <c r="F32" s="2">
        <f t="shared" si="1"/>
        <v>4534817.05</v>
      </c>
      <c r="G32" s="2">
        <f t="shared" si="1"/>
        <v>4670861.5614999998</v>
      </c>
      <c r="H32" s="2">
        <f t="shared" si="1"/>
        <v>4810987.4083449999</v>
      </c>
      <c r="I32" s="2">
        <f t="shared" si="1"/>
        <v>4955317.0305953501</v>
      </c>
      <c r="J32" s="2">
        <f t="shared" si="1"/>
        <v>5103976.5415132111</v>
      </c>
      <c r="K32" s="2">
        <f t="shared" si="1"/>
        <v>5257095.8377586072</v>
      </c>
      <c r="L32" s="2">
        <f t="shared" si="1"/>
        <v>5414808.7128913654</v>
      </c>
      <c r="M32" s="2">
        <f t="shared" si="1"/>
        <v>5577252.9742781064</v>
      </c>
      <c r="N32" s="2">
        <f t="shared" si="1"/>
        <v>5744570.5635064496</v>
      </c>
      <c r="O32" s="2">
        <f t="shared" si="1"/>
        <v>5916907.6804116433</v>
      </c>
      <c r="P32" s="2">
        <f t="shared" si="1"/>
        <v>6094414.9108239925</v>
      </c>
      <c r="Q32" s="2">
        <f t="shared" si="1"/>
        <v>6277247.3581487127</v>
      </c>
      <c r="R32" s="2">
        <f t="shared" si="1"/>
        <v>6465564.7788931746</v>
      </c>
      <c r="S32" s="2">
        <f t="shared" si="1"/>
        <v>6659531.7222599704</v>
      </c>
    </row>
    <row r="33" spans="2:19" x14ac:dyDescent="0.2">
      <c r="B33" t="s">
        <v>203</v>
      </c>
      <c r="C33" s="2">
        <f>C32*0.2</f>
        <v>830000</v>
      </c>
      <c r="D33" s="2">
        <f t="shared" ref="D33:S33" si="2">D32*0.2</f>
        <v>854900</v>
      </c>
      <c r="E33" s="2">
        <f t="shared" si="2"/>
        <v>880547</v>
      </c>
      <c r="F33" s="2">
        <f t="shared" si="2"/>
        <v>906963.41</v>
      </c>
      <c r="G33" s="2">
        <f t="shared" si="2"/>
        <v>934172.31229999999</v>
      </c>
      <c r="H33" s="2">
        <f t="shared" si="2"/>
        <v>962197.481669</v>
      </c>
      <c r="I33" s="2">
        <f t="shared" si="2"/>
        <v>991063.40611907002</v>
      </c>
      <c r="J33" s="2">
        <f t="shared" si="2"/>
        <v>1020795.3083026423</v>
      </c>
      <c r="K33" s="2">
        <f t="shared" si="2"/>
        <v>1051419.1675517214</v>
      </c>
      <c r="L33" s="2">
        <f t="shared" si="2"/>
        <v>1082961.7425782732</v>
      </c>
      <c r="M33" s="2">
        <f t="shared" si="2"/>
        <v>1115450.5948556212</v>
      </c>
      <c r="N33" s="2">
        <f t="shared" si="2"/>
        <v>1148914.1127012901</v>
      </c>
      <c r="O33" s="2">
        <f t="shared" si="2"/>
        <v>1183381.5360823288</v>
      </c>
      <c r="P33" s="2">
        <f t="shared" si="2"/>
        <v>1218882.9821647985</v>
      </c>
      <c r="Q33" s="2">
        <f t="shared" si="2"/>
        <v>1255449.4716297425</v>
      </c>
      <c r="R33" s="2">
        <f t="shared" si="2"/>
        <v>1293112.9557786351</v>
      </c>
      <c r="S33" s="2">
        <f t="shared" si="2"/>
        <v>1331906.3444519942</v>
      </c>
    </row>
    <row r="34" spans="2:19" x14ac:dyDescent="0.2">
      <c r="B34" t="s">
        <v>0</v>
      </c>
      <c r="C34" s="2">
        <v>15000</v>
      </c>
      <c r="D34" s="2">
        <v>15000</v>
      </c>
      <c r="E34" s="2">
        <v>15000</v>
      </c>
      <c r="F34" s="2">
        <v>15000</v>
      </c>
      <c r="G34" s="2">
        <v>15000</v>
      </c>
      <c r="H34" s="2">
        <v>15000</v>
      </c>
      <c r="I34" s="2">
        <v>15000</v>
      </c>
      <c r="J34" s="2">
        <v>15000</v>
      </c>
      <c r="K34" s="2">
        <v>15000</v>
      </c>
      <c r="L34" s="2">
        <v>15000</v>
      </c>
      <c r="M34" s="2">
        <v>15000</v>
      </c>
      <c r="N34" s="2">
        <v>15000</v>
      </c>
      <c r="O34" s="2">
        <v>15000</v>
      </c>
      <c r="P34" s="2">
        <v>15000</v>
      </c>
      <c r="Q34" s="2">
        <v>15000</v>
      </c>
      <c r="R34" s="2">
        <v>15000</v>
      </c>
      <c r="S34" s="2">
        <v>15000</v>
      </c>
    </row>
    <row r="35" spans="2:19" x14ac:dyDescent="0.2">
      <c r="B35" t="s">
        <v>15</v>
      </c>
      <c r="C35" s="2">
        <f>C34*C33/1000000*0.8</f>
        <v>9960</v>
      </c>
      <c r="D35" s="2">
        <f t="shared" ref="D35:S35" si="3">D34*D33/1000000*0.8</f>
        <v>10258.800000000001</v>
      </c>
      <c r="E35" s="2">
        <f t="shared" si="3"/>
        <v>10566.564</v>
      </c>
      <c r="F35" s="2">
        <f t="shared" si="3"/>
        <v>10883.560920000002</v>
      </c>
      <c r="G35" s="2">
        <f t="shared" si="3"/>
        <v>11210.0677476</v>
      </c>
      <c r="H35" s="2">
        <f t="shared" si="3"/>
        <v>11546.369780028001</v>
      </c>
      <c r="I35" s="2">
        <f t="shared" si="3"/>
        <v>11892.760873428842</v>
      </c>
      <c r="J35" s="2">
        <f t="shared" si="3"/>
        <v>12249.543699631708</v>
      </c>
      <c r="K35" s="2">
        <f t="shared" si="3"/>
        <v>12617.030010620658</v>
      </c>
      <c r="L35" s="2">
        <f t="shared" si="3"/>
        <v>12995.540910939279</v>
      </c>
      <c r="M35" s="2">
        <f t="shared" si="3"/>
        <v>13385.407138267454</v>
      </c>
      <c r="N35" s="2">
        <f t="shared" si="3"/>
        <v>13786.969352415481</v>
      </c>
      <c r="O35" s="2">
        <f t="shared" si="3"/>
        <v>14200.578432987946</v>
      </c>
      <c r="P35" s="2">
        <f t="shared" si="3"/>
        <v>14626.595785977581</v>
      </c>
      <c r="Q35" s="2">
        <f t="shared" si="3"/>
        <v>15065.39365955691</v>
      </c>
      <c r="R35" s="2">
        <f t="shared" si="3"/>
        <v>15517.355469343624</v>
      </c>
      <c r="S35" s="2">
        <f t="shared" si="3"/>
        <v>15982.876133423932</v>
      </c>
    </row>
    <row r="37" spans="2:19" x14ac:dyDescent="0.2">
      <c r="C37" t="s">
        <v>110</v>
      </c>
      <c r="D37" s="10">
        <v>0.08</v>
      </c>
    </row>
    <row r="38" spans="2:19" x14ac:dyDescent="0.2">
      <c r="C38" t="s">
        <v>111</v>
      </c>
      <c r="D38" s="26">
        <f>NPV(D37,C35:S35)</f>
        <v>110214.69142256565</v>
      </c>
    </row>
  </sheetData>
  <hyperlinks>
    <hyperlink ref="A1" location="Main!A1" display="Main" xr:uid="{1A1CC4C2-166E-44CB-AADB-0BF1F52063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Trials</vt:lpstr>
      <vt:lpstr>GLP-1s</vt:lpstr>
      <vt:lpstr>Mounjaro-Zepbound</vt:lpstr>
      <vt:lpstr>Trulicity</vt:lpstr>
      <vt:lpstr>Kisunla</vt:lpstr>
      <vt:lpstr>orforglipron</vt:lpstr>
      <vt:lpstr>retratrutide</vt:lpstr>
      <vt:lpstr>imlunestrant</vt:lpstr>
      <vt:lpstr>lebrikizumab</vt:lpstr>
      <vt:lpstr>lepodisiran</vt:lpstr>
      <vt:lpstr>mirikizumab</vt:lpstr>
      <vt:lpstr>olomorasib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2025-07-27T01:25:25Z</dcterms:created>
  <dcterms:modified xsi:type="dcterms:W3CDTF">2025-08-16T02:34:37Z</dcterms:modified>
</cp:coreProperties>
</file>