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DDAAA22-83F6-4293-AF73-05FCFFE76235}" xr6:coauthVersionLast="47" xr6:coauthVersionMax="47" xr10:uidLastSave="{00000000-0000-0000-0000-000000000000}"/>
  <bookViews>
    <workbookView xWindow="4410" yWindow="300" windowWidth="21750" windowHeight="15015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M15" i="2"/>
  <c r="M6" i="2"/>
  <c r="N6" i="2" s="1"/>
  <c r="AA4" i="2"/>
  <c r="AB4" i="2"/>
  <c r="AC4" i="2" s="1"/>
  <c r="AD4" i="2" s="1"/>
  <c r="Z4" i="2"/>
  <c r="AA3" i="2"/>
  <c r="AB3" i="2" s="1"/>
  <c r="AC3" i="2" s="1"/>
  <c r="C38" i="2"/>
  <c r="D38" i="2"/>
  <c r="E38" i="2"/>
  <c r="F38" i="2"/>
  <c r="J38" i="2"/>
  <c r="I38" i="2"/>
  <c r="H38" i="2"/>
  <c r="C36" i="2"/>
  <c r="C35" i="2"/>
  <c r="D15" i="2"/>
  <c r="D35" i="2" s="1"/>
  <c r="E15" i="2"/>
  <c r="F15" i="2"/>
  <c r="F35" i="2" s="1"/>
  <c r="G15" i="2"/>
  <c r="H15" i="2"/>
  <c r="I15" i="2"/>
  <c r="J15" i="2"/>
  <c r="K15" i="2"/>
  <c r="L18" i="2"/>
  <c r="L19" i="2"/>
  <c r="Z14" i="2"/>
  <c r="AA14" i="2" s="1"/>
  <c r="AB14" i="2" s="1"/>
  <c r="AC14" i="2" s="1"/>
  <c r="AD14" i="2" s="1"/>
  <c r="Z11" i="2"/>
  <c r="AA11" i="2" s="1"/>
  <c r="AB11" i="2" s="1"/>
  <c r="AC11" i="2" s="1"/>
  <c r="AD11" i="2" s="1"/>
  <c r="Z12" i="2"/>
  <c r="AA12" i="2" s="1"/>
  <c r="AB12" i="2" s="1"/>
  <c r="AC12" i="2" s="1"/>
  <c r="AD12" i="2" s="1"/>
  <c r="K81" i="2"/>
  <c r="K85" i="2" s="1"/>
  <c r="G31" i="2" l="1"/>
  <c r="O15" i="2"/>
  <c r="P15" i="2" s="1"/>
  <c r="Q15" i="2" s="1"/>
  <c r="R15" i="2" s="1"/>
  <c r="F36" i="2"/>
  <c r="J30" i="2"/>
  <c r="D36" i="2"/>
  <c r="E31" i="2"/>
  <c r="E35" i="2"/>
  <c r="I30" i="2"/>
  <c r="E36" i="2"/>
  <c r="H30" i="2"/>
  <c r="F31" i="2"/>
  <c r="K73" i="2"/>
  <c r="G79" i="2"/>
  <c r="K77" i="2"/>
  <c r="K79" i="2" s="1"/>
  <c r="G74" i="2" l="1"/>
  <c r="K74" i="2"/>
  <c r="K6" i="1"/>
  <c r="K5" i="1"/>
  <c r="G38" i="2"/>
  <c r="K38" i="2"/>
  <c r="L22" i="2" s="1"/>
  <c r="G56" i="2"/>
  <c r="K56" i="2"/>
  <c r="G49" i="2"/>
  <c r="K49" i="2"/>
  <c r="H31" i="2"/>
  <c r="I31" i="2"/>
  <c r="J31" i="2"/>
  <c r="K33" i="2"/>
  <c r="K32" i="2"/>
  <c r="U14" i="2"/>
  <c r="V14" i="2"/>
  <c r="W14" i="2"/>
  <c r="X14" i="2"/>
  <c r="Z13" i="2"/>
  <c r="AA13" i="2" s="1"/>
  <c r="AB13" i="2" s="1"/>
  <c r="AC13" i="2" s="1"/>
  <c r="AD13" i="2" s="1"/>
  <c r="M19" i="2"/>
  <c r="N19" i="2" s="1"/>
  <c r="N33" i="2" s="1"/>
  <c r="M18" i="2"/>
  <c r="N18" i="2" s="1"/>
  <c r="N32" i="2" s="1"/>
  <c r="Y32" i="2"/>
  <c r="Y33" i="2"/>
  <c r="X33" i="2"/>
  <c r="X32" i="2"/>
  <c r="V2" i="2"/>
  <c r="W2" i="2" s="1"/>
  <c r="X2" i="2" s="1"/>
  <c r="Y2" i="2" s="1"/>
  <c r="Z2" i="2" s="1"/>
  <c r="AA2" i="2" s="1"/>
  <c r="AB2" i="2" s="1"/>
  <c r="AC2" i="2" s="1"/>
  <c r="AD2" i="2" s="1"/>
  <c r="Z62" i="2"/>
  <c r="AA62" i="2" s="1"/>
  <c r="AB62" i="2" s="1"/>
  <c r="Y74" i="2"/>
  <c r="X74" i="2"/>
  <c r="L31" i="2"/>
  <c r="L16" i="2"/>
  <c r="L30" i="2"/>
  <c r="Z23" i="2"/>
  <c r="AB23" i="2" s="1"/>
  <c r="AC23" i="2" s="1"/>
  <c r="AD23" i="2" s="1"/>
  <c r="L27" i="2"/>
  <c r="M27" i="2" s="1"/>
  <c r="N27" i="2" s="1"/>
  <c r="Z27" i="2" s="1"/>
  <c r="AA27" i="2" s="1"/>
  <c r="AB27" i="2" s="1"/>
  <c r="AC27" i="2" s="1"/>
  <c r="AD27" i="2" s="1"/>
  <c r="K22" i="2"/>
  <c r="G22" i="2"/>
  <c r="H17" i="2"/>
  <c r="H35" i="2" s="1"/>
  <c r="I17" i="2"/>
  <c r="I35" i="2" s="1"/>
  <c r="J17" i="2"/>
  <c r="J35" i="2" s="1"/>
  <c r="H20" i="2"/>
  <c r="I20" i="2"/>
  <c r="J20" i="2"/>
  <c r="K20" i="2"/>
  <c r="G20" i="2"/>
  <c r="G17" i="2"/>
  <c r="T22" i="2"/>
  <c r="T20" i="2"/>
  <c r="T17" i="2"/>
  <c r="X22" i="2"/>
  <c r="W22" i="2"/>
  <c r="Y22" i="2"/>
  <c r="V30" i="2"/>
  <c r="U30" i="2"/>
  <c r="W30" i="2"/>
  <c r="Y30" i="2"/>
  <c r="X30" i="2"/>
  <c r="V17" i="2"/>
  <c r="W17" i="2"/>
  <c r="W35" i="2" s="1"/>
  <c r="X17" i="2"/>
  <c r="Y17" i="2"/>
  <c r="Y35" i="2" s="1"/>
  <c r="V20" i="2"/>
  <c r="W20" i="2"/>
  <c r="X20" i="2"/>
  <c r="Y20" i="2"/>
  <c r="V22" i="2"/>
  <c r="U22" i="2"/>
  <c r="U20" i="2"/>
  <c r="U17" i="2"/>
  <c r="U35" i="2" s="1"/>
  <c r="Y53" i="2"/>
  <c r="Y39" i="2"/>
  <c r="K4" i="1"/>
  <c r="K87" i="2" l="1"/>
  <c r="K89" i="2"/>
  <c r="G89" i="2"/>
  <c r="G87" i="2"/>
  <c r="K57" i="2"/>
  <c r="K58" i="2" s="1"/>
  <c r="M32" i="2"/>
  <c r="G57" i="2"/>
  <c r="G58" i="2" s="1"/>
  <c r="L33" i="2"/>
  <c r="L32" i="2"/>
  <c r="M33" i="2"/>
  <c r="Z15" i="2"/>
  <c r="AA15" i="2" s="1"/>
  <c r="AB15" i="2" s="1"/>
  <c r="AC15" i="2" s="1"/>
  <c r="AD15" i="2" s="1"/>
  <c r="L20" i="2"/>
  <c r="Z19" i="2"/>
  <c r="N20" i="2"/>
  <c r="Z18" i="2"/>
  <c r="AA18" i="2" s="1"/>
  <c r="AB18" i="2" s="1"/>
  <c r="AC18" i="2" s="1"/>
  <c r="AD18" i="2" s="1"/>
  <c r="M20" i="2"/>
  <c r="X89" i="2"/>
  <c r="Y89" i="2"/>
  <c r="AC62" i="2"/>
  <c r="K17" i="2"/>
  <c r="K21" i="2" s="1"/>
  <c r="K36" i="2" s="1"/>
  <c r="N30" i="2"/>
  <c r="L17" i="2"/>
  <c r="M30" i="2"/>
  <c r="K30" i="2"/>
  <c r="K31" i="2"/>
  <c r="N31" i="2"/>
  <c r="M31" i="2"/>
  <c r="N16" i="2"/>
  <c r="N17" i="2" s="1"/>
  <c r="M16" i="2"/>
  <c r="G21" i="2"/>
  <c r="G24" i="2" s="1"/>
  <c r="H21" i="2"/>
  <c r="H36" i="2" s="1"/>
  <c r="I21" i="2"/>
  <c r="I36" i="2" s="1"/>
  <c r="J21" i="2"/>
  <c r="J36" i="2" s="1"/>
  <c r="T21" i="2"/>
  <c r="T24" i="2" s="1"/>
  <c r="T26" i="2" s="1"/>
  <c r="G35" i="2"/>
  <c r="X21" i="2"/>
  <c r="V21" i="2"/>
  <c r="V24" i="2" s="1"/>
  <c r="X35" i="2"/>
  <c r="V35" i="2"/>
  <c r="U21" i="2"/>
  <c r="U24" i="2" s="1"/>
  <c r="Y21" i="2"/>
  <c r="W21" i="2"/>
  <c r="Y38" i="2"/>
  <c r="K7" i="1"/>
  <c r="L21" i="2" l="1"/>
  <c r="L24" i="2" s="1"/>
  <c r="L25" i="2" s="1"/>
  <c r="AA19" i="2"/>
  <c r="Z33" i="2"/>
  <c r="Z20" i="2"/>
  <c r="Z32" i="2"/>
  <c r="Z16" i="2"/>
  <c r="Z17" i="2" s="1"/>
  <c r="Z35" i="2" s="1"/>
  <c r="AD62" i="2"/>
  <c r="K35" i="2"/>
  <c r="M17" i="2"/>
  <c r="M21" i="2" s="1"/>
  <c r="M36" i="2" s="1"/>
  <c r="N21" i="2"/>
  <c r="N36" i="2" s="1"/>
  <c r="G26" i="2"/>
  <c r="H24" i="2"/>
  <c r="G36" i="2"/>
  <c r="J24" i="2"/>
  <c r="I24" i="2"/>
  <c r="L36" i="2"/>
  <c r="K24" i="2"/>
  <c r="Z30" i="2"/>
  <c r="Z76" i="2" s="1"/>
  <c r="Y24" i="2"/>
  <c r="Y26" i="2" s="1"/>
  <c r="Y60" i="2" s="1"/>
  <c r="Y36" i="2"/>
  <c r="W24" i="2"/>
  <c r="W26" i="2" s="1"/>
  <c r="W36" i="2"/>
  <c r="X24" i="2"/>
  <c r="X36" i="2"/>
  <c r="V26" i="2"/>
  <c r="V60" i="2" s="1"/>
  <c r="G28" i="2" l="1"/>
  <c r="G60" i="2"/>
  <c r="AA32" i="2"/>
  <c r="AB19" i="2"/>
  <c r="AA33" i="2"/>
  <c r="AA20" i="2"/>
  <c r="Z72" i="2"/>
  <c r="Z63" i="2"/>
  <c r="Z71" i="2"/>
  <c r="L26" i="2"/>
  <c r="K26" i="2"/>
  <c r="J26" i="2"/>
  <c r="J28" i="2" s="1"/>
  <c r="I26" i="2"/>
  <c r="I28" i="2" s="1"/>
  <c r="H26" i="2"/>
  <c r="H28" i="2" s="1"/>
  <c r="X26" i="2"/>
  <c r="X60" i="2" s="1"/>
  <c r="AA30" i="2"/>
  <c r="AA76" i="2" s="1"/>
  <c r="AA16" i="2"/>
  <c r="AA17" i="2" s="1"/>
  <c r="Y28" i="2"/>
  <c r="W60" i="2"/>
  <c r="W28" i="2"/>
  <c r="K28" i="2" l="1"/>
  <c r="K60" i="2"/>
  <c r="AC19" i="2"/>
  <c r="AB33" i="2"/>
  <c r="AB32" i="2"/>
  <c r="AB20" i="2"/>
  <c r="AA71" i="2"/>
  <c r="AA63" i="2"/>
  <c r="AA72" i="2"/>
  <c r="L28" i="2"/>
  <c r="L38" i="2"/>
  <c r="M22" i="2" s="1"/>
  <c r="X28" i="2"/>
  <c r="AB16" i="2"/>
  <c r="AB17" i="2" s="1"/>
  <c r="AB30" i="2"/>
  <c r="AB76" i="2" s="1"/>
  <c r="Z21" i="2"/>
  <c r="Z36" i="2" s="1"/>
  <c r="U26" i="2"/>
  <c r="U60" i="2" s="1"/>
  <c r="AD32" i="2" l="1"/>
  <c r="AC32" i="2"/>
  <c r="AD19" i="2"/>
  <c r="AD33" i="2" s="1"/>
  <c r="AC33" i="2"/>
  <c r="AC20" i="2"/>
  <c r="AB72" i="2"/>
  <c r="AB63" i="2"/>
  <c r="AB71" i="2"/>
  <c r="M24" i="2"/>
  <c r="M25" i="2" s="1"/>
  <c r="AC16" i="2"/>
  <c r="AC17" i="2" s="1"/>
  <c r="AC30" i="2"/>
  <c r="AC76" i="2" s="1"/>
  <c r="AD20" i="2" l="1"/>
  <c r="AC71" i="2"/>
  <c r="AC63" i="2"/>
  <c r="AC72" i="2"/>
  <c r="M26" i="2"/>
  <c r="M38" i="2" s="1"/>
  <c r="AD30" i="2"/>
  <c r="AD76" i="2" s="1"/>
  <c r="AD16" i="2"/>
  <c r="AD17" i="2" s="1"/>
  <c r="AC21" i="2"/>
  <c r="AB21" i="2"/>
  <c r="AB36" i="2" s="1"/>
  <c r="AA21" i="2"/>
  <c r="AA36" i="2" s="1"/>
  <c r="AD72" i="2" l="1"/>
  <c r="AD63" i="2"/>
  <c r="AD71" i="2"/>
  <c r="AD21" i="2"/>
  <c r="AD36" i="2" s="1"/>
  <c r="M28" i="2"/>
  <c r="AC36" i="2"/>
  <c r="N22" i="2" l="1"/>
  <c r="N24" i="2" l="1"/>
  <c r="N25" i="2" s="1"/>
  <c r="Z22" i="2"/>
  <c r="Z24" i="2" l="1"/>
  <c r="N26" i="2"/>
  <c r="N38" i="2" s="1"/>
  <c r="Z38" i="2" s="1"/>
  <c r="Z25" i="2"/>
  <c r="N28" i="2" l="1"/>
  <c r="Z26" i="2"/>
  <c r="AA22" i="2"/>
  <c r="AA24" i="2" s="1"/>
  <c r="AA25" i="2" s="1"/>
  <c r="AA38" i="2" l="1"/>
  <c r="AB22" i="2" s="1"/>
  <c r="AB24" i="2" s="1"/>
  <c r="AB25" i="2" s="1"/>
  <c r="AA26" i="2"/>
  <c r="Z28" i="2"/>
  <c r="Z60" i="2"/>
  <c r="Z74" i="2" s="1"/>
  <c r="Z89" i="2" s="1"/>
  <c r="AB38" i="2" l="1"/>
  <c r="AC22" i="2" s="1"/>
  <c r="AC24" i="2" s="1"/>
  <c r="AC25" i="2" s="1"/>
  <c r="AA60" i="2"/>
  <c r="AA74" i="2" s="1"/>
  <c r="AA89" i="2" s="1"/>
  <c r="AA28" i="2"/>
  <c r="AB26" i="2"/>
  <c r="AC38" i="2" l="1"/>
  <c r="AB28" i="2"/>
  <c r="AB60" i="2"/>
  <c r="AB74" i="2" s="1"/>
  <c r="AB89" i="2" s="1"/>
  <c r="AD22" i="2"/>
  <c r="AD24" i="2" s="1"/>
  <c r="AD25" i="2" s="1"/>
  <c r="AC26" i="2"/>
  <c r="AD38" i="2" l="1"/>
  <c r="AD26" i="2"/>
  <c r="AE26" i="2" s="1"/>
  <c r="AF26" i="2" s="1"/>
  <c r="AG26" i="2" s="1"/>
  <c r="AH26" i="2" s="1"/>
  <c r="AI26" i="2" s="1"/>
  <c r="AJ26" i="2" s="1"/>
  <c r="AC60" i="2"/>
  <c r="AC74" i="2" s="1"/>
  <c r="AC89" i="2" s="1"/>
  <c r="AC28" i="2"/>
  <c r="AD60" i="2" l="1"/>
  <c r="AD74" i="2" s="1"/>
  <c r="AD89" i="2" s="1"/>
  <c r="AE89" i="2" s="1"/>
  <c r="AF89" i="2" s="1"/>
  <c r="AG89" i="2" s="1"/>
  <c r="AH89" i="2" s="1"/>
  <c r="AI89" i="2" s="1"/>
  <c r="AJ89" i="2" s="1"/>
  <c r="AD28" i="2"/>
  <c r="AK89" i="2" l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C89" i="2" s="1"/>
  <c r="DD89" i="2" s="1"/>
  <c r="DE89" i="2" s="1"/>
  <c r="DF89" i="2" s="1"/>
  <c r="DG89" i="2" s="1"/>
  <c r="DH89" i="2" s="1"/>
  <c r="DI89" i="2" s="1"/>
  <c r="DJ89" i="2" s="1"/>
  <c r="DK89" i="2" s="1"/>
  <c r="DL89" i="2" s="1"/>
  <c r="DM89" i="2" s="1"/>
  <c r="DN89" i="2" s="1"/>
  <c r="DO89" i="2" s="1"/>
  <c r="DP89" i="2" s="1"/>
  <c r="DQ89" i="2" s="1"/>
  <c r="DR89" i="2" s="1"/>
  <c r="DS89" i="2" s="1"/>
  <c r="DT89" i="2" s="1"/>
  <c r="DU89" i="2" s="1"/>
  <c r="DV89" i="2" s="1"/>
  <c r="DW89" i="2" s="1"/>
  <c r="DX89" i="2" s="1"/>
  <c r="DY89" i="2" s="1"/>
  <c r="DZ89" i="2" s="1"/>
  <c r="EA89" i="2" s="1"/>
  <c r="EB89" i="2" s="1"/>
  <c r="EC89" i="2" s="1"/>
  <c r="AG31" i="2" l="1"/>
  <c r="AG32" i="2" s="1"/>
  <c r="AG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K6" authorId="0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6" authorId="1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14" authorId="2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15" authorId="3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20" authorId="4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25" authorId="5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<sst xmlns="http://schemas.openxmlformats.org/spreadsheetml/2006/main" count="146" uniqueCount="131">
  <si>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</si>
  <si>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</si>
  <si>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</si>
  <si>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</si>
  <si>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</si>
  <si>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</si>
  <si>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</si>
  <si>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</si>
  <si>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</si>
  <si>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</si>
  <si>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</si>
  <si>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</si>
  <si>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</si>
  <si>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</si>
  <si>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</si>
  <si>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</si>
  <si>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</si>
  <si>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</si>
  <si>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</si>
  <si>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</si>
  <si>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</si>
  <si>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</si>
  <si>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</si>
  <si>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</si>
  <si>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</si>
  <si>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</si>
  <si>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</si>
  <si>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</si>
  <si>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</si>
  <si>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</si>
  <si>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</si>
  <si>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</si>
  <si>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</si>
  <si>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</si>
  <si>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</si>
  <si>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</si>
  <si>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</si>
  <si>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</si>
  <si>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</si>
  <si>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</si>
  <si>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</si>
  <si>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</si>
  <si>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</si>
  <si>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</si>
  <si>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</si>
  <si>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</si>
  <si>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</si>
  <si>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</si>
  <si>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</si>
  <si>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</si>
  <si>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</si>
  <si>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</si>
  <si>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</si>
  <si>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</si>
  <si>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</si>
  <si>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</si>
  <si>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</si>
  <si>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</si>
  <si>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</si>
  <si>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</si>
  <si>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</si>
  <si>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</si>
  <si>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</si>
  <si>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</si>
  <si>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</si>
  <si>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</si>
  <si>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</si>
  <si>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</si>
  <si>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</si>
  <si>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</si>
  <si>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</si>
  <si>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</si>
  <si>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</si>
  <si>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</si>
  <si>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</si>
  <si>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</si>
  <si>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</si>
  <si>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</si>
  <si>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</si>
  <si>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</si>
  <si>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</si>
  <si>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</si>
  <si>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</si>
  <si>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</si>
  <si>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</si>
  <si>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</si>
  <si>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</si>
  <si>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</si>
  <si>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</si>
  <si>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</si>
  <si>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</si>
  <si>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</si>
  <si>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</si>
  <si>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</si>
  <si>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</si>
  <si>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</si>
  <si>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</si>
  <si>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</si>
  <si>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</si>
  <si>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</si>
  <si>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</si>
  <si>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</si>
  <si>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</si>
  <si>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</si>
  <si>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</si>
  <si>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</si>
  <si>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</si>
  <si>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</si>
  <si>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</si>
  <si>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</si>
  <si>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</si>
  <si>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</si>
  <si>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</si>
  <si>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</si>
  <si>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</si>
  <si>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</si>
  <si>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</si>
  <si>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</si>
  <si>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</si>
  <si>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</si>
  <si>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</si>
  <si>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</si>
  <si>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</si>
  <si>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</si>
  <si>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</si>
  <si>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</si>
  <si>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</si>
  <si>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</si>
  <si>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</si>
  <si>
    <t>Share</t>
  </si>
  <si>
    <t>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</si>
</sst>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3" fontId="13" fillId="0" borderId="0" xfId="1" applyNumberFormat="1" applyFont="1"/>
    <xf numFmtId="3" fontId="10" fillId="0" borderId="0" xfId="0" applyNumberFormat="1" applyFont="1"/>
    <xf numFmtId="1" fontId="10" fillId="0" borderId="0" xfId="0" applyNumberFormat="1" applyFont="1"/>
    <xf numFmtId="3" fontId="12" fillId="0" borderId="0" xfId="0" applyNumberFormat="1" applyFont="1"/>
    <xf numFmtId="4" fontId="10" fillId="0" borderId="0" xfId="0" applyNumberFormat="1" applyFont="1"/>
    <xf numFmtId="9" fontId="10" fillId="0" borderId="0" xfId="0" applyNumberFormat="1" applyFont="1"/>
    <xf numFmtId="9" fontId="12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4" fillId="0" borderId="0" xfId="0" applyFont="1"/>
    <xf numFmtId="3" fontId="15" fillId="0" borderId="0" xfId="1" applyNumberFormat="1" applyFont="1"/>
    <xf numFmtId="0" fontId="8" fillId="0" borderId="0" xfId="0" applyFont="1"/>
    <xf numFmtId="0" fontId="15" fillId="0" borderId="0" xfId="1" applyFont="1"/>
    <xf numFmtId="1" fontId="8" fillId="0" borderId="0" xfId="0" applyNumberFormat="1" applyFont="1"/>
    <xf numFmtId="3" fontId="7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14" fontId="10" fillId="0" borderId="0" xfId="0" applyNumberFormat="1" applyFont="1"/>
    <xf numFmtId="0" fontId="5" fillId="0" borderId="0" xfId="0" applyFont="1"/>
    <xf numFmtId="164" fontId="10" fillId="0" borderId="0" xfId="0" applyNumberFormat="1" applyFont="1"/>
    <xf numFmtId="0" fontId="4" fillId="0" borderId="0" xfId="0" applyFont="1"/>
    <xf numFmtId="3" fontId="3" fillId="0" borderId="0" xfId="0" applyNumberFormat="1" applyFont="1"/>
    <xf numFmtId="9" fontId="5" fillId="0" borderId="0" xfId="0" applyNumberFormat="1" applyFont="1"/>
    <xf numFmtId="4" fontId="5" fillId="0" borderId="0" xfId="0" applyNumberFormat="1" applyFont="1"/>
    <xf numFmtId="0" fontId="3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100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38100</xdr:colOff>
      <xdr:row>100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3724283" y="165652"/>
          <a:ext cx="38100" cy="120458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580605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5-08-14T03:34:33.72" personId="{7BA57726-1A28-4F09-A828-A7B9F4B7C04C}" id="{8D6A7BA6-00D4-411D-8C05-C13D231C4EFA}">
    <text>Would be 7b</text>
  </threadedComment>
  <threadedComment ref="L6" dT="2025-08-14T03:34:12.08" personId="{7BA57726-1A28-4F09-A828-A7B9F4B7C04C}" id="{C36B590C-4CAD-4746-90B3-03B2021337AB}">
    <text>Would be 8b</text>
  </threadedComment>
  <threadedComment ref="K14" dT="2025-05-29T00:24:41.76" personId="{7BA57726-1A28-4F09-A828-A7B9F4B7C04C}" id="{7E11744B-D5AB-4208-9165-DA43F82432E9}">
    <text>Blackwell 70% of rev</text>
  </threadedComment>
  <threadedComment ref="L15" dT="2025-08-13T22:16:33.97" personId="{7BA57726-1A28-4F09-A828-A7B9F4B7C04C}" id="{6E6AA0E4-A083-46CE-8C20-0F4728641208}">
    <text>guidance</text>
  </threadedComment>
  <threadedComment ref="L1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1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15" dT="2025-08-13T23:31:22.58" personId="{7BA57726-1A28-4F09-A828-A7B9F4B7C04C}" id="{4723254A-03CE-4A8D-BB09-B472DE5622D9}" parentId="{6E6AA0E4-A083-46CE-8C20-0F4728641208}">
    <text>Should’ve been 53,000? In Q2</text>
  </threadedComment>
  <threadedComment ref="L20" dT="2025-08-13T22:37:48.23" personId="{7BA57726-1A28-4F09-A828-A7B9F4B7C04C}" id="{97242C66-D6D4-4AA4-B5B1-A8D9F56E36B0}">
    <text xml:space="preserve">5.7b guidance
</text>
  </threadedComment>
  <threadedComment ref="L2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L30"/>
  <sheetViews>
    <sheetView zoomScaleNormal="100" workbookViewId="0">
      <selection activeCell="N6" sqref="N6"/>
    </sheetView>
  </sheetViews>
  <sheetFormatPr defaultRowHeight="12.75" x14ac:dyDescent="0.2"/>
  <cols>
    <col min="1" max="3" width="9.140625" style="9"/>
    <col min="4" max="4" width="10.42578125" style="9" customWidth="1"/>
    <col min="5" max="5" width="9.85546875" style="9" customWidth="1"/>
    <col min="6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83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35</v>
      </c>
      <c r="B5" s="9">
        <v>2022</v>
      </c>
      <c r="J5" s="9" t="s">
        <v>3</v>
      </c>
      <c r="K5" s="2">
        <f>53691</f>
        <v>53691</v>
      </c>
      <c r="L5" s="20" t="s">
        <v>83</v>
      </c>
    </row>
    <row r="6" spans="1:12" x14ac:dyDescent="0.2">
      <c r="A6" s="9" t="s">
        <v>36</v>
      </c>
      <c r="C6" s="9" t="s">
        <v>39</v>
      </c>
      <c r="J6" s="9" t="s">
        <v>4</v>
      </c>
      <c r="K6" s="2">
        <f>8464</f>
        <v>8464</v>
      </c>
      <c r="L6" s="20" t="s">
        <v>83</v>
      </c>
    </row>
    <row r="7" spans="1:12" x14ac:dyDescent="0.2">
      <c r="A7" s="9" t="s">
        <v>43</v>
      </c>
      <c r="J7" s="9" t="s">
        <v>5</v>
      </c>
      <c r="K7" s="2">
        <f>K4+K6-K5</f>
        <v>4419973</v>
      </c>
    </row>
    <row r="8" spans="1:12" x14ac:dyDescent="0.2">
      <c r="A8" s="9" t="s">
        <v>37</v>
      </c>
    </row>
    <row r="9" spans="1:12" x14ac:dyDescent="0.2">
      <c r="A9" s="9" t="s">
        <v>38</v>
      </c>
      <c r="K9" s="11"/>
    </row>
    <row r="10" spans="1:12" x14ac:dyDescent="0.2">
      <c r="A10" s="20" t="s">
        <v>91</v>
      </c>
      <c r="H10" s="10" t="s">
        <v>72</v>
      </c>
    </row>
    <row r="11" spans="1:12" x14ac:dyDescent="0.2">
      <c r="H11" s="10" t="s">
        <v>73</v>
      </c>
    </row>
    <row r="12" spans="1:12" x14ac:dyDescent="0.2">
      <c r="H12" s="10" t="s">
        <v>74</v>
      </c>
    </row>
    <row r="13" spans="1:12" x14ac:dyDescent="0.2">
      <c r="A13" s="9" t="s">
        <v>64</v>
      </c>
      <c r="H13" s="10" t="s">
        <v>75</v>
      </c>
    </row>
    <row r="14" spans="1:12" x14ac:dyDescent="0.2">
      <c r="A14" s="9" t="s">
        <v>44</v>
      </c>
      <c r="H14" s="22" t="s">
        <v>92</v>
      </c>
    </row>
    <row r="15" spans="1:12" x14ac:dyDescent="0.2">
      <c r="A15" s="9" t="s">
        <v>45</v>
      </c>
      <c r="H15" s="26" t="s">
        <v>122</v>
      </c>
    </row>
    <row r="16" spans="1:12" x14ac:dyDescent="0.2">
      <c r="A16" s="9" t="s">
        <v>46</v>
      </c>
    </row>
    <row r="17" spans="1:9" x14ac:dyDescent="0.2">
      <c r="A17" s="9" t="s">
        <v>47</v>
      </c>
    </row>
    <row r="18" spans="1:9" x14ac:dyDescent="0.2">
      <c r="A18" s="9" t="s">
        <v>48</v>
      </c>
    </row>
    <row r="19" spans="1:9" x14ac:dyDescent="0.2">
      <c r="A19" s="9" t="s">
        <v>49</v>
      </c>
    </row>
    <row r="20" spans="1:9" x14ac:dyDescent="0.2">
      <c r="A20" s="9" t="s">
        <v>50</v>
      </c>
      <c r="I20" s="26" t="s">
        <v>83</v>
      </c>
    </row>
    <row r="21" spans="1:9" x14ac:dyDescent="0.2">
      <c r="A21" s="9" t="s">
        <v>51</v>
      </c>
      <c r="I21" s="26" t="s">
        <v>117</v>
      </c>
    </row>
    <row r="22" spans="1:9" x14ac:dyDescent="0.2">
      <c r="A22" s="9" t="s">
        <v>52</v>
      </c>
      <c r="I22" s="26" t="s">
        <v>118</v>
      </c>
    </row>
    <row r="23" spans="1:9" x14ac:dyDescent="0.2">
      <c r="A23" s="9" t="s">
        <v>53</v>
      </c>
      <c r="I23" s="26" t="s">
        <v>119</v>
      </c>
    </row>
    <row r="24" spans="1:9" x14ac:dyDescent="0.2">
      <c r="A24" s="9" t="s">
        <v>54</v>
      </c>
      <c r="I24" s="26" t="s">
        <v>120</v>
      </c>
    </row>
    <row r="25" spans="1:9" x14ac:dyDescent="0.2">
      <c r="A25" s="26" t="s">
        <v>123</v>
      </c>
      <c r="I25" s="26" t="s">
        <v>121</v>
      </c>
    </row>
    <row r="30" spans="1:9" x14ac:dyDescent="0.2">
      <c r="E30" s="26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89"/>
  <sheetViews>
    <sheetView tabSelected="1" zoomScale="130" zoomScaleNormal="130" workbookViewId="0">
      <pane xSplit="2" ySplit="2" topLeftCell="W13" activePane="bottomRight" state="frozen"/>
      <selection pane="topRight" activeCell="B1" sqref="B1"/>
      <selection pane="bottomLeft" activeCell="A2" sqref="A2"/>
      <selection pane="bottomRight" activeCell="AI35" sqref="AI35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2" width="9.28515625" style="2" bestFit="1" customWidth="1"/>
    <col min="13" max="13" width="9" style="2" customWidth="1"/>
    <col min="14" max="14" width="9.28515625" style="2" bestFit="1" customWidth="1"/>
    <col min="15" max="15" width="9.28515625" style="2" customWidth="1"/>
    <col min="16" max="19" width="9.140625" style="2"/>
    <col min="20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34</v>
      </c>
      <c r="L1" s="19">
        <v>45896</v>
      </c>
      <c r="W1" s="6"/>
      <c r="X1" s="6"/>
      <c r="Y1" s="6"/>
    </row>
    <row r="2" spans="1:35" x14ac:dyDescent="0.2">
      <c r="C2" s="23" t="s">
        <v>113</v>
      </c>
      <c r="D2" s="23" t="s">
        <v>114</v>
      </c>
      <c r="E2" s="23" t="s">
        <v>115</v>
      </c>
      <c r="F2" s="23" t="s">
        <v>116</v>
      </c>
      <c r="G2" s="18" t="s">
        <v>20</v>
      </c>
      <c r="H2" s="18" t="s">
        <v>31</v>
      </c>
      <c r="I2" s="18" t="s">
        <v>32</v>
      </c>
      <c r="J2" s="18" t="s">
        <v>30</v>
      </c>
      <c r="K2" s="18" t="s">
        <v>83</v>
      </c>
      <c r="L2" s="18" t="s">
        <v>84</v>
      </c>
      <c r="M2" s="18" t="s">
        <v>85</v>
      </c>
      <c r="N2" s="18" t="s">
        <v>86</v>
      </c>
      <c r="O2" s="18" t="s">
        <v>87</v>
      </c>
      <c r="P2" s="18" t="s">
        <v>88</v>
      </c>
      <c r="Q2" s="18" t="s">
        <v>89</v>
      </c>
      <c r="R2" s="18" t="s">
        <v>90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27" t="s">
        <v>127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3"/>
      <c r="X3" s="3"/>
      <c r="Y3" s="3"/>
      <c r="Z3" s="2">
        <v>550000</v>
      </c>
      <c r="AA3" s="2">
        <f>Z3*1.21</f>
        <v>665500</v>
      </c>
      <c r="AB3" s="2">
        <f t="shared" ref="AB3:AC3" si="1">AA3*1.21</f>
        <v>805255</v>
      </c>
      <c r="AC3" s="2">
        <f t="shared" si="1"/>
        <v>974358.54999999993</v>
      </c>
      <c r="AD3" s="27">
        <v>1200000</v>
      </c>
      <c r="AE3" s="3"/>
      <c r="AF3" s="3"/>
      <c r="AG3" s="3"/>
      <c r="AH3" s="3"/>
      <c r="AI3" s="3"/>
    </row>
    <row r="4" spans="1:35" x14ac:dyDescent="0.2">
      <c r="B4" s="27" t="s">
        <v>128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3"/>
      <c r="X4" s="3"/>
      <c r="Y4" s="2">
        <v>110000</v>
      </c>
      <c r="Z4" s="2">
        <f>Y4*1.28</f>
        <v>140800</v>
      </c>
      <c r="AA4" s="2">
        <f t="shared" ref="AA4:AD4" si="2">Z4*1.28</f>
        <v>180224</v>
      </c>
      <c r="AB4" s="2">
        <f t="shared" si="2"/>
        <v>230686.72</v>
      </c>
      <c r="AC4" s="2">
        <f t="shared" si="2"/>
        <v>295279.00160000002</v>
      </c>
      <c r="AD4" s="2">
        <f t="shared" si="2"/>
        <v>377957.12204800005</v>
      </c>
      <c r="AE4" s="3"/>
      <c r="AF4" s="3"/>
      <c r="AG4" s="3"/>
      <c r="AH4" s="3"/>
      <c r="AI4" s="3"/>
    </row>
    <row r="5" spans="1:35" x14ac:dyDescent="0.2"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B6" s="23" t="s">
        <v>124</v>
      </c>
      <c r="C6" s="23"/>
      <c r="D6" s="23"/>
      <c r="E6" s="23"/>
      <c r="F6" s="23"/>
      <c r="G6" s="18"/>
      <c r="H6" s="18"/>
      <c r="I6" s="18"/>
      <c r="J6" s="18"/>
      <c r="K6" s="27">
        <v>4500</v>
      </c>
      <c r="L6" s="27">
        <v>0</v>
      </c>
      <c r="M6" s="18">
        <f>8560*0.85</f>
        <v>7276</v>
      </c>
      <c r="N6" s="18">
        <f>M6*1.07</f>
        <v>7785.3200000000006</v>
      </c>
      <c r="O6" s="18"/>
      <c r="P6" s="18"/>
      <c r="Q6" s="18"/>
      <c r="R6" s="18"/>
      <c r="S6" s="18"/>
      <c r="T6" s="1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B7" s="23" t="s">
        <v>126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3"/>
      <c r="X7" s="6"/>
      <c r="Y7" s="6"/>
      <c r="Z7" s="6"/>
      <c r="AA7" s="6"/>
      <c r="AB7" s="6"/>
      <c r="AC7" s="6"/>
      <c r="AD7" s="6"/>
      <c r="AF7" s="3"/>
      <c r="AG7" s="3"/>
      <c r="AH7" s="3"/>
      <c r="AI7" s="3"/>
    </row>
    <row r="8" spans="1:35" x14ac:dyDescent="0.2">
      <c r="B8" s="23" t="s">
        <v>35</v>
      </c>
      <c r="C8" s="23"/>
      <c r="D8" s="23"/>
      <c r="E8" s="23"/>
      <c r="F8" s="23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3"/>
    </row>
    <row r="9" spans="1:35" x14ac:dyDescent="0.2"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6"/>
      <c r="X9" s="6"/>
      <c r="Y9" s="6"/>
      <c r="Z9" s="6"/>
      <c r="AA9" s="6"/>
      <c r="AB9" s="6"/>
      <c r="AC9" s="6"/>
      <c r="AD9" s="6"/>
      <c r="AE9" s="3"/>
      <c r="AF9" s="3"/>
      <c r="AG9" s="3"/>
      <c r="AH9" s="3"/>
      <c r="AI9" s="3"/>
    </row>
    <row r="10" spans="1:35" x14ac:dyDescent="0.2">
      <c r="B10" s="23" t="s">
        <v>112</v>
      </c>
      <c r="C10" s="23"/>
      <c r="D10" s="18">
        <v>66</v>
      </c>
      <c r="E10" s="18">
        <v>73</v>
      </c>
      <c r="F10" s="18">
        <v>90</v>
      </c>
      <c r="G10" s="18">
        <v>78</v>
      </c>
      <c r="H10" s="18">
        <v>88</v>
      </c>
      <c r="I10" s="2">
        <v>97</v>
      </c>
      <c r="J10" s="2">
        <v>126</v>
      </c>
      <c r="K10" s="2">
        <v>111</v>
      </c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3.5" x14ac:dyDescent="0.25">
      <c r="A11" s="1"/>
      <c r="B11" s="2" t="s">
        <v>57</v>
      </c>
      <c r="D11" s="2">
        <v>253</v>
      </c>
      <c r="E11" s="2">
        <v>261</v>
      </c>
      <c r="F11" s="2">
        <v>281</v>
      </c>
      <c r="G11" s="2">
        <v>329</v>
      </c>
      <c r="H11" s="2">
        <v>346</v>
      </c>
      <c r="I11" s="2">
        <v>449</v>
      </c>
      <c r="J11" s="2">
        <v>570</v>
      </c>
      <c r="K11" s="2">
        <v>567</v>
      </c>
      <c r="T11" s="3"/>
      <c r="U11" s="2">
        <v>535</v>
      </c>
      <c r="V11" s="2">
        <v>565</v>
      </c>
      <c r="W11" s="2">
        <v>903</v>
      </c>
      <c r="X11" s="2">
        <v>1091</v>
      </c>
      <c r="Y11" s="2">
        <v>1700</v>
      </c>
      <c r="Z11" s="2">
        <f>Y11*1.55</f>
        <v>2635</v>
      </c>
      <c r="AA11" s="2">
        <f t="shared" ref="AA11:AD11" si="3">Z11*1.55</f>
        <v>4084.25</v>
      </c>
      <c r="AB11" s="2">
        <f t="shared" si="3"/>
        <v>6330.5875000000005</v>
      </c>
      <c r="AC11" s="2">
        <f t="shared" si="3"/>
        <v>9812.4106250000004</v>
      </c>
      <c r="AD11" s="2">
        <f t="shared" si="3"/>
        <v>15209.236468750001</v>
      </c>
    </row>
    <row r="12" spans="1:35" ht="13.5" x14ac:dyDescent="0.25">
      <c r="A12" s="1"/>
      <c r="B12" s="2" t="s">
        <v>56</v>
      </c>
      <c r="D12" s="2">
        <v>379</v>
      </c>
      <c r="E12" s="2">
        <v>416</v>
      </c>
      <c r="F12" s="2">
        <v>463</v>
      </c>
      <c r="G12" s="2">
        <v>427</v>
      </c>
      <c r="H12" s="2">
        <v>454</v>
      </c>
      <c r="I12" s="2">
        <v>486</v>
      </c>
      <c r="J12" s="2">
        <v>511</v>
      </c>
      <c r="K12" s="2">
        <v>509</v>
      </c>
      <c r="T12" s="3"/>
      <c r="U12" s="2">
        <v>1053</v>
      </c>
      <c r="V12" s="2">
        <v>2111</v>
      </c>
      <c r="W12" s="2">
        <v>1544</v>
      </c>
      <c r="X12" s="2">
        <v>1553</v>
      </c>
      <c r="Y12" s="2">
        <v>1900</v>
      </c>
      <c r="Z12" s="2">
        <f>Y12*1.22</f>
        <v>2318</v>
      </c>
      <c r="AA12" s="2">
        <f t="shared" ref="AA12:AD12" si="4">Z12*1.22</f>
        <v>2827.96</v>
      </c>
      <c r="AB12" s="2">
        <f t="shared" si="4"/>
        <v>3450.1111999999998</v>
      </c>
      <c r="AC12" s="2">
        <f t="shared" si="4"/>
        <v>4209.1356639999995</v>
      </c>
      <c r="AD12" s="2">
        <f t="shared" si="4"/>
        <v>5135.1455100799994</v>
      </c>
    </row>
    <row r="13" spans="1:35" ht="13.5" x14ac:dyDescent="0.25">
      <c r="A13" s="1"/>
      <c r="B13" s="2" t="s">
        <v>55</v>
      </c>
      <c r="D13" s="2">
        <v>2486</v>
      </c>
      <c r="E13" s="2">
        <v>2856</v>
      </c>
      <c r="F13" s="2">
        <v>2865</v>
      </c>
      <c r="G13" s="2">
        <v>2647</v>
      </c>
      <c r="H13" s="2">
        <v>2880</v>
      </c>
      <c r="I13" s="2">
        <v>3279</v>
      </c>
      <c r="J13" s="2">
        <v>2544</v>
      </c>
      <c r="K13" s="2">
        <v>3763</v>
      </c>
      <c r="T13" s="3"/>
      <c r="U13" s="2">
        <v>7759</v>
      </c>
      <c r="V13" s="2">
        <v>12462</v>
      </c>
      <c r="W13" s="2">
        <v>9067</v>
      </c>
      <c r="X13" s="2">
        <v>10447</v>
      </c>
      <c r="Y13" s="2">
        <v>11400</v>
      </c>
      <c r="Z13" s="2">
        <f>Y13*1.16</f>
        <v>13223.999999999998</v>
      </c>
      <c r="AA13" s="2">
        <f t="shared" ref="AA13:AD13" si="5">Z13*1.16</f>
        <v>15339.839999999997</v>
      </c>
      <c r="AB13" s="2">
        <f t="shared" si="5"/>
        <v>17794.214399999993</v>
      </c>
      <c r="AC13" s="2">
        <f t="shared" si="5"/>
        <v>20641.288703999991</v>
      </c>
      <c r="AD13" s="2">
        <f t="shared" si="5"/>
        <v>23943.894896639988</v>
      </c>
    </row>
    <row r="14" spans="1:35" ht="13.5" x14ac:dyDescent="0.25">
      <c r="A14" s="1"/>
      <c r="B14" s="2" t="s">
        <v>40</v>
      </c>
      <c r="D14" s="2">
        <v>10323</v>
      </c>
      <c r="E14" s="2">
        <v>14514</v>
      </c>
      <c r="F14" s="2">
        <v>18404</v>
      </c>
      <c r="G14" s="2">
        <v>22563</v>
      </c>
      <c r="H14" s="2">
        <v>26272</v>
      </c>
      <c r="I14" s="2">
        <v>30771</v>
      </c>
      <c r="J14" s="2">
        <v>35580</v>
      </c>
      <c r="K14" s="2">
        <v>39112</v>
      </c>
      <c r="L14" s="6"/>
      <c r="M14" s="5"/>
      <c r="N14" s="6"/>
      <c r="T14" s="3"/>
      <c r="U14" s="2">
        <f>U15-SUM(U11:U13)</f>
        <v>1573</v>
      </c>
      <c r="V14" s="2">
        <f>V15-SUM(V11:V13)</f>
        <v>1542</v>
      </c>
      <c r="W14" s="2">
        <f>W15-SUM(W11:W13)</f>
        <v>15460</v>
      </c>
      <c r="X14" s="2">
        <f>X15-SUM(X11:X13)</f>
        <v>47831</v>
      </c>
      <c r="Y14" s="2">
        <v>115200</v>
      </c>
      <c r="Z14" s="2">
        <f>Y14*1.48</f>
        <v>170496</v>
      </c>
      <c r="AA14" s="2">
        <f>Z14*1.44</f>
        <v>245514.23999999999</v>
      </c>
      <c r="AB14" s="2">
        <f t="shared" ref="AB14:AD14" si="6">AA14*1.44</f>
        <v>353540.50559999997</v>
      </c>
      <c r="AC14" s="2">
        <f t="shared" si="6"/>
        <v>509098.32806399994</v>
      </c>
      <c r="AD14" s="2">
        <f t="shared" si="6"/>
        <v>733101.59241215989</v>
      </c>
      <c r="AE14" s="25"/>
    </row>
    <row r="15" spans="1:35" s="4" customFormat="1" x14ac:dyDescent="0.2">
      <c r="B15" s="4" t="s">
        <v>6</v>
      </c>
      <c r="D15" s="4">
        <f t="shared" ref="D15:K15" si="7">SUM(D10:D14)</f>
        <v>13507</v>
      </c>
      <c r="E15" s="4">
        <f t="shared" si="7"/>
        <v>18120</v>
      </c>
      <c r="F15" s="4">
        <f t="shared" si="7"/>
        <v>22103</v>
      </c>
      <c r="G15" s="4">
        <f t="shared" si="7"/>
        <v>26044</v>
      </c>
      <c r="H15" s="4">
        <f t="shared" si="7"/>
        <v>30040</v>
      </c>
      <c r="I15" s="4">
        <f t="shared" si="7"/>
        <v>35082</v>
      </c>
      <c r="J15" s="4">
        <f t="shared" si="7"/>
        <v>39331</v>
      </c>
      <c r="K15" s="4">
        <f t="shared" si="7"/>
        <v>44062</v>
      </c>
      <c r="L15" s="4">
        <v>45000</v>
      </c>
      <c r="M15" s="4">
        <f>L15*1.18</f>
        <v>53100</v>
      </c>
      <c r="N15" s="4">
        <f>M15*1.1</f>
        <v>58410.000000000007</v>
      </c>
      <c r="O15" s="4">
        <f>N15*1.1</f>
        <v>64251.000000000015</v>
      </c>
      <c r="P15" s="4">
        <f t="shared" ref="P15:R15" si="8">O15*1.1</f>
        <v>70676.10000000002</v>
      </c>
      <c r="Q15" s="4">
        <f t="shared" si="8"/>
        <v>77743.710000000036</v>
      </c>
      <c r="R15" s="4">
        <f t="shared" si="8"/>
        <v>85518.081000000049</v>
      </c>
      <c r="T15" s="4">
        <v>11720</v>
      </c>
      <c r="U15" s="4">
        <v>10920</v>
      </c>
      <c r="V15" s="4">
        <v>16680</v>
      </c>
      <c r="W15" s="4">
        <v>26974</v>
      </c>
      <c r="X15" s="4">
        <v>60922</v>
      </c>
      <c r="Y15" s="4">
        <v>130497</v>
      </c>
      <c r="Z15" s="4">
        <f>SUM(K15:N15)</f>
        <v>200572</v>
      </c>
      <c r="AA15" s="4">
        <f>Z15*1.4</f>
        <v>280800.8</v>
      </c>
      <c r="AB15" s="4">
        <f t="shared" ref="AB15:AD15" si="9">AA15*1.4</f>
        <v>393121.11999999994</v>
      </c>
      <c r="AC15" s="4">
        <f t="shared" si="9"/>
        <v>550369.56799999985</v>
      </c>
      <c r="AD15" s="4">
        <f t="shared" si="9"/>
        <v>770517.3951999998</v>
      </c>
      <c r="AE15" s="24"/>
    </row>
    <row r="16" spans="1:35" x14ac:dyDescent="0.2">
      <c r="B16" s="2" t="s">
        <v>7</v>
      </c>
      <c r="G16" s="2">
        <v>5638</v>
      </c>
      <c r="K16" s="2">
        <v>17394</v>
      </c>
      <c r="L16" s="2">
        <f>L15*(1-L35)</f>
        <v>12600.000000000002</v>
      </c>
      <c r="M16" s="2">
        <f>M15*(1-M35)</f>
        <v>14337.000000000002</v>
      </c>
      <c r="N16" s="2">
        <f>N15*(1-N35)</f>
        <v>14602.500000000002</v>
      </c>
      <c r="W16" s="2">
        <v>11618</v>
      </c>
      <c r="X16" s="2">
        <v>16621</v>
      </c>
      <c r="Y16" s="2">
        <v>32639</v>
      </c>
      <c r="Z16" s="2">
        <f>SUM(K16:N16)</f>
        <v>58933.5</v>
      </c>
      <c r="AA16" s="2">
        <f>AA15*(1-AA35)</f>
        <v>70200.2</v>
      </c>
      <c r="AB16" s="2">
        <f>AB15*(1-AB35)</f>
        <v>98280.279999999984</v>
      </c>
      <c r="AC16" s="2">
        <f>AC15*(1-AC35)</f>
        <v>137592.39199999996</v>
      </c>
      <c r="AD16" s="2">
        <f>AD15*(1-AD35)</f>
        <v>192629.34879999995</v>
      </c>
      <c r="AE16" s="27"/>
    </row>
    <row r="17" spans="2:151" x14ac:dyDescent="0.2">
      <c r="B17" s="2" t="s">
        <v>8</v>
      </c>
      <c r="G17" s="2">
        <f>G15-G16</f>
        <v>20406</v>
      </c>
      <c r="H17" s="2">
        <f t="shared" ref="H17:N17" si="10">H15-H16</f>
        <v>30040</v>
      </c>
      <c r="I17" s="2">
        <f t="shared" si="10"/>
        <v>35082</v>
      </c>
      <c r="J17" s="2">
        <f t="shared" si="10"/>
        <v>39331</v>
      </c>
      <c r="K17" s="2">
        <f t="shared" si="10"/>
        <v>26668</v>
      </c>
      <c r="L17" s="2">
        <f t="shared" si="10"/>
        <v>32400</v>
      </c>
      <c r="M17" s="2">
        <f t="shared" si="10"/>
        <v>38763</v>
      </c>
      <c r="N17" s="2">
        <f t="shared" si="10"/>
        <v>43807.500000000007</v>
      </c>
      <c r="T17" s="2">
        <f t="shared" ref="T17:AD17" si="11">T15-T16</f>
        <v>11720</v>
      </c>
      <c r="U17" s="2">
        <f t="shared" si="11"/>
        <v>10920</v>
      </c>
      <c r="V17" s="2">
        <f t="shared" si="11"/>
        <v>16680</v>
      </c>
      <c r="W17" s="2">
        <f t="shared" si="11"/>
        <v>15356</v>
      </c>
      <c r="X17" s="2">
        <f t="shared" si="11"/>
        <v>44301</v>
      </c>
      <c r="Y17" s="2">
        <f t="shared" si="11"/>
        <v>97858</v>
      </c>
      <c r="Z17" s="2">
        <f t="shared" si="11"/>
        <v>141638.5</v>
      </c>
      <c r="AA17" s="2">
        <f t="shared" si="11"/>
        <v>210600.59999999998</v>
      </c>
      <c r="AB17" s="2">
        <f t="shared" si="11"/>
        <v>294840.83999999997</v>
      </c>
      <c r="AC17" s="2">
        <f t="shared" si="11"/>
        <v>412777.17599999986</v>
      </c>
      <c r="AD17" s="2">
        <f t="shared" si="11"/>
        <v>577888.04639999988</v>
      </c>
    </row>
    <row r="18" spans="2:151" x14ac:dyDescent="0.2">
      <c r="B18" s="2" t="s">
        <v>9</v>
      </c>
      <c r="G18" s="2">
        <v>2720</v>
      </c>
      <c r="K18" s="2">
        <v>3989</v>
      </c>
      <c r="L18" s="2">
        <f>K18*1.14</f>
        <v>4547.46</v>
      </c>
      <c r="M18" s="2">
        <f t="shared" ref="M18:N18" si="12">L18*1.02</f>
        <v>4638.4092000000001</v>
      </c>
      <c r="N18" s="2">
        <f t="shared" si="12"/>
        <v>4731.1773840000005</v>
      </c>
      <c r="V18" s="6"/>
      <c r="W18" s="2">
        <v>7339</v>
      </c>
      <c r="X18" s="2">
        <v>8675</v>
      </c>
      <c r="Y18" s="2">
        <v>12914</v>
      </c>
      <c r="Z18" s="2">
        <f>SUM(K18:N18)</f>
        <v>17906.046584</v>
      </c>
      <c r="AA18" s="2">
        <f>Z18*1.23</f>
        <v>22024.437298320001</v>
      </c>
      <c r="AB18" s="2">
        <f t="shared" ref="AB18:AD18" si="13">AA18*1.23</f>
        <v>27090.057876933603</v>
      </c>
      <c r="AC18" s="2">
        <f t="shared" si="13"/>
        <v>33320.771188628329</v>
      </c>
      <c r="AD18" s="2">
        <f t="shared" si="13"/>
        <v>40984.548562012846</v>
      </c>
    </row>
    <row r="19" spans="2:151" x14ac:dyDescent="0.2">
      <c r="B19" s="2" t="s">
        <v>10</v>
      </c>
      <c r="G19" s="2">
        <v>777</v>
      </c>
      <c r="K19" s="2">
        <v>1041</v>
      </c>
      <c r="L19" s="2">
        <f>K19*1.1</f>
        <v>1145.1000000000001</v>
      </c>
      <c r="M19" s="2">
        <f t="shared" ref="M19:N19" si="14">L19*1.02</f>
        <v>1168.0020000000002</v>
      </c>
      <c r="N19" s="2">
        <f t="shared" si="14"/>
        <v>1191.3620400000002</v>
      </c>
      <c r="W19" s="2">
        <v>2440</v>
      </c>
      <c r="X19" s="2">
        <v>2654</v>
      </c>
      <c r="Y19" s="2">
        <v>3491</v>
      </c>
      <c r="Z19" s="2">
        <f>SUM(K19:N19)</f>
        <v>4545.4640400000008</v>
      </c>
      <c r="AA19" s="2">
        <f>Z19*1.2</f>
        <v>5454.5568480000011</v>
      </c>
      <c r="AB19" s="2">
        <f t="shared" ref="AB19:AD19" si="15">AA19*1.2</f>
        <v>6545.4682176000015</v>
      </c>
      <c r="AC19" s="2">
        <f t="shared" si="15"/>
        <v>7854.5618611200016</v>
      </c>
      <c r="AD19" s="2">
        <f t="shared" si="15"/>
        <v>9425.4742333440008</v>
      </c>
    </row>
    <row r="20" spans="2:151" x14ac:dyDescent="0.2">
      <c r="B20" s="16" t="s">
        <v>80</v>
      </c>
      <c r="C20" s="16"/>
      <c r="D20" s="16"/>
      <c r="E20" s="16"/>
      <c r="F20" s="16"/>
      <c r="G20" s="2">
        <f t="shared" ref="G20:N20" si="16">SUM(G18:G19)</f>
        <v>3497</v>
      </c>
      <c r="H20" s="2">
        <f t="shared" si="16"/>
        <v>0</v>
      </c>
      <c r="I20" s="2">
        <f t="shared" si="16"/>
        <v>0</v>
      </c>
      <c r="J20" s="2">
        <f t="shared" si="16"/>
        <v>0</v>
      </c>
      <c r="K20" s="2">
        <f t="shared" si="16"/>
        <v>5030</v>
      </c>
      <c r="L20" s="2">
        <f t="shared" si="16"/>
        <v>5692.56</v>
      </c>
      <c r="M20" s="2">
        <f t="shared" si="16"/>
        <v>5806.4112000000005</v>
      </c>
      <c r="N20" s="2">
        <f t="shared" si="16"/>
        <v>5922.5394240000005</v>
      </c>
      <c r="T20" s="2">
        <f t="shared" ref="T20:AD20" si="17">SUM(T18:T19)</f>
        <v>0</v>
      </c>
      <c r="U20" s="2">
        <f t="shared" si="17"/>
        <v>0</v>
      </c>
      <c r="V20" s="2">
        <f t="shared" si="17"/>
        <v>0</v>
      </c>
      <c r="W20" s="2">
        <f t="shared" si="17"/>
        <v>9779</v>
      </c>
      <c r="X20" s="2">
        <f t="shared" si="17"/>
        <v>11329</v>
      </c>
      <c r="Y20" s="2">
        <f t="shared" si="17"/>
        <v>16405</v>
      </c>
      <c r="Z20" s="2">
        <f t="shared" si="17"/>
        <v>22451.510624000002</v>
      </c>
      <c r="AA20" s="2">
        <f t="shared" si="17"/>
        <v>27478.994146320001</v>
      </c>
      <c r="AB20" s="2">
        <f t="shared" si="17"/>
        <v>33635.526094533605</v>
      </c>
      <c r="AC20" s="2">
        <f t="shared" si="17"/>
        <v>41175.333049748333</v>
      </c>
      <c r="AD20" s="2">
        <f t="shared" si="17"/>
        <v>50410.022795356846</v>
      </c>
    </row>
    <row r="21" spans="2:151" x14ac:dyDescent="0.2">
      <c r="B21" s="2" t="s">
        <v>11</v>
      </c>
      <c r="G21" s="2">
        <f t="shared" ref="G21:N21" si="18">G17-G20</f>
        <v>16909</v>
      </c>
      <c r="H21" s="2">
        <f t="shared" si="18"/>
        <v>30040</v>
      </c>
      <c r="I21" s="2">
        <f t="shared" si="18"/>
        <v>35082</v>
      </c>
      <c r="J21" s="2">
        <f t="shared" si="18"/>
        <v>39331</v>
      </c>
      <c r="K21" s="2">
        <f t="shared" si="18"/>
        <v>21638</v>
      </c>
      <c r="L21" s="2">
        <f t="shared" si="18"/>
        <v>26707.439999999999</v>
      </c>
      <c r="M21" s="2">
        <f t="shared" si="18"/>
        <v>32956.588799999998</v>
      </c>
      <c r="N21" s="2">
        <f t="shared" si="18"/>
        <v>37884.960576000005</v>
      </c>
      <c r="T21" s="2">
        <f t="shared" ref="T21:AD21" si="19">T17-T20</f>
        <v>11720</v>
      </c>
      <c r="U21" s="2">
        <f t="shared" si="19"/>
        <v>10920</v>
      </c>
      <c r="V21" s="2">
        <f t="shared" si="19"/>
        <v>16680</v>
      </c>
      <c r="W21" s="2">
        <f t="shared" si="19"/>
        <v>5577</v>
      </c>
      <c r="X21" s="2">
        <f t="shared" si="19"/>
        <v>32972</v>
      </c>
      <c r="Y21" s="2">
        <f t="shared" si="19"/>
        <v>81453</v>
      </c>
      <c r="Z21" s="2">
        <f t="shared" si="19"/>
        <v>119186.989376</v>
      </c>
      <c r="AA21" s="2">
        <f t="shared" si="19"/>
        <v>183121.60585367997</v>
      </c>
      <c r="AB21" s="2">
        <f t="shared" si="19"/>
        <v>261205.31390546635</v>
      </c>
      <c r="AC21" s="2">
        <f t="shared" si="19"/>
        <v>371601.84295025154</v>
      </c>
      <c r="AD21" s="2">
        <f t="shared" si="19"/>
        <v>527478.02360464307</v>
      </c>
    </row>
    <row r="22" spans="2:151" x14ac:dyDescent="0.2">
      <c r="B22" s="23" t="s">
        <v>99</v>
      </c>
      <c r="C22" s="23"/>
      <c r="D22" s="23"/>
      <c r="E22" s="23"/>
      <c r="F22" s="23"/>
      <c r="G22" s="2">
        <f>359-64</f>
        <v>295</v>
      </c>
      <c r="K22" s="2">
        <f>515-63</f>
        <v>452</v>
      </c>
      <c r="L22" s="2">
        <f>K38*$AG$28/4</f>
        <v>226.13499999999999</v>
      </c>
      <c r="M22" s="2">
        <f>L38*$AG$28/4</f>
        <v>338.58267562499998</v>
      </c>
      <c r="N22" s="2">
        <f>M38*$AG$28/4</f>
        <v>473.42812010128125</v>
      </c>
      <c r="T22" s="2">
        <f>P38*$AG$28</f>
        <v>0</v>
      </c>
      <c r="U22" s="2">
        <f>T38*$AG$28</f>
        <v>0</v>
      </c>
      <c r="V22" s="2">
        <f>U38*$AG$28</f>
        <v>0</v>
      </c>
      <c r="W22" s="2">
        <f>267-262</f>
        <v>5</v>
      </c>
      <c r="X22" s="2">
        <f>866-257</f>
        <v>609</v>
      </c>
      <c r="Y22" s="2">
        <f>1786-247</f>
        <v>1539</v>
      </c>
      <c r="Z22" s="2">
        <f>SUM(K22:N22)</f>
        <v>1490.1457957262812</v>
      </c>
      <c r="AA22" s="2">
        <f>Z38*$AG$28</f>
        <v>2515.1183772819659</v>
      </c>
      <c r="AB22" s="2">
        <f>AA38*$AG$28</f>
        <v>2565.4207448276052</v>
      </c>
      <c r="AC22" s="2">
        <f>AB38*$AG$28</f>
        <v>2616.7291597241569</v>
      </c>
      <c r="AD22" s="2">
        <f>AC38*$AG$28</f>
        <v>2669.0637429186404</v>
      </c>
    </row>
    <row r="23" spans="2:151" x14ac:dyDescent="0.2">
      <c r="B23" s="23" t="s">
        <v>100</v>
      </c>
      <c r="C23" s="23"/>
      <c r="D23" s="23"/>
      <c r="E23" s="23"/>
      <c r="F23" s="23"/>
      <c r="G23" s="2">
        <v>75</v>
      </c>
      <c r="K23" s="2">
        <v>-180</v>
      </c>
      <c r="W23" s="2">
        <v>-48</v>
      </c>
      <c r="X23" s="2">
        <v>237</v>
      </c>
      <c r="Y23" s="2">
        <v>1034</v>
      </c>
      <c r="Z23" s="2">
        <f>SUM(K23:N23)</f>
        <v>-180</v>
      </c>
      <c r="AA23" s="2">
        <v>0</v>
      </c>
      <c r="AB23" s="2">
        <f t="shared" ref="AB23:AD23" si="20">AA23*1.02</f>
        <v>0</v>
      </c>
      <c r="AC23" s="2">
        <f t="shared" si="20"/>
        <v>0</v>
      </c>
      <c r="AD23" s="2">
        <f t="shared" si="20"/>
        <v>0</v>
      </c>
    </row>
    <row r="24" spans="2:151" x14ac:dyDescent="0.2">
      <c r="B24" s="2" t="s">
        <v>13</v>
      </c>
      <c r="G24" s="2">
        <f>G21+SUM(G22:G23)</f>
        <v>17279</v>
      </c>
      <c r="H24" s="2">
        <f t="shared" ref="H24:N24" si="21">H21+SUM(H22:H23)</f>
        <v>30040</v>
      </c>
      <c r="I24" s="2">
        <f t="shared" si="21"/>
        <v>35082</v>
      </c>
      <c r="J24" s="2">
        <f t="shared" si="21"/>
        <v>39331</v>
      </c>
      <c r="K24" s="2">
        <f t="shared" si="21"/>
        <v>21910</v>
      </c>
      <c r="L24" s="2">
        <f t="shared" si="21"/>
        <v>26933.574999999997</v>
      </c>
      <c r="M24" s="2">
        <f t="shared" si="21"/>
        <v>33295.171475625</v>
      </c>
      <c r="N24" s="2">
        <f t="shared" si="21"/>
        <v>38358.388696101283</v>
      </c>
      <c r="T24" s="2">
        <f>T21+SUM(T22:T23)</f>
        <v>11720</v>
      </c>
      <c r="U24" s="2">
        <f>U21+SUM(U22:U23)</f>
        <v>10920</v>
      </c>
      <c r="V24" s="2">
        <f t="shared" ref="V24:Y24" si="22">V21+SUM(V22:V23)</f>
        <v>16680</v>
      </c>
      <c r="W24" s="2">
        <f t="shared" si="22"/>
        <v>5534</v>
      </c>
      <c r="X24" s="2">
        <f t="shared" si="22"/>
        <v>33818</v>
      </c>
      <c r="Y24" s="2">
        <f t="shared" si="22"/>
        <v>84026</v>
      </c>
      <c r="Z24" s="2">
        <f>Z21+SUM(Z22:Z23)</f>
        <v>120497.13517172627</v>
      </c>
      <c r="AA24" s="2">
        <f t="shared" ref="AA24:AD24" si="23">AA21+SUM(AA22:AA23)</f>
        <v>185636.72423096193</v>
      </c>
      <c r="AB24" s="2">
        <f t="shared" si="23"/>
        <v>263770.73465029395</v>
      </c>
      <c r="AC24" s="2">
        <f t="shared" si="23"/>
        <v>374218.57210997568</v>
      </c>
      <c r="AD24" s="2">
        <f t="shared" si="23"/>
        <v>530147.08734756173</v>
      </c>
    </row>
    <row r="25" spans="2:151" x14ac:dyDescent="0.2">
      <c r="B25" s="2" t="s">
        <v>14</v>
      </c>
      <c r="G25" s="2">
        <v>2398</v>
      </c>
      <c r="K25" s="2">
        <v>3135</v>
      </c>
      <c r="L25" s="2">
        <f>L24*0.165</f>
        <v>4444.0398749999995</v>
      </c>
      <c r="M25" s="2">
        <f>M24*0.19</f>
        <v>6326.0825803687503</v>
      </c>
      <c r="N25" s="2">
        <f>N24*0.19</f>
        <v>7288.0938522592442</v>
      </c>
      <c r="W25" s="2">
        <v>-187</v>
      </c>
      <c r="X25" s="2">
        <v>4058</v>
      </c>
      <c r="Y25" s="2">
        <v>11146</v>
      </c>
      <c r="Z25" s="2">
        <f>SUM(K25:N25)</f>
        <v>21193.216307627994</v>
      </c>
      <c r="AA25" s="2">
        <f>AA24*0.19</f>
        <v>35270.977603882769</v>
      </c>
      <c r="AB25" s="2">
        <f t="shared" ref="AB25:AD25" si="24">AB24*0.19</f>
        <v>50116.439583555853</v>
      </c>
      <c r="AC25" s="2">
        <f t="shared" si="24"/>
        <v>71101.528700895375</v>
      </c>
      <c r="AD25" s="2">
        <f t="shared" si="24"/>
        <v>100727.94659603672</v>
      </c>
    </row>
    <row r="26" spans="2:151" s="4" customFormat="1" x14ac:dyDescent="0.2">
      <c r="B26" s="4" t="s">
        <v>15</v>
      </c>
      <c r="G26" s="4">
        <f>G24-G25</f>
        <v>14881</v>
      </c>
      <c r="H26" s="4">
        <f t="shared" ref="H26:N26" si="25">H24-H25</f>
        <v>30040</v>
      </c>
      <c r="I26" s="4">
        <f t="shared" si="25"/>
        <v>35082</v>
      </c>
      <c r="J26" s="4">
        <f t="shared" si="25"/>
        <v>39331</v>
      </c>
      <c r="K26" s="4">
        <f t="shared" si="25"/>
        <v>18775</v>
      </c>
      <c r="L26" s="4">
        <f t="shared" si="25"/>
        <v>22489.535124999999</v>
      </c>
      <c r="M26" s="4">
        <f t="shared" si="25"/>
        <v>26969.088895256249</v>
      </c>
      <c r="N26" s="4">
        <f t="shared" si="25"/>
        <v>31070.294843842039</v>
      </c>
      <c r="T26" s="4">
        <f>T24-T25</f>
        <v>11720</v>
      </c>
      <c r="U26" s="4">
        <f>U24-U25</f>
        <v>10920</v>
      </c>
      <c r="V26" s="4">
        <f t="shared" ref="V26:Y26" si="26">V24-V25</f>
        <v>16680</v>
      </c>
      <c r="W26" s="4">
        <f t="shared" si="26"/>
        <v>5721</v>
      </c>
      <c r="X26" s="4">
        <f t="shared" si="26"/>
        <v>29760</v>
      </c>
      <c r="Y26" s="4">
        <f t="shared" si="26"/>
        <v>72880</v>
      </c>
      <c r="Z26" s="4">
        <f>Z24-Z25</f>
        <v>99303.918864098276</v>
      </c>
      <c r="AA26" s="4">
        <f t="shared" ref="AA26:AD26" si="27">AA24-AA25</f>
        <v>150365.74662707915</v>
      </c>
      <c r="AB26" s="4">
        <f t="shared" si="27"/>
        <v>213654.29506673809</v>
      </c>
      <c r="AC26" s="4">
        <f t="shared" si="27"/>
        <v>303117.0434090803</v>
      </c>
      <c r="AD26" s="4">
        <f t="shared" si="27"/>
        <v>429419.140751525</v>
      </c>
      <c r="AE26" s="4">
        <f t="shared" ref="AE26:BJ26" si="28">AD26*(1+$AG$29)</f>
        <v>433713.33215904026</v>
      </c>
      <c r="AF26" s="4">
        <f t="shared" si="28"/>
        <v>438050.46548063069</v>
      </c>
      <c r="AG26" s="4">
        <f t="shared" si="28"/>
        <v>442430.97013543698</v>
      </c>
      <c r="AH26" s="4">
        <f t="shared" si="28"/>
        <v>446855.27983679133</v>
      </c>
      <c r="AI26" s="4">
        <f t="shared" si="28"/>
        <v>451323.83263515926</v>
      </c>
      <c r="AJ26" s="4">
        <f t="shared" si="28"/>
        <v>455837.07096151088</v>
      </c>
      <c r="AK26" s="4">
        <f t="shared" si="28"/>
        <v>460395.441671126</v>
      </c>
      <c r="AL26" s="4">
        <f t="shared" si="28"/>
        <v>464999.39608783729</v>
      </c>
      <c r="AM26" s="4">
        <f t="shared" si="28"/>
        <v>469649.39004871569</v>
      </c>
      <c r="AN26" s="4">
        <f t="shared" si="28"/>
        <v>474345.88394920283</v>
      </c>
      <c r="AO26" s="4">
        <f t="shared" si="28"/>
        <v>479089.34278869489</v>
      </c>
      <c r="AP26" s="4">
        <f t="shared" si="28"/>
        <v>483880.23621658183</v>
      </c>
      <c r="AQ26" s="4">
        <f t="shared" si="28"/>
        <v>488719.03857874766</v>
      </c>
      <c r="AR26" s="4">
        <f t="shared" si="28"/>
        <v>493606.22896453511</v>
      </c>
      <c r="AS26" s="4">
        <f t="shared" si="28"/>
        <v>498542.29125418048</v>
      </c>
      <c r="AT26" s="4">
        <f t="shared" si="28"/>
        <v>503527.71416672232</v>
      </c>
      <c r="AU26" s="4">
        <f t="shared" si="28"/>
        <v>508562.99130838952</v>
      </c>
      <c r="AV26" s="4">
        <f t="shared" si="28"/>
        <v>513648.62122147344</v>
      </c>
      <c r="AW26" s="4">
        <f t="shared" si="28"/>
        <v>518785.10743368819</v>
      </c>
      <c r="AX26" s="4">
        <f t="shared" si="28"/>
        <v>523972.9585080251</v>
      </c>
      <c r="AY26" s="4">
        <f t="shared" si="28"/>
        <v>529212.68809310533</v>
      </c>
      <c r="AZ26" s="4">
        <f t="shared" si="28"/>
        <v>534504.81497403642</v>
      </c>
      <c r="BA26" s="4">
        <f t="shared" si="28"/>
        <v>539849.86312377674</v>
      </c>
      <c r="BB26" s="4">
        <f t="shared" si="28"/>
        <v>545248.36175501451</v>
      </c>
      <c r="BC26" s="4">
        <f t="shared" si="28"/>
        <v>550700.84537256462</v>
      </c>
      <c r="BD26" s="4">
        <f t="shared" si="28"/>
        <v>556207.85382629023</v>
      </c>
      <c r="BE26" s="4">
        <f t="shared" si="28"/>
        <v>561769.9323645531</v>
      </c>
      <c r="BF26" s="4">
        <f t="shared" si="28"/>
        <v>567387.63168819866</v>
      </c>
      <c r="BG26" s="4">
        <f t="shared" si="28"/>
        <v>573061.50800508063</v>
      </c>
      <c r="BH26" s="4">
        <f t="shared" si="28"/>
        <v>578792.1230851314</v>
      </c>
      <c r="BI26" s="4">
        <f t="shared" si="28"/>
        <v>584580.04431598273</v>
      </c>
      <c r="BJ26" s="4">
        <f t="shared" si="28"/>
        <v>590425.84475914261</v>
      </c>
      <c r="BK26" s="4">
        <f t="shared" ref="BK26:CP26" si="29">BJ26*(1+$AG$29)</f>
        <v>596330.10320673406</v>
      </c>
      <c r="BL26" s="4">
        <f t="shared" si="29"/>
        <v>602293.40423880145</v>
      </c>
      <c r="BM26" s="4">
        <f t="shared" si="29"/>
        <v>608316.33828118944</v>
      </c>
      <c r="BN26" s="4">
        <f t="shared" si="29"/>
        <v>614399.50166400138</v>
      </c>
      <c r="BO26" s="4">
        <f t="shared" si="29"/>
        <v>620543.49668064143</v>
      </c>
      <c r="BP26" s="4">
        <f t="shared" si="29"/>
        <v>626748.93164744787</v>
      </c>
      <c r="BQ26" s="4">
        <f t="shared" si="29"/>
        <v>633016.4209639224</v>
      </c>
      <c r="BR26" s="4">
        <f t="shared" si="29"/>
        <v>639346.58517356159</v>
      </c>
      <c r="BS26" s="4">
        <f t="shared" si="29"/>
        <v>645740.05102529726</v>
      </c>
      <c r="BT26" s="4">
        <f t="shared" si="29"/>
        <v>652197.4515355503</v>
      </c>
      <c r="BU26" s="4">
        <f t="shared" si="29"/>
        <v>658719.42605090584</v>
      </c>
      <c r="BV26" s="4">
        <f t="shared" si="29"/>
        <v>665306.62031141494</v>
      </c>
      <c r="BW26" s="4">
        <f t="shared" si="29"/>
        <v>671959.68651452905</v>
      </c>
      <c r="BX26" s="4">
        <f t="shared" si="29"/>
        <v>678679.28337967431</v>
      </c>
      <c r="BY26" s="4">
        <f t="shared" si="29"/>
        <v>685466.07621347101</v>
      </c>
      <c r="BZ26" s="4">
        <f t="shared" si="29"/>
        <v>692320.73697560572</v>
      </c>
      <c r="CA26" s="4">
        <f t="shared" si="29"/>
        <v>699243.94434536179</v>
      </c>
      <c r="CB26" s="4">
        <f t="shared" si="29"/>
        <v>706236.38378881547</v>
      </c>
      <c r="CC26" s="4">
        <f t="shared" si="29"/>
        <v>713298.74762670358</v>
      </c>
      <c r="CD26" s="4">
        <f t="shared" si="29"/>
        <v>720431.73510297062</v>
      </c>
      <c r="CE26" s="4">
        <f t="shared" si="29"/>
        <v>727636.05245400034</v>
      </c>
      <c r="CF26" s="4">
        <f t="shared" si="29"/>
        <v>734912.41297854029</v>
      </c>
      <c r="CG26" s="4">
        <f t="shared" si="29"/>
        <v>742261.53710832575</v>
      </c>
      <c r="CH26" s="4">
        <f t="shared" si="29"/>
        <v>749684.15247940901</v>
      </c>
      <c r="CI26" s="4">
        <f t="shared" si="29"/>
        <v>757180.99400420312</v>
      </c>
      <c r="CJ26" s="4">
        <f t="shared" si="29"/>
        <v>764752.80394424521</v>
      </c>
      <c r="CK26" s="4">
        <f t="shared" si="29"/>
        <v>772400.33198368771</v>
      </c>
      <c r="CL26" s="4">
        <f t="shared" si="29"/>
        <v>780124.33530352463</v>
      </c>
      <c r="CM26" s="4">
        <f t="shared" si="29"/>
        <v>787925.57865655993</v>
      </c>
      <c r="CN26" s="4">
        <f t="shared" si="29"/>
        <v>795804.83444312552</v>
      </c>
      <c r="CO26" s="4">
        <f t="shared" si="29"/>
        <v>803762.88278755674</v>
      </c>
      <c r="CP26" s="4">
        <f t="shared" si="29"/>
        <v>811800.51161543233</v>
      </c>
      <c r="CQ26" s="4">
        <f t="shared" ref="CQ26:DV26" si="30">CP26*(1+$AG$29)</f>
        <v>819918.51673158666</v>
      </c>
      <c r="CR26" s="4">
        <f t="shared" si="30"/>
        <v>828117.70189890254</v>
      </c>
      <c r="CS26" s="4">
        <f t="shared" si="30"/>
        <v>836398.87891789153</v>
      </c>
      <c r="CT26" s="4">
        <f t="shared" si="30"/>
        <v>844762.86770707043</v>
      </c>
      <c r="CU26" s="4">
        <f t="shared" si="30"/>
        <v>853210.49638414115</v>
      </c>
      <c r="CV26" s="4">
        <f t="shared" si="30"/>
        <v>861742.60134798253</v>
      </c>
      <c r="CW26" s="4">
        <f t="shared" si="30"/>
        <v>870360.02736146236</v>
      </c>
      <c r="CX26" s="4">
        <f t="shared" si="30"/>
        <v>879063.62763507699</v>
      </c>
      <c r="CY26" s="4">
        <f t="shared" si="30"/>
        <v>887854.26391142781</v>
      </c>
      <c r="CZ26" s="4">
        <f t="shared" si="30"/>
        <v>896732.80655054213</v>
      </c>
      <c r="DA26" s="4">
        <f t="shared" si="30"/>
        <v>905700.13461604761</v>
      </c>
      <c r="DB26" s="4">
        <f t="shared" si="30"/>
        <v>914757.13596220815</v>
      </c>
      <c r="DC26" s="4">
        <f t="shared" si="30"/>
        <v>923904.70732183021</v>
      </c>
      <c r="DD26" s="4">
        <f t="shared" si="30"/>
        <v>933143.75439504848</v>
      </c>
      <c r="DE26" s="4">
        <f t="shared" si="30"/>
        <v>942475.19193899899</v>
      </c>
      <c r="DF26" s="4">
        <f t="shared" si="30"/>
        <v>951899.94385838904</v>
      </c>
      <c r="DG26" s="4">
        <f t="shared" si="30"/>
        <v>961418.9432969729</v>
      </c>
      <c r="DH26" s="4">
        <f t="shared" si="30"/>
        <v>971033.13272994268</v>
      </c>
      <c r="DI26" s="4">
        <f t="shared" si="30"/>
        <v>980743.46405724215</v>
      </c>
      <c r="DJ26" s="4">
        <f t="shared" si="30"/>
        <v>990550.89869781455</v>
      </c>
      <c r="DK26" s="4">
        <f t="shared" si="30"/>
        <v>1000456.4076847928</v>
      </c>
      <c r="DL26" s="4">
        <f t="shared" si="30"/>
        <v>1010460.9717616407</v>
      </c>
      <c r="DM26" s="4">
        <f t="shared" si="30"/>
        <v>1020565.5814792572</v>
      </c>
      <c r="DN26" s="4">
        <f t="shared" si="30"/>
        <v>1030771.2372940498</v>
      </c>
      <c r="DO26" s="4">
        <f t="shared" si="30"/>
        <v>1041078.9496669903</v>
      </c>
      <c r="DP26" s="4">
        <f t="shared" si="30"/>
        <v>1051489.7391636602</v>
      </c>
      <c r="DQ26" s="4">
        <f t="shared" si="30"/>
        <v>1062004.6365552968</v>
      </c>
      <c r="DR26" s="4">
        <f t="shared" si="30"/>
        <v>1072624.6829208499</v>
      </c>
      <c r="DS26" s="4">
        <f t="shared" si="30"/>
        <v>1083350.9297500583</v>
      </c>
      <c r="DT26" s="4">
        <f t="shared" si="30"/>
        <v>1094184.4390475589</v>
      </c>
      <c r="DU26" s="4">
        <f t="shared" si="30"/>
        <v>1105126.2834380346</v>
      </c>
      <c r="DV26" s="4">
        <f t="shared" si="30"/>
        <v>1116177.546272415</v>
      </c>
      <c r="DW26" s="4">
        <f t="shared" ref="DW26:EU26" si="31">DV26*(1+$AG$29)</f>
        <v>1127339.3217351392</v>
      </c>
      <c r="DX26" s="4">
        <f t="shared" si="31"/>
        <v>1138612.7149524905</v>
      </c>
      <c r="DY26" s="4">
        <f t="shared" si="31"/>
        <v>1149998.8421020154</v>
      </c>
      <c r="DZ26" s="4">
        <f t="shared" si="31"/>
        <v>1161498.8305230355</v>
      </c>
      <c r="EA26" s="4">
        <f t="shared" si="31"/>
        <v>1173113.8188282659</v>
      </c>
      <c r="EB26" s="4">
        <f t="shared" si="31"/>
        <v>1184844.9570165486</v>
      </c>
      <c r="EC26" s="4">
        <f t="shared" si="31"/>
        <v>1196693.4065867141</v>
      </c>
      <c r="ED26" s="4">
        <f t="shared" si="31"/>
        <v>1208660.3406525813</v>
      </c>
      <c r="EE26" s="4">
        <f t="shared" si="31"/>
        <v>1220746.9440591072</v>
      </c>
      <c r="EF26" s="4">
        <f t="shared" si="31"/>
        <v>1232954.4134996983</v>
      </c>
      <c r="EG26" s="4">
        <f t="shared" si="31"/>
        <v>1245283.9576346953</v>
      </c>
      <c r="EH26" s="4">
        <f t="shared" si="31"/>
        <v>1257736.7972110424</v>
      </c>
      <c r="EI26" s="4">
        <f t="shared" si="31"/>
        <v>1270314.1651831528</v>
      </c>
      <c r="EJ26" s="4">
        <f t="shared" si="31"/>
        <v>1283017.3068349843</v>
      </c>
      <c r="EK26" s="4">
        <f t="shared" si="31"/>
        <v>1295847.4799033343</v>
      </c>
      <c r="EL26" s="4">
        <f t="shared" si="31"/>
        <v>1308805.9547023675</v>
      </c>
      <c r="EM26" s="4">
        <f t="shared" si="31"/>
        <v>1321894.0142493912</v>
      </c>
      <c r="EN26" s="4">
        <f t="shared" si="31"/>
        <v>1335112.9543918851</v>
      </c>
      <c r="EO26" s="4">
        <f t="shared" si="31"/>
        <v>1348464.083935804</v>
      </c>
      <c r="EP26" s="4">
        <f t="shared" si="31"/>
        <v>1361948.7247751621</v>
      </c>
      <c r="EQ26" s="4">
        <f t="shared" si="31"/>
        <v>1375568.2120229136</v>
      </c>
      <c r="ER26" s="4">
        <f t="shared" si="31"/>
        <v>1389323.8941431427</v>
      </c>
      <c r="ES26" s="4">
        <f t="shared" si="31"/>
        <v>1403217.1330845742</v>
      </c>
      <c r="ET26" s="4">
        <f t="shared" si="31"/>
        <v>1417249.3044154199</v>
      </c>
      <c r="EU26" s="4">
        <f t="shared" si="31"/>
        <v>1431421.7974595742</v>
      </c>
    </row>
    <row r="27" spans="2:151" x14ac:dyDescent="0.2">
      <c r="B27" s="2" t="s">
        <v>1</v>
      </c>
      <c r="G27" s="2">
        <v>24890</v>
      </c>
      <c r="K27" s="2">
        <v>24611</v>
      </c>
      <c r="L27" s="2">
        <f>K27*0.995</f>
        <v>24487.945</v>
      </c>
      <c r="M27" s="2">
        <f t="shared" ref="M27:N27" si="32">L27*0.995</f>
        <v>24365.505275</v>
      </c>
      <c r="N27" s="2">
        <f t="shared" si="32"/>
        <v>24243.677748624999</v>
      </c>
      <c r="W27" s="2">
        <v>25070</v>
      </c>
      <c r="X27" s="2">
        <v>24940</v>
      </c>
      <c r="Y27" s="2">
        <v>24400</v>
      </c>
      <c r="Z27" s="2">
        <f>N27</f>
        <v>24243.677748624999</v>
      </c>
      <c r="AA27" s="2">
        <f t="shared" ref="AA27:AD27" si="33">Z27*0.99</f>
        <v>24001.240971138748</v>
      </c>
      <c r="AB27" s="2">
        <f t="shared" si="33"/>
        <v>23761.228561427361</v>
      </c>
      <c r="AC27" s="2">
        <f t="shared" si="33"/>
        <v>23523.616275813085</v>
      </c>
      <c r="AD27" s="2">
        <f t="shared" si="33"/>
        <v>23288.380113054955</v>
      </c>
    </row>
    <row r="28" spans="2:151" x14ac:dyDescent="0.2">
      <c r="B28" s="2" t="s">
        <v>16</v>
      </c>
      <c r="G28" s="5">
        <f>G26/G27</f>
        <v>0.5978706307754118</v>
      </c>
      <c r="H28" s="5" t="e">
        <f t="shared" ref="H28:N28" si="34">H26/H27</f>
        <v>#DIV/0!</v>
      </c>
      <c r="I28" s="5" t="e">
        <f t="shared" si="34"/>
        <v>#DIV/0!</v>
      </c>
      <c r="J28" s="5" t="e">
        <f t="shared" si="34"/>
        <v>#DIV/0!</v>
      </c>
      <c r="K28" s="5">
        <f t="shared" si="34"/>
        <v>0.7628702612652879</v>
      </c>
      <c r="L28" s="5">
        <f t="shared" si="34"/>
        <v>0.9183920955800905</v>
      </c>
      <c r="M28" s="5">
        <f t="shared" si="34"/>
        <v>1.1068553100324019</v>
      </c>
      <c r="N28" s="5">
        <f t="shared" si="34"/>
        <v>1.2815833953082558</v>
      </c>
      <c r="O28" s="5"/>
      <c r="W28" s="5">
        <f>W26/W27</f>
        <v>0.22820103709613082</v>
      </c>
      <c r="X28" s="5">
        <f>X26/X27</f>
        <v>1.1932638331996792</v>
      </c>
      <c r="Y28" s="5">
        <f>Y26/Y27</f>
        <v>2.9868852459016395</v>
      </c>
      <c r="Z28" s="5">
        <f t="shared" ref="Z28:AD28" si="35">Z26/Z27</f>
        <v>4.0960748568657399</v>
      </c>
      <c r="AA28" s="5">
        <f t="shared" si="35"/>
        <v>6.26491550198977</v>
      </c>
      <c r="AB28" s="5">
        <f t="shared" si="35"/>
        <v>8.991719199804864</v>
      </c>
      <c r="AC28" s="5">
        <f t="shared" si="35"/>
        <v>12.885648186700969</v>
      </c>
      <c r="AD28" s="5">
        <f t="shared" si="35"/>
        <v>18.439201810812168</v>
      </c>
      <c r="AE28" s="5"/>
      <c r="AF28" s="2" t="s">
        <v>26</v>
      </c>
      <c r="AG28" s="6">
        <v>0.02</v>
      </c>
      <c r="AH28" s="5"/>
      <c r="AI28" s="5"/>
    </row>
    <row r="29" spans="2:151" x14ac:dyDescent="0.2">
      <c r="P29" s="5"/>
      <c r="Q29" s="5"/>
      <c r="R29" s="5"/>
      <c r="S29" s="5"/>
      <c r="W29" s="6"/>
      <c r="X29" s="6"/>
      <c r="Y29" s="6"/>
      <c r="Z29" s="6"/>
      <c r="AA29" s="6"/>
      <c r="AB29" s="6"/>
      <c r="AC29" s="6"/>
      <c r="AD29" s="6"/>
      <c r="AE29" s="6"/>
      <c r="AF29" s="2" t="s">
        <v>25</v>
      </c>
      <c r="AG29" s="6">
        <v>0.01</v>
      </c>
      <c r="AH29" s="6"/>
      <c r="AI29" s="6"/>
    </row>
    <row r="30" spans="2:151" s="4" customFormat="1" x14ac:dyDescent="0.2">
      <c r="B30" s="4" t="s">
        <v>17</v>
      </c>
      <c r="H30" s="7">
        <f t="shared" ref="H30:N30" si="36">H15/D15-1</f>
        <v>1.2240319834160065</v>
      </c>
      <c r="I30" s="7">
        <f t="shared" si="36"/>
        <v>0.93609271523178816</v>
      </c>
      <c r="J30" s="7">
        <f t="shared" si="36"/>
        <v>0.77944170474596208</v>
      </c>
      <c r="K30" s="7">
        <f t="shared" si="36"/>
        <v>0.69182921210259551</v>
      </c>
      <c r="L30" s="7">
        <f t="shared" si="36"/>
        <v>0.49800266311584562</v>
      </c>
      <c r="M30" s="7">
        <f t="shared" si="36"/>
        <v>0.51359671626475123</v>
      </c>
      <c r="N30" s="7">
        <f t="shared" si="36"/>
        <v>0.48508809844651823</v>
      </c>
      <c r="O30" s="7"/>
      <c r="U30" s="7">
        <f t="shared" ref="U30:AD30" si="37">U15/T15-1</f>
        <v>-6.8259385665529027E-2</v>
      </c>
      <c r="V30" s="7">
        <f t="shared" si="37"/>
        <v>0.52747252747252737</v>
      </c>
      <c r="W30" s="7">
        <f t="shared" si="37"/>
        <v>0.61714628297362117</v>
      </c>
      <c r="X30" s="7">
        <f t="shared" si="37"/>
        <v>1.2585452658115224</v>
      </c>
      <c r="Y30" s="7">
        <f t="shared" si="37"/>
        <v>1.1420340763599355</v>
      </c>
      <c r="Z30" s="7">
        <f t="shared" si="37"/>
        <v>0.5369855245714461</v>
      </c>
      <c r="AA30" s="7">
        <f t="shared" si="37"/>
        <v>0.39999999999999991</v>
      </c>
      <c r="AB30" s="7">
        <f t="shared" si="37"/>
        <v>0.39999999999999991</v>
      </c>
      <c r="AC30" s="7">
        <f t="shared" si="37"/>
        <v>0.39999999999999991</v>
      </c>
      <c r="AD30" s="7">
        <f t="shared" si="37"/>
        <v>0.39999999999999991</v>
      </c>
      <c r="AE30" s="7"/>
      <c r="AF30" s="2" t="s">
        <v>27</v>
      </c>
      <c r="AG30" s="21">
        <v>9.5000000000000001E-2</v>
      </c>
      <c r="AH30" s="7"/>
      <c r="AI30" s="7"/>
    </row>
    <row r="31" spans="2:151" x14ac:dyDescent="0.2">
      <c r="B31" s="2" t="s">
        <v>18</v>
      </c>
      <c r="D31" s="6"/>
      <c r="E31" s="6">
        <f t="shared" ref="E31:N31" si="38">E15/D15-1</f>
        <v>0.34152661582882948</v>
      </c>
      <c r="F31" s="6">
        <f t="shared" si="38"/>
        <v>0.21981236203090515</v>
      </c>
      <c r="G31" s="6">
        <f t="shared" si="38"/>
        <v>0.17830158801972584</v>
      </c>
      <c r="H31" s="6">
        <f t="shared" si="38"/>
        <v>0.1534326524343419</v>
      </c>
      <c r="I31" s="6">
        <f t="shared" si="38"/>
        <v>0.16784287616511318</v>
      </c>
      <c r="J31" s="6">
        <f t="shared" si="38"/>
        <v>0.12111624194743742</v>
      </c>
      <c r="K31" s="6">
        <f t="shared" si="38"/>
        <v>0.12028679667437903</v>
      </c>
      <c r="L31" s="6">
        <f t="shared" si="38"/>
        <v>2.1288184830466239E-2</v>
      </c>
      <c r="M31" s="6">
        <f t="shared" si="38"/>
        <v>0.17999999999999994</v>
      </c>
      <c r="N31" s="6">
        <f t="shared" si="38"/>
        <v>0.10000000000000009</v>
      </c>
      <c r="O31" s="6"/>
      <c r="AF31" s="2" t="s">
        <v>24</v>
      </c>
      <c r="AG31" s="2">
        <f>NPV(AG30,Z89:EC89)+Main!K5-Main!K6</f>
        <v>4502825.178628806</v>
      </c>
    </row>
    <row r="32" spans="2:151" x14ac:dyDescent="0.2">
      <c r="B32" s="17" t="s">
        <v>81</v>
      </c>
      <c r="C32" s="17"/>
      <c r="D32" s="17"/>
      <c r="E32" s="17"/>
      <c r="F32" s="17"/>
      <c r="K32" s="6">
        <f t="shared" ref="K32:N33" si="39">K18/G18-1</f>
        <v>0.46654411764705883</v>
      </c>
      <c r="L32" s="6" t="e">
        <f t="shared" si="39"/>
        <v>#DIV/0!</v>
      </c>
      <c r="M32" s="6" t="e">
        <f t="shared" si="39"/>
        <v>#DIV/0!</v>
      </c>
      <c r="N32" s="6" t="e">
        <f t="shared" si="39"/>
        <v>#DIV/0!</v>
      </c>
      <c r="O32" s="6"/>
      <c r="X32" s="6">
        <f t="shared" ref="X32:AD33" si="40">X18/W18-1</f>
        <v>0.18204115002043886</v>
      </c>
      <c r="Y32" s="6">
        <f t="shared" si="40"/>
        <v>0.48864553314121029</v>
      </c>
      <c r="Z32" s="6">
        <f t="shared" si="40"/>
        <v>0.38656083196530888</v>
      </c>
      <c r="AA32" s="6">
        <f t="shared" si="40"/>
        <v>0.22999999999999998</v>
      </c>
      <c r="AB32" s="6">
        <f t="shared" si="40"/>
        <v>0.22999999999999998</v>
      </c>
      <c r="AC32" s="6">
        <f t="shared" si="40"/>
        <v>0.22999999999999998</v>
      </c>
      <c r="AD32" s="6">
        <f t="shared" si="40"/>
        <v>0.22999999999999998</v>
      </c>
      <c r="AF32" s="28" t="s">
        <v>129</v>
      </c>
      <c r="AG32" s="5">
        <f>AG31/Main!K3</f>
        <v>184.54201551757401</v>
      </c>
    </row>
    <row r="33" spans="1:35" x14ac:dyDescent="0.2">
      <c r="B33" s="17" t="s">
        <v>82</v>
      </c>
      <c r="C33" s="17"/>
      <c r="D33" s="17"/>
      <c r="E33" s="17"/>
      <c r="F33" s="17"/>
      <c r="K33" s="6">
        <f t="shared" si="39"/>
        <v>0.33976833976833976</v>
      </c>
      <c r="L33" s="6" t="e">
        <f t="shared" si="39"/>
        <v>#DIV/0!</v>
      </c>
      <c r="M33" s="6" t="e">
        <f t="shared" si="39"/>
        <v>#DIV/0!</v>
      </c>
      <c r="N33" s="6" t="e">
        <f t="shared" si="39"/>
        <v>#DIV/0!</v>
      </c>
      <c r="O33" s="6"/>
      <c r="X33" s="6">
        <f t="shared" si="40"/>
        <v>8.7704918032786905E-2</v>
      </c>
      <c r="Y33" s="6">
        <f t="shared" si="40"/>
        <v>0.31537302185380556</v>
      </c>
      <c r="Z33" s="6">
        <f t="shared" si="40"/>
        <v>0.30205214551704396</v>
      </c>
      <c r="AA33" s="6">
        <f t="shared" si="40"/>
        <v>0.19999999999999996</v>
      </c>
      <c r="AB33" s="6">
        <f t="shared" si="40"/>
        <v>0.19999999999999996</v>
      </c>
      <c r="AC33" s="6">
        <f t="shared" si="40"/>
        <v>0.19999999999999996</v>
      </c>
      <c r="AD33" s="6">
        <f t="shared" si="40"/>
        <v>0.19999999999999996</v>
      </c>
      <c r="AG33" s="6">
        <f>AG32/Main!K2-1</f>
        <v>8.4263143036831245E-3</v>
      </c>
    </row>
    <row r="35" spans="1:35" s="4" customFormat="1" x14ac:dyDescent="0.2">
      <c r="B35" s="4" t="s">
        <v>19</v>
      </c>
      <c r="C35" s="7" t="e">
        <f t="shared" ref="C35:K35" si="41">C17/C15</f>
        <v>#DIV/0!</v>
      </c>
      <c r="D35" s="7">
        <f t="shared" si="41"/>
        <v>0</v>
      </c>
      <c r="E35" s="7">
        <f t="shared" si="41"/>
        <v>0</v>
      </c>
      <c r="F35" s="7">
        <f t="shared" si="41"/>
        <v>0</v>
      </c>
      <c r="G35" s="7">
        <f t="shared" si="41"/>
        <v>0.78352019659038552</v>
      </c>
      <c r="H35" s="7">
        <f t="shared" si="41"/>
        <v>1</v>
      </c>
      <c r="I35" s="7">
        <f t="shared" si="41"/>
        <v>1</v>
      </c>
      <c r="J35" s="7">
        <f t="shared" si="41"/>
        <v>1</v>
      </c>
      <c r="K35" s="7">
        <f t="shared" si="41"/>
        <v>0.60523807362353044</v>
      </c>
      <c r="L35" s="7">
        <v>0.72</v>
      </c>
      <c r="M35" s="7">
        <v>0.73</v>
      </c>
      <c r="N35" s="7">
        <v>0.75</v>
      </c>
      <c r="O35" s="7"/>
      <c r="U35" s="7">
        <f t="shared" ref="U35:Z35" si="42">U17/U15</f>
        <v>1</v>
      </c>
      <c r="V35" s="7">
        <f t="shared" si="42"/>
        <v>1</v>
      </c>
      <c r="W35" s="7">
        <f t="shared" si="42"/>
        <v>0.56928894490991322</v>
      </c>
      <c r="X35" s="7">
        <f t="shared" si="42"/>
        <v>0.72717573290436954</v>
      </c>
      <c r="Y35" s="7">
        <f t="shared" si="42"/>
        <v>0.74988697058169917</v>
      </c>
      <c r="Z35" s="7">
        <f t="shared" si="42"/>
        <v>0.70617284566140837</v>
      </c>
      <c r="AA35" s="7">
        <v>0.75</v>
      </c>
      <c r="AB35" s="7">
        <v>0.75</v>
      </c>
      <c r="AC35" s="7">
        <v>0.75</v>
      </c>
      <c r="AD35" s="7">
        <v>0.75</v>
      </c>
      <c r="AE35" s="7"/>
      <c r="AF35" s="7"/>
      <c r="AG35" s="7"/>
      <c r="AH35" s="7"/>
      <c r="AI35" s="7"/>
    </row>
    <row r="36" spans="1:35" x14ac:dyDescent="0.2">
      <c r="A36" s="4"/>
      <c r="B36" s="2" t="s">
        <v>33</v>
      </c>
      <c r="C36" s="6" t="e">
        <f t="shared" ref="C36:N36" si="43">C21/C15</f>
        <v>#DIV/0!</v>
      </c>
      <c r="D36" s="6">
        <f t="shared" si="43"/>
        <v>0</v>
      </c>
      <c r="E36" s="6">
        <f t="shared" si="43"/>
        <v>0</v>
      </c>
      <c r="F36" s="6">
        <f t="shared" si="43"/>
        <v>0</v>
      </c>
      <c r="G36" s="6">
        <f t="shared" si="43"/>
        <v>0.64924742743050223</v>
      </c>
      <c r="H36" s="6">
        <f t="shared" si="43"/>
        <v>1</v>
      </c>
      <c r="I36" s="6">
        <f t="shared" si="43"/>
        <v>1</v>
      </c>
      <c r="J36" s="6">
        <f t="shared" si="43"/>
        <v>1</v>
      </c>
      <c r="K36" s="6">
        <f t="shared" si="43"/>
        <v>0.49108074985248057</v>
      </c>
      <c r="L36" s="6">
        <f t="shared" si="43"/>
        <v>0.59349866666666662</v>
      </c>
      <c r="M36" s="6">
        <f t="shared" si="43"/>
        <v>0.62065138983050838</v>
      </c>
      <c r="N36" s="6">
        <f t="shared" si="43"/>
        <v>0.64860401602465334</v>
      </c>
      <c r="O36" s="6"/>
      <c r="U36" s="6"/>
      <c r="V36" s="6"/>
      <c r="W36" s="6">
        <f t="shared" ref="W36:AD36" si="44">W21/W15</f>
        <v>0.20675465262845702</v>
      </c>
      <c r="X36" s="6">
        <f t="shared" si="44"/>
        <v>0.54121663766783756</v>
      </c>
      <c r="Y36" s="6">
        <f t="shared" si="44"/>
        <v>0.62417526839697468</v>
      </c>
      <c r="Z36" s="6">
        <f t="shared" si="44"/>
        <v>0.59423543354007535</v>
      </c>
      <c r="AA36" s="6">
        <f t="shared" si="44"/>
        <v>0.6521406130384243</v>
      </c>
      <c r="AB36" s="6">
        <f t="shared" si="44"/>
        <v>0.6644397886978608</v>
      </c>
      <c r="AC36" s="6">
        <f t="shared" si="44"/>
        <v>0.67518602872724898</v>
      </c>
      <c r="AD36" s="6">
        <f t="shared" si="44"/>
        <v>0.68457639878166276</v>
      </c>
      <c r="AE36" s="6"/>
      <c r="AF36" s="6"/>
      <c r="AG36" s="6"/>
      <c r="AH36" s="6"/>
      <c r="AI36" s="6"/>
    </row>
    <row r="38" spans="1:35" x14ac:dyDescent="0.2">
      <c r="B38" s="2" t="s">
        <v>21</v>
      </c>
      <c r="C38" s="2">
        <f t="shared" ref="C38:K38" si="45">C39-C53</f>
        <v>0</v>
      </c>
      <c r="D38" s="2">
        <f t="shared" si="45"/>
        <v>0</v>
      </c>
      <c r="E38" s="2">
        <f t="shared" si="45"/>
        <v>0</v>
      </c>
      <c r="F38" s="2">
        <f t="shared" si="45"/>
        <v>0</v>
      </c>
      <c r="G38" s="2">
        <f t="shared" si="45"/>
        <v>44747</v>
      </c>
      <c r="H38" s="2">
        <f t="shared" si="45"/>
        <v>0</v>
      </c>
      <c r="I38" s="2">
        <f t="shared" si="45"/>
        <v>0</v>
      </c>
      <c r="J38" s="2">
        <f t="shared" si="45"/>
        <v>0</v>
      </c>
      <c r="K38" s="2">
        <f t="shared" si="45"/>
        <v>45227</v>
      </c>
      <c r="L38" s="2">
        <f>K38+L26</f>
        <v>67716.535124999995</v>
      </c>
      <c r="M38" s="2">
        <f>L38+M26</f>
        <v>94685.624020256248</v>
      </c>
      <c r="N38" s="2">
        <f>M38+N26</f>
        <v>125755.91886409829</v>
      </c>
      <c r="Y38" s="2">
        <f>Y39-Y53</f>
        <v>30502</v>
      </c>
      <c r="Z38" s="2">
        <f>N38</f>
        <v>125755.91886409829</v>
      </c>
      <c r="AA38" s="2">
        <f>Z38+AA22</f>
        <v>128271.03724138025</v>
      </c>
      <c r="AB38" s="2">
        <f>AA38+AB22</f>
        <v>130836.45798620785</v>
      </c>
      <c r="AC38" s="2">
        <f>AB38+AC22</f>
        <v>133453.18714593202</v>
      </c>
      <c r="AD38" s="2">
        <f>AC38+AD22</f>
        <v>136122.25088885066</v>
      </c>
    </row>
    <row r="39" spans="1:35" x14ac:dyDescent="0.2">
      <c r="B39" s="2" t="s">
        <v>3</v>
      </c>
      <c r="G39" s="2">
        <v>53210</v>
      </c>
      <c r="K39" s="2">
        <v>53691</v>
      </c>
      <c r="Y39" s="2">
        <f>8589+34621</f>
        <v>43210</v>
      </c>
    </row>
    <row r="40" spans="1:35" x14ac:dyDescent="0.2">
      <c r="B40" s="28" t="s">
        <v>130</v>
      </c>
      <c r="G40" s="2">
        <v>23065</v>
      </c>
      <c r="K40" s="2">
        <v>22132</v>
      </c>
    </row>
    <row r="41" spans="1:35" x14ac:dyDescent="0.2">
      <c r="B41" s="2" t="s">
        <v>58</v>
      </c>
      <c r="G41" s="2">
        <v>10080</v>
      </c>
      <c r="K41" s="2">
        <v>11333</v>
      </c>
    </row>
    <row r="42" spans="1:35" x14ac:dyDescent="0.2">
      <c r="B42" s="23" t="s">
        <v>69</v>
      </c>
      <c r="C42" s="23"/>
      <c r="D42" s="23"/>
      <c r="E42" s="23"/>
      <c r="F42" s="23"/>
      <c r="G42" s="2">
        <v>3771</v>
      </c>
      <c r="K42" s="2">
        <v>2779</v>
      </c>
    </row>
    <row r="43" spans="1:35" x14ac:dyDescent="0.2">
      <c r="B43" s="23" t="s">
        <v>71</v>
      </c>
      <c r="C43" s="23"/>
      <c r="D43" s="23"/>
      <c r="E43" s="23"/>
      <c r="F43" s="23"/>
      <c r="G43" s="2">
        <v>6283</v>
      </c>
      <c r="K43" s="2">
        <v>7136</v>
      </c>
    </row>
    <row r="44" spans="1:35" x14ac:dyDescent="0.2">
      <c r="B44" s="23" t="s">
        <v>93</v>
      </c>
      <c r="C44" s="23"/>
      <c r="D44" s="23"/>
      <c r="E44" s="23"/>
      <c r="F44" s="23"/>
      <c r="G44" s="2">
        <v>1793</v>
      </c>
      <c r="K44" s="2">
        <v>1810</v>
      </c>
    </row>
    <row r="45" spans="1:35" x14ac:dyDescent="0.2">
      <c r="B45" s="23" t="s">
        <v>94</v>
      </c>
      <c r="C45" s="23"/>
      <c r="D45" s="23"/>
      <c r="E45" s="23"/>
      <c r="F45" s="23"/>
      <c r="G45" s="2">
        <v>5188</v>
      </c>
      <c r="K45" s="2">
        <v>5498</v>
      </c>
    </row>
    <row r="46" spans="1:35" x14ac:dyDescent="0.2">
      <c r="B46" s="23" t="s">
        <v>95</v>
      </c>
      <c r="C46" s="23"/>
      <c r="D46" s="23"/>
      <c r="E46" s="23"/>
      <c r="F46" s="23"/>
      <c r="G46" s="2">
        <v>807</v>
      </c>
      <c r="K46" s="2">
        <v>769</v>
      </c>
    </row>
    <row r="47" spans="1:35" x14ac:dyDescent="0.2">
      <c r="B47" s="23" t="s">
        <v>67</v>
      </c>
      <c r="C47" s="23"/>
      <c r="D47" s="23"/>
      <c r="E47" s="23"/>
      <c r="F47" s="23"/>
      <c r="G47" s="2">
        <v>10979</v>
      </c>
      <c r="K47" s="2">
        <v>13318</v>
      </c>
    </row>
    <row r="48" spans="1:35" x14ac:dyDescent="0.2">
      <c r="B48" s="23" t="s">
        <v>96</v>
      </c>
      <c r="C48" s="23"/>
      <c r="D48" s="23"/>
      <c r="E48" s="23"/>
      <c r="F48" s="23"/>
      <c r="G48" s="2">
        <v>6425</v>
      </c>
      <c r="K48" s="2">
        <v>6788</v>
      </c>
    </row>
    <row r="49" spans="1:35" x14ac:dyDescent="0.2">
      <c r="B49" s="23" t="s">
        <v>63</v>
      </c>
      <c r="C49" s="23"/>
      <c r="D49" s="23"/>
      <c r="E49" s="23"/>
      <c r="F49" s="23"/>
      <c r="G49" s="2">
        <f>SUM(G39:G48)</f>
        <v>121601</v>
      </c>
      <c r="K49" s="2">
        <f>SUM(K39:K48)</f>
        <v>125254</v>
      </c>
    </row>
    <row r="51" spans="1:35" x14ac:dyDescent="0.2">
      <c r="B51" s="2" t="s">
        <v>23</v>
      </c>
      <c r="G51" s="2">
        <v>6310</v>
      </c>
      <c r="K51" s="2">
        <v>7331</v>
      </c>
    </row>
    <row r="52" spans="1:35" x14ac:dyDescent="0.2">
      <c r="B52" s="23" t="s">
        <v>97</v>
      </c>
      <c r="C52" s="23"/>
      <c r="D52" s="23"/>
      <c r="E52" s="23"/>
      <c r="F52" s="23"/>
      <c r="G52" s="2">
        <v>11737</v>
      </c>
      <c r="K52" s="2">
        <v>19211</v>
      </c>
    </row>
    <row r="53" spans="1:35" x14ac:dyDescent="0.2">
      <c r="B53" s="2" t="s">
        <v>4</v>
      </c>
      <c r="G53" s="2">
        <v>8463</v>
      </c>
      <c r="K53" s="2">
        <v>8464</v>
      </c>
      <c r="Y53" s="2">
        <f>8463+4245</f>
        <v>12708</v>
      </c>
    </row>
    <row r="54" spans="1:35" x14ac:dyDescent="0.2">
      <c r="B54" s="2" t="s">
        <v>59</v>
      </c>
      <c r="G54" s="2">
        <v>1519</v>
      </c>
      <c r="K54" s="2">
        <v>1521</v>
      </c>
    </row>
    <row r="55" spans="1:35" x14ac:dyDescent="0.2">
      <c r="B55" s="2" t="s">
        <v>60</v>
      </c>
      <c r="G55" s="2">
        <v>4245</v>
      </c>
      <c r="K55" s="2">
        <v>4884</v>
      </c>
    </row>
    <row r="56" spans="1:35" x14ac:dyDescent="0.2">
      <c r="B56" s="23" t="s">
        <v>98</v>
      </c>
      <c r="C56" s="23"/>
      <c r="D56" s="23"/>
      <c r="E56" s="23"/>
      <c r="F56" s="23"/>
      <c r="G56" s="2">
        <f>SUM(G51:G55)</f>
        <v>32274</v>
      </c>
      <c r="K56" s="2">
        <f>SUM(K51:K55)</f>
        <v>41411</v>
      </c>
    </row>
    <row r="57" spans="1:35" x14ac:dyDescent="0.2">
      <c r="B57" s="2" t="s">
        <v>62</v>
      </c>
      <c r="G57" s="2">
        <f>G49-G56</f>
        <v>89327</v>
      </c>
      <c r="K57" s="2">
        <f>K49-K56</f>
        <v>83843</v>
      </c>
    </row>
    <row r="58" spans="1:35" x14ac:dyDescent="0.2">
      <c r="B58" s="2" t="s">
        <v>61</v>
      </c>
      <c r="G58" s="2">
        <f>G57+G56</f>
        <v>121601</v>
      </c>
      <c r="K58" s="2">
        <f>K57+K56</f>
        <v>125254</v>
      </c>
    </row>
    <row r="60" spans="1:35" x14ac:dyDescent="0.2">
      <c r="B60" s="2" t="s">
        <v>28</v>
      </c>
      <c r="G60" s="2">
        <f t="shared" ref="G60" si="46">G26</f>
        <v>14881</v>
      </c>
      <c r="K60" s="2">
        <f t="shared" ref="K60" si="47">K26</f>
        <v>18775</v>
      </c>
      <c r="U60" s="2">
        <f t="shared" ref="U60:AD60" si="48">U26</f>
        <v>10920</v>
      </c>
      <c r="V60" s="2">
        <f t="shared" si="48"/>
        <v>16680</v>
      </c>
      <c r="W60" s="2">
        <f t="shared" si="48"/>
        <v>5721</v>
      </c>
      <c r="X60" s="2">
        <f t="shared" si="48"/>
        <v>29760</v>
      </c>
      <c r="Y60" s="2">
        <f t="shared" si="48"/>
        <v>72880</v>
      </c>
      <c r="Z60" s="2">
        <f t="shared" si="48"/>
        <v>99303.918864098276</v>
      </c>
      <c r="AA60" s="2">
        <f t="shared" si="48"/>
        <v>150365.74662707915</v>
      </c>
      <c r="AB60" s="2">
        <f t="shared" si="48"/>
        <v>213654.29506673809</v>
      </c>
      <c r="AC60" s="2">
        <f t="shared" si="48"/>
        <v>303117.0434090803</v>
      </c>
      <c r="AD60" s="2">
        <f t="shared" si="48"/>
        <v>429419.140751525</v>
      </c>
    </row>
    <row r="61" spans="1:35" x14ac:dyDescent="0.2">
      <c r="B61" s="2" t="s">
        <v>29</v>
      </c>
      <c r="G61" s="2">
        <v>14881</v>
      </c>
      <c r="K61" s="2">
        <v>18775</v>
      </c>
      <c r="W61" s="2">
        <v>4368</v>
      </c>
      <c r="X61" s="2">
        <v>29760</v>
      </c>
      <c r="Y61" s="2">
        <v>72880</v>
      </c>
    </row>
    <row r="62" spans="1:35" x14ac:dyDescent="0.2">
      <c r="B62" s="2" t="s">
        <v>65</v>
      </c>
      <c r="K62" s="2">
        <v>1474</v>
      </c>
      <c r="X62" s="2">
        <v>3549</v>
      </c>
      <c r="Y62" s="2">
        <v>4737</v>
      </c>
      <c r="Z62" s="2">
        <f>Y62*1.2</f>
        <v>5684.4</v>
      </c>
      <c r="AA62" s="2">
        <f t="shared" ref="AA62:AD62" si="49">Z62*1.2</f>
        <v>6821.28</v>
      </c>
      <c r="AB62" s="2">
        <f t="shared" si="49"/>
        <v>8185.5359999999991</v>
      </c>
      <c r="AC62" s="2">
        <f t="shared" si="49"/>
        <v>9822.6431999999986</v>
      </c>
      <c r="AD62" s="2">
        <f t="shared" si="49"/>
        <v>11787.171839999997</v>
      </c>
    </row>
    <row r="63" spans="1:35" s="4" customFormat="1" x14ac:dyDescent="0.2">
      <c r="A63" s="2"/>
      <c r="B63" s="2" t="s">
        <v>66</v>
      </c>
      <c r="C63" s="2"/>
      <c r="D63" s="2"/>
      <c r="E63" s="2"/>
      <c r="F63" s="2"/>
      <c r="K63" s="4">
        <v>611</v>
      </c>
      <c r="X63" s="2">
        <v>1508</v>
      </c>
      <c r="Y63" s="2">
        <v>1864</v>
      </c>
      <c r="Z63" s="2">
        <f>Y63*(1+Z30)</f>
        <v>2864.9410178011753</v>
      </c>
      <c r="AA63" s="2">
        <f>Z63*(1+AA30)</f>
        <v>4010.9174249216453</v>
      </c>
      <c r="AB63" s="2">
        <f>AA63*(1+AB30)</f>
        <v>5615.2843948903028</v>
      </c>
      <c r="AC63" s="2">
        <f>AB63*(1+AC30)</f>
        <v>7861.3981528464237</v>
      </c>
      <c r="AD63" s="2">
        <f>AC63*(1+AD30)</f>
        <v>11005.957413984992</v>
      </c>
      <c r="AE63" s="2"/>
      <c r="AF63" s="2"/>
      <c r="AG63" s="2"/>
      <c r="AH63" s="2"/>
      <c r="AI63" s="2"/>
    </row>
    <row r="64" spans="1:35" x14ac:dyDescent="0.2">
      <c r="B64" s="2" t="s">
        <v>67</v>
      </c>
      <c r="K64" s="2">
        <v>-2177</v>
      </c>
      <c r="X64" s="2">
        <v>-2489</v>
      </c>
      <c r="Y64" s="2">
        <v>-4477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2:30" x14ac:dyDescent="0.2">
      <c r="B65" s="2" t="s">
        <v>68</v>
      </c>
      <c r="K65" s="2">
        <v>175</v>
      </c>
      <c r="X65" s="2">
        <v>-238</v>
      </c>
      <c r="Y65" s="2">
        <v>-1030</v>
      </c>
      <c r="Z65" s="2">
        <v>180</v>
      </c>
      <c r="AA65" s="2">
        <v>0</v>
      </c>
      <c r="AB65" s="2">
        <v>0</v>
      </c>
      <c r="AC65" s="2">
        <v>0</v>
      </c>
      <c r="AD65" s="2">
        <v>0</v>
      </c>
    </row>
    <row r="66" spans="2:30" x14ac:dyDescent="0.2">
      <c r="B66" s="2" t="s">
        <v>12</v>
      </c>
      <c r="K66" s="2">
        <v>-98</v>
      </c>
      <c r="X66" s="2">
        <v>-278</v>
      </c>
      <c r="Y66" s="2">
        <v>-502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</row>
    <row r="67" spans="2:30" x14ac:dyDescent="0.2">
      <c r="B67" s="2" t="s">
        <v>22</v>
      </c>
      <c r="K67" s="2">
        <v>933</v>
      </c>
      <c r="X67" s="2">
        <v>-6172</v>
      </c>
      <c r="Y67" s="2">
        <v>-13063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2:30" x14ac:dyDescent="0.2">
      <c r="B68" s="2" t="s">
        <v>58</v>
      </c>
      <c r="K68" s="2">
        <v>-1258</v>
      </c>
      <c r="X68" s="2">
        <v>-98</v>
      </c>
      <c r="Y68" s="2">
        <v>-4781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2:30" x14ac:dyDescent="0.2">
      <c r="B69" s="2" t="s">
        <v>69</v>
      </c>
      <c r="K69" s="2">
        <v>560</v>
      </c>
      <c r="X69" s="2">
        <v>-1522</v>
      </c>
      <c r="Y69" s="2">
        <v>-395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2:30" x14ac:dyDescent="0.2">
      <c r="B70" s="2" t="s">
        <v>23</v>
      </c>
      <c r="K70" s="2">
        <v>941</v>
      </c>
      <c r="X70" s="2">
        <v>1531</v>
      </c>
      <c r="Y70" s="2">
        <v>3357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2:30" x14ac:dyDescent="0.2">
      <c r="B71" s="2" t="s">
        <v>70</v>
      </c>
      <c r="K71" s="2">
        <v>7128</v>
      </c>
      <c r="X71" s="2">
        <v>2025</v>
      </c>
      <c r="Y71" s="2">
        <v>4278</v>
      </c>
      <c r="Z71" s="2">
        <f>Y71*(1+Z30)</f>
        <v>6575.2240741166461</v>
      </c>
      <c r="AA71" s="2">
        <f>Z71*(1+AA30)</f>
        <v>9205.3137037633041</v>
      </c>
      <c r="AB71" s="2">
        <f>AA71*(1+AB30)</f>
        <v>12887.439185268626</v>
      </c>
      <c r="AC71" s="2">
        <f>AB71*(1+AC30)</f>
        <v>18042.414859376076</v>
      </c>
      <c r="AD71" s="2">
        <f>AC71*(1+AD30)</f>
        <v>25259.380803126507</v>
      </c>
    </row>
    <row r="72" spans="2:30" x14ac:dyDescent="0.2">
      <c r="B72" s="2" t="s">
        <v>60</v>
      </c>
      <c r="K72" s="2">
        <v>350</v>
      </c>
      <c r="X72" s="2">
        <v>514</v>
      </c>
      <c r="Y72" s="2">
        <v>1221</v>
      </c>
      <c r="Z72" s="2">
        <f>Y72*(1+Z30)</f>
        <v>1876.6593255017358</v>
      </c>
      <c r="AA72" s="2">
        <f>Z72*(1+AA30)</f>
        <v>2627.3230557024299</v>
      </c>
      <c r="AB72" s="2">
        <f>AA72*(1+AB30)</f>
        <v>3678.2522779834017</v>
      </c>
      <c r="AC72" s="2">
        <f>AB72*(1+AC30)</f>
        <v>5149.5531891767623</v>
      </c>
      <c r="AD72" s="2">
        <f>AC72*(1+AD30)</f>
        <v>7209.3744648474667</v>
      </c>
    </row>
    <row r="73" spans="2:30" x14ac:dyDescent="0.2">
      <c r="B73" s="23" t="s">
        <v>101</v>
      </c>
      <c r="C73" s="23"/>
      <c r="D73" s="23"/>
      <c r="E73" s="23"/>
      <c r="F73" s="23"/>
      <c r="K73" s="2">
        <f>SUM(K39:K42)-SUM(K51:K52)</f>
        <v>63393</v>
      </c>
    </row>
    <row r="74" spans="2:30" x14ac:dyDescent="0.2">
      <c r="B74" s="2" t="s">
        <v>41</v>
      </c>
      <c r="G74" s="2">
        <f>SUM(G61:G72)</f>
        <v>14881</v>
      </c>
      <c r="K74" s="2">
        <f>SUM(K61:K72)</f>
        <v>27414</v>
      </c>
      <c r="U74" s="2">
        <v>5822</v>
      </c>
      <c r="V74" s="2">
        <v>9108</v>
      </c>
      <c r="W74" s="2">
        <v>5641</v>
      </c>
      <c r="X74" s="2">
        <f>SUM(X61:X72)</f>
        <v>28090</v>
      </c>
      <c r="Y74" s="2">
        <f>SUM(Y61:Y72)</f>
        <v>64089</v>
      </c>
      <c r="Z74" s="2">
        <f>SUM(Z62:Z72,Z60)</f>
        <v>116485.14328151783</v>
      </c>
      <c r="AA74" s="2">
        <f t="shared" ref="AA74:AD74" si="50">SUM(AA62:AA72,AA60)</f>
        <v>173030.58081146653</v>
      </c>
      <c r="AB74" s="2">
        <f t="shared" si="50"/>
        <v>244020.80692488042</v>
      </c>
      <c r="AC74" s="2">
        <f t="shared" si="50"/>
        <v>343993.05281047954</v>
      </c>
      <c r="AD74" s="2">
        <f t="shared" si="50"/>
        <v>484681.02527348395</v>
      </c>
    </row>
    <row r="76" spans="2:30" x14ac:dyDescent="0.2">
      <c r="B76" s="23" t="s">
        <v>102</v>
      </c>
      <c r="C76" s="23"/>
      <c r="D76" s="23"/>
      <c r="E76" s="23"/>
      <c r="F76" s="23"/>
      <c r="G76" s="2">
        <v>-409</v>
      </c>
      <c r="K76" s="2">
        <v>-1279</v>
      </c>
      <c r="U76" s="2">
        <v>-1155</v>
      </c>
      <c r="V76" s="2">
        <v>-1059</v>
      </c>
      <c r="W76" s="2">
        <v>-1891</v>
      </c>
      <c r="X76" s="2">
        <v>-1069</v>
      </c>
      <c r="Y76" s="2">
        <v>-3236</v>
      </c>
      <c r="Z76" s="2">
        <f>Y76*(1+Z30)</f>
        <v>-4973.6851575131996</v>
      </c>
      <c r="AA76" s="2">
        <f>Z76*(1+AA30)</f>
        <v>-6963.1592205184788</v>
      </c>
      <c r="AB76" s="2">
        <f>AA76*(1+AB30)</f>
        <v>-9748.42290872587</v>
      </c>
      <c r="AC76" s="2">
        <f>AB76*(1+AC30)</f>
        <v>-13647.792072216218</v>
      </c>
      <c r="AD76" s="2">
        <f>AC76*(1+AD30)</f>
        <v>-19106.908901102703</v>
      </c>
    </row>
    <row r="77" spans="2:30" x14ac:dyDescent="0.2">
      <c r="B77" s="23" t="s">
        <v>103</v>
      </c>
      <c r="C77" s="23"/>
      <c r="D77" s="23"/>
      <c r="E77" s="23"/>
      <c r="F77" s="23"/>
      <c r="G77" s="23"/>
      <c r="K77" s="2">
        <f>3122+467-6546-649</f>
        <v>-3606</v>
      </c>
    </row>
    <row r="78" spans="2:30" x14ac:dyDescent="0.2">
      <c r="B78" s="23" t="s">
        <v>108</v>
      </c>
      <c r="C78" s="23"/>
      <c r="D78" s="23"/>
      <c r="E78" s="23"/>
      <c r="F78" s="23"/>
      <c r="G78" s="23"/>
      <c r="K78" s="2">
        <v>-383</v>
      </c>
    </row>
    <row r="79" spans="2:30" x14ac:dyDescent="0.2">
      <c r="B79" s="23" t="s">
        <v>104</v>
      </c>
      <c r="C79" s="23"/>
      <c r="D79" s="23"/>
      <c r="E79" s="23"/>
      <c r="F79" s="23"/>
      <c r="G79" s="2">
        <f>SUM(G76:G78)</f>
        <v>-409</v>
      </c>
      <c r="K79" s="2">
        <f>SUM(K76:K78)</f>
        <v>-5268</v>
      </c>
    </row>
    <row r="81" spans="1:133" x14ac:dyDescent="0.2">
      <c r="B81" s="23" t="s">
        <v>111</v>
      </c>
      <c r="C81" s="23"/>
      <c r="D81" s="23"/>
      <c r="E81" s="23"/>
      <c r="F81" s="23"/>
      <c r="K81" s="2">
        <f>370-1532</f>
        <v>-1162</v>
      </c>
    </row>
    <row r="82" spans="1:133" x14ac:dyDescent="0.2">
      <c r="B82" s="23" t="s">
        <v>109</v>
      </c>
      <c r="C82" s="23"/>
      <c r="D82" s="23"/>
      <c r="E82" s="23"/>
      <c r="F82" s="23"/>
      <c r="K82" s="2">
        <v>-14095</v>
      </c>
    </row>
    <row r="83" spans="1:133" x14ac:dyDescent="0.2">
      <c r="B83" s="23" t="s">
        <v>110</v>
      </c>
      <c r="C83" s="23"/>
      <c r="D83" s="23"/>
      <c r="E83" s="23"/>
      <c r="F83" s="23"/>
      <c r="K83" s="2">
        <v>-244</v>
      </c>
    </row>
    <row r="84" spans="1:133" x14ac:dyDescent="0.2">
      <c r="B84" s="23" t="s">
        <v>12</v>
      </c>
      <c r="C84" s="23"/>
      <c r="D84" s="23"/>
      <c r="E84" s="23"/>
      <c r="F84" s="23"/>
      <c r="K84" s="2">
        <v>-52</v>
      </c>
    </row>
    <row r="85" spans="1:133" x14ac:dyDescent="0.2">
      <c r="B85" s="23" t="s">
        <v>105</v>
      </c>
      <c r="C85" s="23"/>
      <c r="D85" s="23"/>
      <c r="E85" s="23"/>
      <c r="F85" s="23"/>
      <c r="K85" s="2">
        <f>SUM(K81:K84)</f>
        <v>-15553</v>
      </c>
    </row>
    <row r="86" spans="1:133" x14ac:dyDescent="0.2">
      <c r="B86" s="23" t="s">
        <v>106</v>
      </c>
      <c r="C86" s="23"/>
      <c r="D86" s="23"/>
      <c r="E86" s="23"/>
      <c r="F86" s="23"/>
    </row>
    <row r="87" spans="1:133" x14ac:dyDescent="0.2">
      <c r="B87" s="23" t="s">
        <v>107</v>
      </c>
      <c r="C87" s="23"/>
      <c r="D87" s="23"/>
      <c r="E87" s="23"/>
      <c r="F87" s="23"/>
      <c r="G87" s="2">
        <f>G74+G85+G79</f>
        <v>14472</v>
      </c>
      <c r="K87" s="2">
        <f>K74+K85+K79</f>
        <v>6593</v>
      </c>
    </row>
    <row r="89" spans="1:133" s="4" customFormat="1" x14ac:dyDescent="0.2">
      <c r="A89" s="2"/>
      <c r="B89" s="4" t="s">
        <v>42</v>
      </c>
      <c r="G89" s="4">
        <f>G74+G76</f>
        <v>14472</v>
      </c>
      <c r="K89" s="4">
        <f>K74+K76</f>
        <v>26135</v>
      </c>
      <c r="U89" s="4">
        <v>4667</v>
      </c>
      <c r="V89" s="4">
        <v>8049</v>
      </c>
      <c r="W89" s="4">
        <v>3750</v>
      </c>
      <c r="X89" s="4">
        <f t="shared" ref="X89:AD89" si="51">X74+X76</f>
        <v>27021</v>
      </c>
      <c r="Y89" s="4">
        <f t="shared" si="51"/>
        <v>60853</v>
      </c>
      <c r="Z89" s="4">
        <f t="shared" si="51"/>
        <v>111511.45812400462</v>
      </c>
      <c r="AA89" s="4">
        <f t="shared" si="51"/>
        <v>166067.42159094804</v>
      </c>
      <c r="AB89" s="4">
        <f t="shared" si="51"/>
        <v>234272.38401615457</v>
      </c>
      <c r="AC89" s="4">
        <f t="shared" si="51"/>
        <v>330345.26073826331</v>
      </c>
      <c r="AD89" s="4">
        <f t="shared" si="51"/>
        <v>465574.11637238122</v>
      </c>
      <c r="AE89" s="4">
        <f t="shared" ref="AE89:BJ89" si="52">AD89*(1+$AG$29)</f>
        <v>470229.85753610503</v>
      </c>
      <c r="AF89" s="4">
        <f t="shared" si="52"/>
        <v>474932.15611146606</v>
      </c>
      <c r="AG89" s="4">
        <f t="shared" si="52"/>
        <v>479681.47767258075</v>
      </c>
      <c r="AH89" s="4">
        <f t="shared" si="52"/>
        <v>484478.29244930658</v>
      </c>
      <c r="AI89" s="4">
        <f t="shared" si="52"/>
        <v>489323.07537379966</v>
      </c>
      <c r="AJ89" s="4">
        <f t="shared" si="52"/>
        <v>494216.30612753768</v>
      </c>
      <c r="AK89" s="4">
        <f t="shared" si="52"/>
        <v>499158.46918881306</v>
      </c>
      <c r="AL89" s="4">
        <f t="shared" si="52"/>
        <v>504150.05388070119</v>
      </c>
      <c r="AM89" s="4">
        <f t="shared" si="52"/>
        <v>509191.5544195082</v>
      </c>
      <c r="AN89" s="4">
        <f t="shared" si="52"/>
        <v>514283.4699637033</v>
      </c>
      <c r="AO89" s="4">
        <f t="shared" si="52"/>
        <v>519426.30466334033</v>
      </c>
      <c r="AP89" s="4">
        <f t="shared" si="52"/>
        <v>524620.56770997378</v>
      </c>
      <c r="AQ89" s="4">
        <f t="shared" si="52"/>
        <v>529866.77338707354</v>
      </c>
      <c r="AR89" s="4">
        <f t="shared" si="52"/>
        <v>535165.44112094434</v>
      </c>
      <c r="AS89" s="4">
        <f t="shared" si="52"/>
        <v>540517.09553215373</v>
      </c>
      <c r="AT89" s="4">
        <f t="shared" si="52"/>
        <v>545922.26648747525</v>
      </c>
      <c r="AU89" s="4">
        <f t="shared" si="52"/>
        <v>551381.48915235</v>
      </c>
      <c r="AV89" s="4">
        <f t="shared" si="52"/>
        <v>556895.30404387345</v>
      </c>
      <c r="AW89" s="4">
        <f t="shared" si="52"/>
        <v>562464.25708431215</v>
      </c>
      <c r="AX89" s="4">
        <f t="shared" si="52"/>
        <v>568088.89965515526</v>
      </c>
      <c r="AY89" s="4">
        <f t="shared" si="52"/>
        <v>573769.78865170677</v>
      </c>
      <c r="AZ89" s="4">
        <f t="shared" si="52"/>
        <v>579507.48653822381</v>
      </c>
      <c r="BA89" s="4">
        <f t="shared" si="52"/>
        <v>585302.56140360609</v>
      </c>
      <c r="BB89" s="4">
        <f t="shared" si="52"/>
        <v>591155.5870176421</v>
      </c>
      <c r="BC89" s="4">
        <f t="shared" si="52"/>
        <v>597067.14288781851</v>
      </c>
      <c r="BD89" s="4">
        <f t="shared" si="52"/>
        <v>603037.81431669672</v>
      </c>
      <c r="BE89" s="4">
        <f t="shared" si="52"/>
        <v>609068.19245986373</v>
      </c>
      <c r="BF89" s="4">
        <f t="shared" si="52"/>
        <v>615158.87438446237</v>
      </c>
      <c r="BG89" s="4">
        <f t="shared" si="52"/>
        <v>621310.46312830702</v>
      </c>
      <c r="BH89" s="4">
        <f t="shared" si="52"/>
        <v>627523.56775959011</v>
      </c>
      <c r="BI89" s="4">
        <f t="shared" si="52"/>
        <v>633798.80343718606</v>
      </c>
      <c r="BJ89" s="4">
        <f t="shared" si="52"/>
        <v>640136.79147155792</v>
      </c>
      <c r="BK89" s="4">
        <f t="shared" ref="BK89:CP89" si="53">BJ89*(1+$AG$29)</f>
        <v>646538.15938627347</v>
      </c>
      <c r="BL89" s="4">
        <f t="shared" si="53"/>
        <v>653003.54098013625</v>
      </c>
      <c r="BM89" s="4">
        <f t="shared" si="53"/>
        <v>659533.57638993766</v>
      </c>
      <c r="BN89" s="4">
        <f t="shared" si="53"/>
        <v>666128.91215383704</v>
      </c>
      <c r="BO89" s="4">
        <f t="shared" si="53"/>
        <v>672790.20127537544</v>
      </c>
      <c r="BP89" s="4">
        <f t="shared" si="53"/>
        <v>679518.1032881292</v>
      </c>
      <c r="BQ89" s="4">
        <f t="shared" si="53"/>
        <v>686313.28432101046</v>
      </c>
      <c r="BR89" s="4">
        <f t="shared" si="53"/>
        <v>693176.41716422059</v>
      </c>
      <c r="BS89" s="4">
        <f t="shared" si="53"/>
        <v>700108.18133586284</v>
      </c>
      <c r="BT89" s="4">
        <f t="shared" si="53"/>
        <v>707109.26314922143</v>
      </c>
      <c r="BU89" s="4">
        <f t="shared" si="53"/>
        <v>714180.35578071361</v>
      </c>
      <c r="BV89" s="4">
        <f t="shared" si="53"/>
        <v>721322.15933852072</v>
      </c>
      <c r="BW89" s="4">
        <f t="shared" si="53"/>
        <v>728535.38093190594</v>
      </c>
      <c r="BX89" s="4">
        <f t="shared" si="53"/>
        <v>735820.73474122502</v>
      </c>
      <c r="BY89" s="4">
        <f t="shared" si="53"/>
        <v>743178.94208863727</v>
      </c>
      <c r="BZ89" s="4">
        <f t="shared" si="53"/>
        <v>750610.7315095237</v>
      </c>
      <c r="CA89" s="4">
        <f t="shared" si="53"/>
        <v>758116.83882461896</v>
      </c>
      <c r="CB89" s="4">
        <f t="shared" si="53"/>
        <v>765698.00721286517</v>
      </c>
      <c r="CC89" s="4">
        <f t="shared" si="53"/>
        <v>773354.98728499387</v>
      </c>
      <c r="CD89" s="4">
        <f t="shared" si="53"/>
        <v>781088.53715784382</v>
      </c>
      <c r="CE89" s="4">
        <f t="shared" si="53"/>
        <v>788899.42252942221</v>
      </c>
      <c r="CF89" s="4">
        <f t="shared" si="53"/>
        <v>796788.41675471643</v>
      </c>
      <c r="CG89" s="4">
        <f t="shared" si="53"/>
        <v>804756.30092226365</v>
      </c>
      <c r="CH89" s="4">
        <f t="shared" si="53"/>
        <v>812803.86393148627</v>
      </c>
      <c r="CI89" s="4">
        <f t="shared" si="53"/>
        <v>820931.90257080109</v>
      </c>
      <c r="CJ89" s="4">
        <f t="shared" si="53"/>
        <v>829141.2215965091</v>
      </c>
      <c r="CK89" s="4">
        <f t="shared" si="53"/>
        <v>837432.6338124742</v>
      </c>
      <c r="CL89" s="4">
        <f t="shared" si="53"/>
        <v>845806.9601505989</v>
      </c>
      <c r="CM89" s="4">
        <f t="shared" si="53"/>
        <v>854265.02975210489</v>
      </c>
      <c r="CN89" s="4">
        <f t="shared" si="53"/>
        <v>862807.68004962592</v>
      </c>
      <c r="CO89" s="4">
        <f t="shared" si="53"/>
        <v>871435.75685012224</v>
      </c>
      <c r="CP89" s="4">
        <f t="shared" si="53"/>
        <v>880150.1144186235</v>
      </c>
      <c r="CQ89" s="4">
        <f t="shared" ref="CQ89:DV89" si="54">CP89*(1+$AG$29)</f>
        <v>888951.61556280975</v>
      </c>
      <c r="CR89" s="4">
        <f t="shared" si="54"/>
        <v>897841.13171843789</v>
      </c>
      <c r="CS89" s="4">
        <f t="shared" si="54"/>
        <v>906819.54303562222</v>
      </c>
      <c r="CT89" s="4">
        <f t="shared" si="54"/>
        <v>915887.73846597841</v>
      </c>
      <c r="CU89" s="4">
        <f t="shared" si="54"/>
        <v>925046.61585063825</v>
      </c>
      <c r="CV89" s="4">
        <f t="shared" si="54"/>
        <v>934297.08200914459</v>
      </c>
      <c r="CW89" s="4">
        <f t="shared" si="54"/>
        <v>943640.05282923602</v>
      </c>
      <c r="CX89" s="4">
        <f t="shared" si="54"/>
        <v>953076.45335752843</v>
      </c>
      <c r="CY89" s="4">
        <f t="shared" si="54"/>
        <v>962607.2178911037</v>
      </c>
      <c r="CZ89" s="4">
        <f t="shared" si="54"/>
        <v>972233.29007001477</v>
      </c>
      <c r="DA89" s="4">
        <f t="shared" si="54"/>
        <v>981955.62297071493</v>
      </c>
      <c r="DB89" s="4">
        <f t="shared" si="54"/>
        <v>991775.17920042214</v>
      </c>
      <c r="DC89" s="4">
        <f t="shared" si="54"/>
        <v>1001692.9309924264</v>
      </c>
      <c r="DD89" s="4">
        <f t="shared" si="54"/>
        <v>1011709.8603023506</v>
      </c>
      <c r="DE89" s="4">
        <f t="shared" si="54"/>
        <v>1021826.9589053742</v>
      </c>
      <c r="DF89" s="4">
        <f t="shared" si="54"/>
        <v>1032045.2284944279</v>
      </c>
      <c r="DG89" s="4">
        <f t="shared" si="54"/>
        <v>1042365.6807793721</v>
      </c>
      <c r="DH89" s="4">
        <f t="shared" si="54"/>
        <v>1052789.3375871659</v>
      </c>
      <c r="DI89" s="4">
        <f t="shared" si="54"/>
        <v>1063317.2309630376</v>
      </c>
      <c r="DJ89" s="4">
        <f t="shared" si="54"/>
        <v>1073950.4032726679</v>
      </c>
      <c r="DK89" s="4">
        <f t="shared" si="54"/>
        <v>1084689.9073053945</v>
      </c>
      <c r="DL89" s="4">
        <f t="shared" si="54"/>
        <v>1095536.8063784484</v>
      </c>
      <c r="DM89" s="4">
        <f t="shared" si="54"/>
        <v>1106492.1744422328</v>
      </c>
      <c r="DN89" s="4">
        <f t="shared" si="54"/>
        <v>1117557.0961866551</v>
      </c>
      <c r="DO89" s="4">
        <f t="shared" si="54"/>
        <v>1128732.6671485216</v>
      </c>
      <c r="DP89" s="4">
        <f t="shared" si="54"/>
        <v>1140019.993820007</v>
      </c>
      <c r="DQ89" s="4">
        <f t="shared" si="54"/>
        <v>1151420.1937582071</v>
      </c>
      <c r="DR89" s="4">
        <f t="shared" si="54"/>
        <v>1162934.3956957893</v>
      </c>
      <c r="DS89" s="4">
        <f t="shared" si="54"/>
        <v>1174563.7396527471</v>
      </c>
      <c r="DT89" s="4">
        <f t="shared" si="54"/>
        <v>1186309.3770492745</v>
      </c>
      <c r="DU89" s="4">
        <f t="shared" si="54"/>
        <v>1198172.4708197673</v>
      </c>
      <c r="DV89" s="4">
        <f t="shared" si="54"/>
        <v>1210154.195527965</v>
      </c>
      <c r="DW89" s="4">
        <f t="shared" ref="DW89:EC89" si="55">DV89*(1+$AG$29)</f>
        <v>1222255.7374832446</v>
      </c>
      <c r="DX89" s="4">
        <f t="shared" si="55"/>
        <v>1234478.2948580771</v>
      </c>
      <c r="DY89" s="4">
        <f t="shared" si="55"/>
        <v>1246823.0778066579</v>
      </c>
      <c r="DZ89" s="4">
        <f t="shared" si="55"/>
        <v>1259291.3085847246</v>
      </c>
      <c r="EA89" s="4">
        <f t="shared" si="55"/>
        <v>1271884.2216705717</v>
      </c>
      <c r="EB89" s="4">
        <f t="shared" si="55"/>
        <v>1284603.0638872774</v>
      </c>
      <c r="EC89" s="4">
        <f t="shared" si="55"/>
        <v>1297449.0945261503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2"/>
  <sheetViews>
    <sheetView zoomScaleNormal="100" workbookViewId="0">
      <pane ySplit="2" topLeftCell="A3" activePane="bottomLeft" state="frozen"/>
      <selection pane="bottomLeft" activeCell="D23" sqref="D23"/>
    </sheetView>
  </sheetViews>
  <sheetFormatPr defaultRowHeight="12.75" x14ac:dyDescent="0.2"/>
  <cols>
    <col min="1" max="1" width="5" style="13" bestFit="1" customWidth="1"/>
    <col min="2" max="16384" width="9.140625" style="13"/>
  </cols>
  <sheetData>
    <row r="1" spans="1:5" x14ac:dyDescent="0.2">
      <c r="A1" s="14" t="s">
        <v>34</v>
      </c>
    </row>
    <row r="2" spans="1:5" x14ac:dyDescent="0.2">
      <c r="B2" s="13" t="s">
        <v>76</v>
      </c>
      <c r="C2" s="13" t="s">
        <v>77</v>
      </c>
      <c r="D2" s="13" t="s">
        <v>78</v>
      </c>
      <c r="E2" s="13" t="s">
        <v>79</v>
      </c>
    </row>
  </sheetData>
  <hyperlinks>
    <hyperlink ref="A1" location="Main!A1" display="Main" xr:uid="{4A696BB3-0AB0-4B53-8219-D606EFC149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2025-08-15T22:58:34Z</dcterms:modified>
</cp:coreProperties>
</file>