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0CF7E905-AAF9-4BDC-A5D5-5906A5F00632}" xr6:coauthVersionLast="47" xr6:coauthVersionMax="47" xr10:uidLastSave="{00000000-0000-0000-0000-000000000000}"/>
  <bookViews>
    <workbookView xWindow="-105" yWindow="0" windowWidth="14610" windowHeight="15585" activeTab="1" xr2:uid="{EDEC7EF9-F492-4362-832B-DCA6EE24C50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6" i="2" l="1"/>
  <c r="C86" i="2"/>
  <c r="O86" i="2"/>
  <c r="N86" i="2"/>
  <c r="O87" i="2"/>
  <c r="N87" i="2"/>
  <c r="G87" i="2"/>
  <c r="C87" i="2"/>
  <c r="M129" i="2"/>
  <c r="O129" i="2"/>
  <c r="N129" i="2"/>
  <c r="G129" i="2"/>
  <c r="C129" i="2"/>
  <c r="O105" i="2"/>
  <c r="O108" i="2" s="1"/>
  <c r="N105" i="2"/>
  <c r="N108" i="2" s="1"/>
  <c r="G105" i="2"/>
  <c r="G108" i="2" s="1"/>
  <c r="C105" i="2"/>
  <c r="C108" i="2" s="1"/>
  <c r="S70" i="2"/>
  <c r="U70" i="2" s="1"/>
  <c r="V70" i="2" s="1"/>
  <c r="W70" i="2" s="1"/>
  <c r="X70" i="2" s="1"/>
  <c r="Y70" i="2" s="1"/>
  <c r="P115" i="2"/>
  <c r="Q115" i="2" s="1"/>
  <c r="R115" i="2" s="1"/>
  <c r="S115" i="2" s="1"/>
  <c r="T115" i="2" s="1"/>
  <c r="U115" i="2" s="1"/>
  <c r="V115" i="2" s="1"/>
  <c r="W115" i="2" s="1"/>
  <c r="X115" i="2" s="1"/>
  <c r="Y115" i="2" s="1"/>
  <c r="M127" i="2"/>
  <c r="N127" i="2"/>
  <c r="O127" i="2"/>
  <c r="M130" i="2"/>
  <c r="N130" i="2"/>
  <c r="O130" i="2"/>
  <c r="L127" i="2"/>
  <c r="D127" i="2"/>
  <c r="E127" i="2"/>
  <c r="F127" i="2"/>
  <c r="G127" i="2"/>
  <c r="H127" i="2"/>
  <c r="I127" i="2"/>
  <c r="J127" i="2"/>
  <c r="C127" i="2"/>
  <c r="L130" i="2"/>
  <c r="D130" i="2"/>
  <c r="E130" i="2"/>
  <c r="F130" i="2"/>
  <c r="G130" i="2"/>
  <c r="H130" i="2"/>
  <c r="I130" i="2"/>
  <c r="J130" i="2"/>
  <c r="C130" i="2"/>
  <c r="G16" i="2"/>
  <c r="H33" i="2"/>
  <c r="I33" i="2"/>
  <c r="J33" i="2"/>
  <c r="H34" i="2"/>
  <c r="I34" i="2"/>
  <c r="J34" i="2"/>
  <c r="H35" i="2"/>
  <c r="I35" i="2"/>
  <c r="J35" i="2"/>
  <c r="G35" i="2"/>
  <c r="G34" i="2"/>
  <c r="D23" i="2"/>
  <c r="E23" i="2"/>
  <c r="F23" i="2"/>
  <c r="G23" i="2"/>
  <c r="H23" i="2"/>
  <c r="I23" i="2"/>
  <c r="J23" i="2"/>
  <c r="D24" i="2"/>
  <c r="E24" i="2"/>
  <c r="F24" i="2"/>
  <c r="G24" i="2"/>
  <c r="H24" i="2"/>
  <c r="I24" i="2"/>
  <c r="J24" i="2"/>
  <c r="D25" i="2"/>
  <c r="E25" i="2"/>
  <c r="F25" i="2"/>
  <c r="G25" i="2"/>
  <c r="H25" i="2"/>
  <c r="I25" i="2"/>
  <c r="J25" i="2"/>
  <c r="C25" i="2"/>
  <c r="C24" i="2"/>
  <c r="C16" i="2"/>
  <c r="H6" i="2"/>
  <c r="I6" i="2"/>
  <c r="J6" i="2"/>
  <c r="H10" i="2"/>
  <c r="I10" i="2"/>
  <c r="J10" i="2"/>
  <c r="H14" i="2"/>
  <c r="I14" i="2"/>
  <c r="J14" i="2"/>
  <c r="D10" i="2"/>
  <c r="E10" i="2"/>
  <c r="F10" i="2"/>
  <c r="G10" i="2"/>
  <c r="C10" i="2"/>
  <c r="D14" i="2"/>
  <c r="E14" i="2"/>
  <c r="F14" i="2"/>
  <c r="G14" i="2"/>
  <c r="C14" i="2"/>
  <c r="D6" i="2"/>
  <c r="E6" i="2"/>
  <c r="F6" i="2"/>
  <c r="G6" i="2"/>
  <c r="C3" i="2"/>
  <c r="C6" i="2" s="1"/>
  <c r="C100" i="2"/>
  <c r="G100" i="2"/>
  <c r="M100" i="2"/>
  <c r="N100" i="2"/>
  <c r="O100" i="2"/>
  <c r="M108" i="2"/>
  <c r="L100" i="2"/>
  <c r="D100" i="2"/>
  <c r="E100" i="2"/>
  <c r="F100" i="2"/>
  <c r="L108" i="2"/>
  <c r="D108" i="2"/>
  <c r="E108" i="2"/>
  <c r="F108" i="2"/>
  <c r="K6" i="1"/>
  <c r="K5" i="1"/>
  <c r="P41" i="2"/>
  <c r="Q41" i="2" s="1"/>
  <c r="R41" i="2" s="1"/>
  <c r="S41" i="2" s="1"/>
  <c r="T41" i="2" s="1"/>
  <c r="R69" i="2"/>
  <c r="S69" i="2" s="1"/>
  <c r="T69" i="2" s="1"/>
  <c r="U69" i="2" s="1"/>
  <c r="V69" i="2" s="1"/>
  <c r="W69" i="2" s="1"/>
  <c r="X69" i="2" s="1"/>
  <c r="Y69" i="2" s="1"/>
  <c r="Q43" i="2"/>
  <c r="R43" i="2" s="1"/>
  <c r="S43" i="2" s="1"/>
  <c r="T43" i="2" s="1"/>
  <c r="U43" i="2" s="1"/>
  <c r="V43" i="2" s="1"/>
  <c r="W43" i="2" s="1"/>
  <c r="X43" i="2" s="1"/>
  <c r="Y43" i="2" s="1"/>
  <c r="Q42" i="2"/>
  <c r="R42" i="2" s="1"/>
  <c r="S42" i="2" s="1"/>
  <c r="T42" i="2" s="1"/>
  <c r="U42" i="2" s="1"/>
  <c r="V42" i="2" s="1"/>
  <c r="W42" i="2" s="1"/>
  <c r="P4" i="2"/>
  <c r="Q4" i="2" s="1"/>
  <c r="R4" i="2" s="1"/>
  <c r="S4" i="2" s="1"/>
  <c r="T4" i="2" s="1"/>
  <c r="U4" i="2" s="1"/>
  <c r="V4" i="2" s="1"/>
  <c r="P5" i="2"/>
  <c r="Q5" i="2" s="1"/>
  <c r="R5" i="2" s="1"/>
  <c r="S5" i="2" s="1"/>
  <c r="T5" i="2" s="1"/>
  <c r="U5" i="2" s="1"/>
  <c r="V5" i="2" s="1"/>
  <c r="R44" i="2"/>
  <c r="S44" i="2" s="1"/>
  <c r="T44" i="2" s="1"/>
  <c r="U44" i="2" s="1"/>
  <c r="V44" i="2" s="1"/>
  <c r="W44" i="2" s="1"/>
  <c r="X44" i="2" s="1"/>
  <c r="Y44" i="2" s="1"/>
  <c r="P80" i="2"/>
  <c r="Q80" i="2" s="1"/>
  <c r="R80" i="2" s="1"/>
  <c r="S80" i="2" s="1"/>
  <c r="T80" i="2" s="1"/>
  <c r="U80" i="2" s="1"/>
  <c r="V80" i="2" s="1"/>
  <c r="W80" i="2" s="1"/>
  <c r="X80" i="2" s="1"/>
  <c r="Y80" i="2" s="1"/>
  <c r="P81" i="2"/>
  <c r="Q81" i="2" s="1"/>
  <c r="R81" i="2" s="1"/>
  <c r="S81" i="2" s="1"/>
  <c r="T81" i="2" s="1"/>
  <c r="U81" i="2" s="1"/>
  <c r="V81" i="2" s="1"/>
  <c r="W81" i="2" s="1"/>
  <c r="X81" i="2" s="1"/>
  <c r="Y81" i="2" s="1"/>
  <c r="Q66" i="2"/>
  <c r="R66" i="2" s="1"/>
  <c r="S66" i="2" s="1"/>
  <c r="T66" i="2" s="1"/>
  <c r="U66" i="2" s="1"/>
  <c r="V66" i="2" s="1"/>
  <c r="W66" i="2" s="1"/>
  <c r="X66" i="2" s="1"/>
  <c r="Y66" i="2" s="1"/>
  <c r="Q49" i="2"/>
  <c r="R49" i="2" s="1"/>
  <c r="S49" i="2" s="1"/>
  <c r="T49" i="2" s="1"/>
  <c r="U49" i="2" s="1"/>
  <c r="V49" i="2" s="1"/>
  <c r="W49" i="2" s="1"/>
  <c r="X49" i="2" s="1"/>
  <c r="Y49" i="2" s="1"/>
  <c r="Q48" i="2"/>
  <c r="R48" i="2" s="1"/>
  <c r="S48" i="2" s="1"/>
  <c r="T48" i="2" s="1"/>
  <c r="U48" i="2" s="1"/>
  <c r="V48" i="2" s="1"/>
  <c r="W48" i="2" s="1"/>
  <c r="X48" i="2" s="1"/>
  <c r="Y48" i="2" s="1"/>
  <c r="Q47" i="2"/>
  <c r="R47" i="2" s="1"/>
  <c r="S47" i="2" s="1"/>
  <c r="T47" i="2" s="1"/>
  <c r="U47" i="2" s="1"/>
  <c r="V47" i="2" s="1"/>
  <c r="W47" i="2" s="1"/>
  <c r="X47" i="2" s="1"/>
  <c r="Y47" i="2" s="1"/>
  <c r="Q71" i="2"/>
  <c r="Q74" i="2" s="1"/>
  <c r="P72" i="2"/>
  <c r="Q65" i="2"/>
  <c r="R65" i="2" s="1"/>
  <c r="S65" i="2" s="1"/>
  <c r="T65" i="2" s="1"/>
  <c r="U65" i="2" s="1"/>
  <c r="V65" i="2" s="1"/>
  <c r="W65" i="2" s="1"/>
  <c r="X65" i="2" s="1"/>
  <c r="Y65" i="2" s="1"/>
  <c r="O79" i="2"/>
  <c r="O82" i="2" s="1"/>
  <c r="P54" i="2"/>
  <c r="P56" i="2"/>
  <c r="P55" i="2"/>
  <c r="M45" i="2"/>
  <c r="M51" i="2" s="1"/>
  <c r="N45" i="2"/>
  <c r="N51" i="2" s="1"/>
  <c r="O45" i="2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L45" i="2"/>
  <c r="L51" i="2" s="1"/>
  <c r="F50" i="2"/>
  <c r="P77" i="2"/>
  <c r="Q77" i="2" s="1"/>
  <c r="Q75" i="2"/>
  <c r="P74" i="2"/>
  <c r="L7" i="2"/>
  <c r="L10" i="2" s="1"/>
  <c r="M35" i="2"/>
  <c r="M34" i="2"/>
  <c r="M33" i="2"/>
  <c r="L24" i="2"/>
  <c r="L25" i="2"/>
  <c r="L14" i="2"/>
  <c r="L6" i="2"/>
  <c r="O16" i="2"/>
  <c r="N16" i="2"/>
  <c r="M16" i="2"/>
  <c r="N14" i="2"/>
  <c r="O14" i="2"/>
  <c r="M14" i="2"/>
  <c r="M25" i="2"/>
  <c r="N25" i="2"/>
  <c r="N24" i="2"/>
  <c r="M24" i="2"/>
  <c r="M23" i="2"/>
  <c r="N23" i="2"/>
  <c r="O34" i="2"/>
  <c r="O35" i="2"/>
  <c r="N35" i="2"/>
  <c r="N34" i="2"/>
  <c r="N33" i="2"/>
  <c r="O33" i="2"/>
  <c r="O25" i="2"/>
  <c r="O24" i="2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N10" i="2"/>
  <c r="M10" i="2"/>
  <c r="M6" i="2"/>
  <c r="N6" i="2"/>
  <c r="O6" i="2"/>
  <c r="K4" i="1"/>
  <c r="C45" i="2"/>
  <c r="N2" i="2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K7" i="1" l="1"/>
  <c r="C109" i="2"/>
  <c r="C110" i="2" s="1"/>
  <c r="D131" i="2"/>
  <c r="H11" i="2"/>
  <c r="H15" i="2" s="1"/>
  <c r="W54" i="2"/>
  <c r="U41" i="2"/>
  <c r="V41" i="2" s="1"/>
  <c r="W41" i="2" s="1"/>
  <c r="X41" i="2" s="1"/>
  <c r="Y41" i="2" s="1"/>
  <c r="V9" i="2"/>
  <c r="V35" i="2"/>
  <c r="W5" i="2"/>
  <c r="V55" i="2"/>
  <c r="V8" i="2"/>
  <c r="V34" i="2"/>
  <c r="W4" i="2"/>
  <c r="V75" i="2"/>
  <c r="L131" i="2"/>
  <c r="W45" i="2"/>
  <c r="W3" i="2" s="1"/>
  <c r="W60" i="2"/>
  <c r="Y56" i="2"/>
  <c r="X56" i="2"/>
  <c r="V56" i="2"/>
  <c r="W56" i="2"/>
  <c r="X42" i="2"/>
  <c r="V54" i="2"/>
  <c r="F31" i="2"/>
  <c r="I11" i="2"/>
  <c r="I15" i="2" s="1"/>
  <c r="H131" i="2"/>
  <c r="N131" i="2"/>
  <c r="E131" i="2"/>
  <c r="M131" i="2"/>
  <c r="E31" i="2"/>
  <c r="C131" i="2"/>
  <c r="J131" i="2"/>
  <c r="I131" i="2"/>
  <c r="D31" i="2"/>
  <c r="G131" i="2"/>
  <c r="I31" i="2"/>
  <c r="F131" i="2"/>
  <c r="G33" i="2"/>
  <c r="J11" i="2"/>
  <c r="J15" i="2" s="1"/>
  <c r="J17" i="2" s="1"/>
  <c r="H27" i="2"/>
  <c r="O131" i="2"/>
  <c r="O109" i="2"/>
  <c r="O110" i="2" s="1"/>
  <c r="G27" i="2"/>
  <c r="H31" i="2"/>
  <c r="G31" i="2"/>
  <c r="J27" i="2"/>
  <c r="G30" i="2"/>
  <c r="I27" i="2"/>
  <c r="F11" i="2"/>
  <c r="F15" i="2" s="1"/>
  <c r="H30" i="2"/>
  <c r="C23" i="2"/>
  <c r="F27" i="2"/>
  <c r="I30" i="2"/>
  <c r="E11" i="2"/>
  <c r="E15" i="2" s="1"/>
  <c r="E27" i="2"/>
  <c r="D11" i="2"/>
  <c r="D15" i="2" s="1"/>
  <c r="J31" i="2"/>
  <c r="D27" i="2"/>
  <c r="C11" i="2"/>
  <c r="C15" i="2" s="1"/>
  <c r="J30" i="2"/>
  <c r="G109" i="2"/>
  <c r="G110" i="2" s="1"/>
  <c r="C27" i="2"/>
  <c r="G11" i="2"/>
  <c r="G15" i="2" s="1"/>
  <c r="N109" i="2"/>
  <c r="N110" i="2" s="1"/>
  <c r="M109" i="2"/>
  <c r="M110" i="2" s="1"/>
  <c r="D109" i="2"/>
  <c r="D110" i="2" s="1"/>
  <c r="F109" i="2"/>
  <c r="F110" i="2" s="1"/>
  <c r="E109" i="2"/>
  <c r="E110" i="2" s="1"/>
  <c r="L109" i="2"/>
  <c r="L110" i="2" s="1"/>
  <c r="P16" i="2"/>
  <c r="L23" i="2"/>
  <c r="P45" i="2"/>
  <c r="P3" i="2" s="1"/>
  <c r="Q72" i="2"/>
  <c r="R71" i="2"/>
  <c r="R72" i="2" s="1"/>
  <c r="P60" i="2"/>
  <c r="T34" i="2"/>
  <c r="N30" i="2"/>
  <c r="O84" i="2"/>
  <c r="O30" i="2"/>
  <c r="T35" i="2"/>
  <c r="U54" i="2"/>
  <c r="Q50" i="2"/>
  <c r="Q61" i="2" s="1"/>
  <c r="P50" i="2"/>
  <c r="Q79" i="2"/>
  <c r="P79" i="2"/>
  <c r="Q55" i="2"/>
  <c r="M30" i="2"/>
  <c r="T54" i="2"/>
  <c r="Q60" i="2"/>
  <c r="P34" i="2"/>
  <c r="Q54" i="2"/>
  <c r="Q45" i="2"/>
  <c r="Q3" i="2" s="1"/>
  <c r="R56" i="2"/>
  <c r="Q56" i="2"/>
  <c r="R54" i="2"/>
  <c r="R75" i="2"/>
  <c r="R77" i="2"/>
  <c r="S77" i="2" s="1"/>
  <c r="P35" i="2"/>
  <c r="L11" i="2"/>
  <c r="L15" i="2" s="1"/>
  <c r="L27" i="2"/>
  <c r="N27" i="2"/>
  <c r="M27" i="2"/>
  <c r="N11" i="2"/>
  <c r="N15" i="2" s="1"/>
  <c r="M11" i="2"/>
  <c r="M15" i="2" s="1"/>
  <c r="P8" i="2"/>
  <c r="P9" i="2"/>
  <c r="Q9" i="2"/>
  <c r="Q35" i="2"/>
  <c r="V50" i="2" l="1"/>
  <c r="V61" i="2" s="1"/>
  <c r="W50" i="2"/>
  <c r="W61" i="2" s="1"/>
  <c r="H17" i="2"/>
  <c r="H19" i="2" s="1"/>
  <c r="H28" i="2"/>
  <c r="V60" i="2"/>
  <c r="V45" i="2"/>
  <c r="V3" i="2" s="1"/>
  <c r="V6" i="2" s="1"/>
  <c r="V62" i="2"/>
  <c r="V63" i="2" s="1"/>
  <c r="I17" i="2"/>
  <c r="I19" i="2" s="1"/>
  <c r="I28" i="2"/>
  <c r="W75" i="2"/>
  <c r="W55" i="2"/>
  <c r="X60" i="2"/>
  <c r="X4" i="2"/>
  <c r="W8" i="2"/>
  <c r="W34" i="2"/>
  <c r="W9" i="2"/>
  <c r="W35" i="2"/>
  <c r="X5" i="2"/>
  <c r="W62" i="2"/>
  <c r="W63" i="2" s="1"/>
  <c r="X45" i="2"/>
  <c r="X3" i="2" s="1"/>
  <c r="W6" i="2"/>
  <c r="X54" i="2"/>
  <c r="Y42" i="2"/>
  <c r="X50" i="2"/>
  <c r="X61" i="2" s="1"/>
  <c r="J28" i="2"/>
  <c r="C17" i="2"/>
  <c r="C28" i="2"/>
  <c r="F17" i="2"/>
  <c r="F28" i="2"/>
  <c r="G17" i="2"/>
  <c r="G28" i="2"/>
  <c r="E17" i="2"/>
  <c r="E28" i="2"/>
  <c r="J19" i="2"/>
  <c r="D17" i="2"/>
  <c r="D28" i="2"/>
  <c r="R55" i="2"/>
  <c r="R74" i="2"/>
  <c r="S71" i="2"/>
  <c r="P61" i="2"/>
  <c r="P62" i="2" s="1"/>
  <c r="P63" i="2" s="1"/>
  <c r="P82" i="2"/>
  <c r="P84" i="2" s="1"/>
  <c r="S72" i="2"/>
  <c r="T77" i="2"/>
  <c r="U60" i="2"/>
  <c r="S55" i="2"/>
  <c r="N17" i="2"/>
  <c r="N28" i="2"/>
  <c r="T55" i="2"/>
  <c r="U34" i="2"/>
  <c r="U8" i="2"/>
  <c r="Q82" i="2"/>
  <c r="Q84" i="2" s="1"/>
  <c r="R79" i="2"/>
  <c r="S50" i="2"/>
  <c r="S61" i="2" s="1"/>
  <c r="L17" i="2"/>
  <c r="L28" i="2"/>
  <c r="U45" i="2"/>
  <c r="U3" i="2" s="1"/>
  <c r="V33" i="2" s="1"/>
  <c r="M17" i="2"/>
  <c r="M28" i="2"/>
  <c r="T56" i="2"/>
  <c r="U50" i="2"/>
  <c r="R50" i="2"/>
  <c r="R61" i="2" s="1"/>
  <c r="T50" i="2"/>
  <c r="T61" i="2" s="1"/>
  <c r="U35" i="2"/>
  <c r="U9" i="2"/>
  <c r="Q62" i="2"/>
  <c r="Q63" i="2" s="1"/>
  <c r="S56" i="2"/>
  <c r="R60" i="2"/>
  <c r="P46" i="2"/>
  <c r="Q8" i="2"/>
  <c r="Q34" i="2"/>
  <c r="R34" i="2"/>
  <c r="S54" i="2"/>
  <c r="S60" i="2"/>
  <c r="S45" i="2"/>
  <c r="S3" i="2" s="1"/>
  <c r="R45" i="2"/>
  <c r="R3" i="2" s="1"/>
  <c r="T60" i="2"/>
  <c r="S75" i="2"/>
  <c r="R35" i="2"/>
  <c r="R9" i="2"/>
  <c r="R8" i="2"/>
  <c r="S34" i="2"/>
  <c r="S35" i="2"/>
  <c r="W33" i="2" l="1"/>
  <c r="X55" i="2"/>
  <c r="Y55" i="2"/>
  <c r="Y75" i="2"/>
  <c r="X75" i="2"/>
  <c r="Y5" i="2"/>
  <c r="X9" i="2"/>
  <c r="X35" i="2"/>
  <c r="X8" i="2"/>
  <c r="X34" i="2"/>
  <c r="Y4" i="2"/>
  <c r="V130" i="2"/>
  <c r="Y54" i="2"/>
  <c r="Y50" i="2"/>
  <c r="Y61" i="2" s="1"/>
  <c r="X33" i="2"/>
  <c r="X6" i="2"/>
  <c r="X62" i="2"/>
  <c r="X63" i="2" s="1"/>
  <c r="W130" i="2"/>
  <c r="W30" i="2"/>
  <c r="I20" i="2"/>
  <c r="I112" i="2"/>
  <c r="H112" i="2"/>
  <c r="H20" i="2"/>
  <c r="J112" i="2"/>
  <c r="J20" i="2"/>
  <c r="D19" i="2"/>
  <c r="E19" i="2"/>
  <c r="F19" i="2"/>
  <c r="G19" i="2"/>
  <c r="C19" i="2"/>
  <c r="T71" i="2"/>
  <c r="T72" i="2" s="1"/>
  <c r="S74" i="2"/>
  <c r="P53" i="2"/>
  <c r="Q46" i="2"/>
  <c r="R46" i="2" s="1"/>
  <c r="S46" i="2" s="1"/>
  <c r="T46" i="2" s="1"/>
  <c r="U46" i="2" s="1"/>
  <c r="V46" i="2" s="1"/>
  <c r="U61" i="2"/>
  <c r="N19" i="2"/>
  <c r="N112" i="2" s="1"/>
  <c r="L19" i="2"/>
  <c r="R82" i="2"/>
  <c r="R84" i="2" s="1"/>
  <c r="S79" i="2"/>
  <c r="U56" i="2"/>
  <c r="M19" i="2"/>
  <c r="M112" i="2" s="1"/>
  <c r="U55" i="2"/>
  <c r="Z55" i="2" s="1"/>
  <c r="AA55" i="2" s="1"/>
  <c r="AB55" i="2" s="1"/>
  <c r="AC55" i="2" s="1"/>
  <c r="AD55" i="2" s="1"/>
  <c r="AE55" i="2" s="1"/>
  <c r="AF55" i="2" s="1"/>
  <c r="AG55" i="2" s="1"/>
  <c r="AH55" i="2" s="1"/>
  <c r="AI55" i="2" s="1"/>
  <c r="AJ55" i="2" s="1"/>
  <c r="AK55" i="2" s="1"/>
  <c r="AL55" i="2" s="1"/>
  <c r="AM55" i="2" s="1"/>
  <c r="AN55" i="2" s="1"/>
  <c r="AO55" i="2" s="1"/>
  <c r="AP55" i="2" s="1"/>
  <c r="AQ55" i="2" s="1"/>
  <c r="AR55" i="2" s="1"/>
  <c r="AS55" i="2" s="1"/>
  <c r="AT55" i="2" s="1"/>
  <c r="AU55" i="2" s="1"/>
  <c r="AV55" i="2" s="1"/>
  <c r="AW55" i="2" s="1"/>
  <c r="AX55" i="2" s="1"/>
  <c r="AY55" i="2" s="1"/>
  <c r="AZ55" i="2" s="1"/>
  <c r="BA55" i="2" s="1"/>
  <c r="BB55" i="2" s="1"/>
  <c r="BC55" i="2" s="1"/>
  <c r="BD55" i="2" s="1"/>
  <c r="BE55" i="2" s="1"/>
  <c r="BF55" i="2" s="1"/>
  <c r="BG55" i="2" s="1"/>
  <c r="BH55" i="2" s="1"/>
  <c r="BI55" i="2" s="1"/>
  <c r="BJ55" i="2" s="1"/>
  <c r="BK55" i="2" s="1"/>
  <c r="BL55" i="2" s="1"/>
  <c r="BM55" i="2" s="1"/>
  <c r="BN55" i="2" s="1"/>
  <c r="BO55" i="2" s="1"/>
  <c r="BP55" i="2" s="1"/>
  <c r="BQ55" i="2" s="1"/>
  <c r="BR55" i="2" s="1"/>
  <c r="BS55" i="2" s="1"/>
  <c r="BT55" i="2" s="1"/>
  <c r="BU55" i="2" s="1"/>
  <c r="BV55" i="2" s="1"/>
  <c r="BW55" i="2" s="1"/>
  <c r="BX55" i="2" s="1"/>
  <c r="BY55" i="2" s="1"/>
  <c r="BZ55" i="2" s="1"/>
  <c r="CA55" i="2" s="1"/>
  <c r="CB55" i="2" s="1"/>
  <c r="CC55" i="2" s="1"/>
  <c r="CD55" i="2" s="1"/>
  <c r="CE55" i="2" s="1"/>
  <c r="CF55" i="2" s="1"/>
  <c r="CG55" i="2" s="1"/>
  <c r="CH55" i="2" s="1"/>
  <c r="CI55" i="2" s="1"/>
  <c r="CJ55" i="2" s="1"/>
  <c r="CK55" i="2" s="1"/>
  <c r="CL55" i="2" s="1"/>
  <c r="CM55" i="2" s="1"/>
  <c r="CN55" i="2" s="1"/>
  <c r="CO55" i="2" s="1"/>
  <c r="CP55" i="2" s="1"/>
  <c r="CQ55" i="2" s="1"/>
  <c r="CR55" i="2" s="1"/>
  <c r="CS55" i="2" s="1"/>
  <c r="CT55" i="2" s="1"/>
  <c r="CU55" i="2" s="1"/>
  <c r="CV55" i="2" s="1"/>
  <c r="CW55" i="2" s="1"/>
  <c r="CX55" i="2" s="1"/>
  <c r="CY55" i="2" s="1"/>
  <c r="CZ55" i="2" s="1"/>
  <c r="DA55" i="2" s="1"/>
  <c r="DB55" i="2" s="1"/>
  <c r="DC55" i="2" s="1"/>
  <c r="DD55" i="2" s="1"/>
  <c r="DE55" i="2" s="1"/>
  <c r="DF55" i="2" s="1"/>
  <c r="DG55" i="2" s="1"/>
  <c r="DH55" i="2" s="1"/>
  <c r="DI55" i="2" s="1"/>
  <c r="DJ55" i="2" s="1"/>
  <c r="DK55" i="2" s="1"/>
  <c r="DL55" i="2" s="1"/>
  <c r="DM55" i="2" s="1"/>
  <c r="DN55" i="2" s="1"/>
  <c r="DO55" i="2" s="1"/>
  <c r="DP55" i="2" s="1"/>
  <c r="DQ55" i="2" s="1"/>
  <c r="DR55" i="2" s="1"/>
  <c r="DS55" i="2" s="1"/>
  <c r="DT55" i="2" s="1"/>
  <c r="DU55" i="2" s="1"/>
  <c r="DV55" i="2" s="1"/>
  <c r="DW55" i="2" s="1"/>
  <c r="DX55" i="2" s="1"/>
  <c r="DY55" i="2" s="1"/>
  <c r="DZ55" i="2" s="1"/>
  <c r="EA55" i="2" s="1"/>
  <c r="EB55" i="2" s="1"/>
  <c r="EC55" i="2" s="1"/>
  <c r="ED55" i="2" s="1"/>
  <c r="EE55" i="2" s="1"/>
  <c r="EF55" i="2" s="1"/>
  <c r="EG55" i="2" s="1"/>
  <c r="EH55" i="2" s="1"/>
  <c r="EI55" i="2" s="1"/>
  <c r="EJ55" i="2" s="1"/>
  <c r="EK55" i="2" s="1"/>
  <c r="EL55" i="2" s="1"/>
  <c r="EM55" i="2" s="1"/>
  <c r="EN55" i="2" s="1"/>
  <c r="EO55" i="2" s="1"/>
  <c r="EP55" i="2" s="1"/>
  <c r="EQ55" i="2" s="1"/>
  <c r="ER55" i="2" s="1"/>
  <c r="ES55" i="2" s="1"/>
  <c r="R62" i="2"/>
  <c r="R63" i="2" s="1"/>
  <c r="T45" i="2"/>
  <c r="T3" i="2" s="1"/>
  <c r="T75" i="2"/>
  <c r="S8" i="2"/>
  <c r="S9" i="2"/>
  <c r="Y9" i="2" l="1"/>
  <c r="Y35" i="2"/>
  <c r="Y60" i="2"/>
  <c r="Y34" i="2"/>
  <c r="Y8" i="2"/>
  <c r="W46" i="2"/>
  <c r="V53" i="2"/>
  <c r="Y45" i="2"/>
  <c r="X30" i="2"/>
  <c r="X130" i="2"/>
  <c r="Y62" i="2"/>
  <c r="Y63" i="2" s="1"/>
  <c r="Y3" i="2"/>
  <c r="F20" i="2"/>
  <c r="F112" i="2"/>
  <c r="L20" i="2"/>
  <c r="L112" i="2"/>
  <c r="G20" i="2"/>
  <c r="G112" i="2"/>
  <c r="C112" i="2"/>
  <c r="C20" i="2"/>
  <c r="E20" i="2"/>
  <c r="E112" i="2"/>
  <c r="D20" i="2"/>
  <c r="D112" i="2"/>
  <c r="AB48" i="2"/>
  <c r="M20" i="2"/>
  <c r="N20" i="2"/>
  <c r="U71" i="2"/>
  <c r="T74" i="2"/>
  <c r="P6" i="2"/>
  <c r="U75" i="2"/>
  <c r="U77" i="2"/>
  <c r="V77" i="2" s="1"/>
  <c r="W77" i="2" s="1"/>
  <c r="X77" i="2" s="1"/>
  <c r="Y77" i="2" s="1"/>
  <c r="T79" i="2"/>
  <c r="S82" i="2"/>
  <c r="S84" i="2" s="1"/>
  <c r="S62" i="2"/>
  <c r="S63" i="2" s="1"/>
  <c r="Q53" i="2"/>
  <c r="T9" i="2"/>
  <c r="T8" i="2"/>
  <c r="X46" i="2" l="1"/>
  <c r="W53" i="2"/>
  <c r="U72" i="2"/>
  <c r="V71" i="2"/>
  <c r="Y33" i="2"/>
  <c r="Y6" i="2"/>
  <c r="P30" i="2"/>
  <c r="P13" i="2" s="1"/>
  <c r="P130" i="2"/>
  <c r="P12" i="2"/>
  <c r="U74" i="2"/>
  <c r="U79" i="2"/>
  <c r="V79" i="2" s="1"/>
  <c r="Q6" i="2"/>
  <c r="T82" i="2"/>
  <c r="T84" i="2" s="1"/>
  <c r="U62" i="2"/>
  <c r="U63" i="2" s="1"/>
  <c r="T62" i="2"/>
  <c r="T63" i="2" s="1"/>
  <c r="R53" i="2"/>
  <c r="O23" i="2"/>
  <c r="P23" i="2" s="1"/>
  <c r="Q23" i="2" s="1"/>
  <c r="R23" i="2" s="1"/>
  <c r="S23" i="2" s="1"/>
  <c r="T23" i="2" s="1"/>
  <c r="U23" i="2" s="1"/>
  <c r="V23" i="2" s="1"/>
  <c r="O10" i="2"/>
  <c r="P125" i="2" l="1"/>
  <c r="P124" i="2"/>
  <c r="P126" i="2"/>
  <c r="P123" i="2"/>
  <c r="P122" i="2"/>
  <c r="P121" i="2"/>
  <c r="P119" i="2"/>
  <c r="P118" i="2"/>
  <c r="Q118" i="2" s="1"/>
  <c r="P117" i="2"/>
  <c r="Q117" i="2" s="1"/>
  <c r="P116" i="2"/>
  <c r="Q116" i="2" s="1"/>
  <c r="W71" i="2"/>
  <c r="V72" i="2"/>
  <c r="V74" i="2"/>
  <c r="W79" i="2"/>
  <c r="V82" i="2"/>
  <c r="V84" i="2" s="1"/>
  <c r="W23" i="2"/>
  <c r="V7" i="2"/>
  <c r="V10" i="2" s="1"/>
  <c r="Y46" i="2"/>
  <c r="Y53" i="2" s="1"/>
  <c r="X53" i="2"/>
  <c r="Y130" i="2"/>
  <c r="Y30" i="2"/>
  <c r="Q30" i="2"/>
  <c r="Q130" i="2"/>
  <c r="P14" i="2"/>
  <c r="Q13" i="2"/>
  <c r="Q12" i="2"/>
  <c r="Z63" i="2"/>
  <c r="AA63" i="2" s="1"/>
  <c r="AB63" i="2" s="1"/>
  <c r="AC63" i="2" s="1"/>
  <c r="AD63" i="2" s="1"/>
  <c r="AE63" i="2" s="1"/>
  <c r="AF63" i="2" s="1"/>
  <c r="AG63" i="2" s="1"/>
  <c r="AH63" i="2" s="1"/>
  <c r="AI63" i="2" s="1"/>
  <c r="AJ63" i="2" s="1"/>
  <c r="AK63" i="2" s="1"/>
  <c r="AL63" i="2" s="1"/>
  <c r="AM63" i="2" s="1"/>
  <c r="AN63" i="2" s="1"/>
  <c r="AO63" i="2" s="1"/>
  <c r="AP63" i="2" s="1"/>
  <c r="AQ63" i="2" s="1"/>
  <c r="AR63" i="2" s="1"/>
  <c r="AS63" i="2" s="1"/>
  <c r="AT63" i="2" s="1"/>
  <c r="AU63" i="2" s="1"/>
  <c r="AV63" i="2" s="1"/>
  <c r="AW63" i="2" s="1"/>
  <c r="AX63" i="2" s="1"/>
  <c r="AY63" i="2" s="1"/>
  <c r="AZ63" i="2" s="1"/>
  <c r="BA63" i="2" s="1"/>
  <c r="BB63" i="2" s="1"/>
  <c r="BC63" i="2" s="1"/>
  <c r="BD63" i="2" s="1"/>
  <c r="BE63" i="2" s="1"/>
  <c r="BF63" i="2" s="1"/>
  <c r="BG63" i="2" s="1"/>
  <c r="BH63" i="2" s="1"/>
  <c r="BI63" i="2" s="1"/>
  <c r="BJ63" i="2" s="1"/>
  <c r="BK63" i="2" s="1"/>
  <c r="BL63" i="2" s="1"/>
  <c r="BM63" i="2" s="1"/>
  <c r="BN63" i="2" s="1"/>
  <c r="BO63" i="2" s="1"/>
  <c r="BP63" i="2" s="1"/>
  <c r="BQ63" i="2" s="1"/>
  <c r="BR63" i="2" s="1"/>
  <c r="BS63" i="2" s="1"/>
  <c r="BT63" i="2" s="1"/>
  <c r="BU63" i="2" s="1"/>
  <c r="BV63" i="2" s="1"/>
  <c r="BW63" i="2" s="1"/>
  <c r="BX63" i="2" s="1"/>
  <c r="BY63" i="2" s="1"/>
  <c r="BZ63" i="2" s="1"/>
  <c r="CA63" i="2" s="1"/>
  <c r="CB63" i="2" s="1"/>
  <c r="CC63" i="2" s="1"/>
  <c r="CD63" i="2" s="1"/>
  <c r="CE63" i="2" s="1"/>
  <c r="CF63" i="2" s="1"/>
  <c r="CG63" i="2" s="1"/>
  <c r="CH63" i="2" s="1"/>
  <c r="CI63" i="2" s="1"/>
  <c r="CJ63" i="2" s="1"/>
  <c r="CK63" i="2" s="1"/>
  <c r="CL63" i="2" s="1"/>
  <c r="CM63" i="2" s="1"/>
  <c r="CN63" i="2" s="1"/>
  <c r="CO63" i="2" s="1"/>
  <c r="CP63" i="2" s="1"/>
  <c r="CQ63" i="2" s="1"/>
  <c r="CR63" i="2" s="1"/>
  <c r="CS63" i="2" s="1"/>
  <c r="CT63" i="2" s="1"/>
  <c r="CU63" i="2" s="1"/>
  <c r="CV63" i="2" s="1"/>
  <c r="CW63" i="2" s="1"/>
  <c r="CX63" i="2" s="1"/>
  <c r="CY63" i="2" s="1"/>
  <c r="CZ63" i="2" s="1"/>
  <c r="DA63" i="2" s="1"/>
  <c r="DB63" i="2" s="1"/>
  <c r="DC63" i="2" s="1"/>
  <c r="DD63" i="2" s="1"/>
  <c r="DE63" i="2" s="1"/>
  <c r="DF63" i="2" s="1"/>
  <c r="DG63" i="2" s="1"/>
  <c r="DH63" i="2" s="1"/>
  <c r="DI63" i="2" s="1"/>
  <c r="DJ63" i="2" s="1"/>
  <c r="DK63" i="2" s="1"/>
  <c r="DL63" i="2" s="1"/>
  <c r="DM63" i="2" s="1"/>
  <c r="DN63" i="2" s="1"/>
  <c r="DO63" i="2" s="1"/>
  <c r="DP63" i="2" s="1"/>
  <c r="DQ63" i="2" s="1"/>
  <c r="DR63" i="2" s="1"/>
  <c r="DS63" i="2" s="1"/>
  <c r="DT63" i="2" s="1"/>
  <c r="DU63" i="2" s="1"/>
  <c r="DV63" i="2" s="1"/>
  <c r="DW63" i="2" s="1"/>
  <c r="DX63" i="2" s="1"/>
  <c r="DY63" i="2" s="1"/>
  <c r="DZ63" i="2" s="1"/>
  <c r="EA63" i="2" s="1"/>
  <c r="EB63" i="2" s="1"/>
  <c r="EC63" i="2" s="1"/>
  <c r="ED63" i="2" s="1"/>
  <c r="EE63" i="2" s="1"/>
  <c r="EF63" i="2" s="1"/>
  <c r="EG63" i="2" s="1"/>
  <c r="EH63" i="2" s="1"/>
  <c r="EI63" i="2" s="1"/>
  <c r="EJ63" i="2" s="1"/>
  <c r="EK63" i="2" s="1"/>
  <c r="EL63" i="2" s="1"/>
  <c r="EM63" i="2" s="1"/>
  <c r="EN63" i="2" s="1"/>
  <c r="AB70" i="2" s="1"/>
  <c r="U82" i="2"/>
  <c r="U84" i="2" s="1"/>
  <c r="R6" i="2"/>
  <c r="S53" i="2"/>
  <c r="O11" i="2"/>
  <c r="O15" i="2" s="1"/>
  <c r="O27" i="2"/>
  <c r="X79" i="2" l="1"/>
  <c r="W82" i="2"/>
  <c r="W84" i="2" s="1"/>
  <c r="X71" i="2"/>
  <c r="W74" i="2"/>
  <c r="W72" i="2"/>
  <c r="Q122" i="2"/>
  <c r="V27" i="2"/>
  <c r="V11" i="2"/>
  <c r="Q119" i="2"/>
  <c r="Q121" i="2"/>
  <c r="Q123" i="2"/>
  <c r="Q126" i="2"/>
  <c r="Q124" i="2"/>
  <c r="X23" i="2"/>
  <c r="W7" i="2"/>
  <c r="W10" i="2" s="1"/>
  <c r="Q125" i="2"/>
  <c r="R30" i="2"/>
  <c r="R130" i="2"/>
  <c r="Q14" i="2"/>
  <c r="R12" i="2"/>
  <c r="R13" i="2"/>
  <c r="O17" i="2"/>
  <c r="O28" i="2"/>
  <c r="T53" i="2"/>
  <c r="S6" i="2"/>
  <c r="O19" i="2"/>
  <c r="O112" i="2" s="1"/>
  <c r="Y23" i="2" l="1"/>
  <c r="Y7" i="2" s="1"/>
  <c r="Y10" i="2" s="1"/>
  <c r="X7" i="2"/>
  <c r="X10" i="2" s="1"/>
  <c r="W11" i="2"/>
  <c r="W27" i="2"/>
  <c r="Y71" i="2"/>
  <c r="X74" i="2"/>
  <c r="X72" i="2"/>
  <c r="Y79" i="2"/>
  <c r="X82" i="2"/>
  <c r="X84" i="2" s="1"/>
  <c r="R116" i="2"/>
  <c r="R121" i="2"/>
  <c r="R122" i="2"/>
  <c r="R126" i="2"/>
  <c r="R118" i="2"/>
  <c r="R119" i="2"/>
  <c r="R117" i="2"/>
  <c r="R125" i="2"/>
  <c r="R124" i="2"/>
  <c r="R123" i="2"/>
  <c r="S30" i="2"/>
  <c r="S130" i="2"/>
  <c r="O20" i="2"/>
  <c r="S13" i="2"/>
  <c r="S12" i="2"/>
  <c r="R14" i="2"/>
  <c r="T33" i="2"/>
  <c r="T6" i="2"/>
  <c r="U53" i="2"/>
  <c r="R33" i="2"/>
  <c r="T7" i="2"/>
  <c r="T10" i="2" s="1"/>
  <c r="R7" i="2"/>
  <c r="R10" i="2" s="1"/>
  <c r="Q7" i="2"/>
  <c r="Q10" i="2" s="1"/>
  <c r="Q11" i="2" s="1"/>
  <c r="Q15" i="2" s="1"/>
  <c r="S7" i="2"/>
  <c r="S10" i="2" s="1"/>
  <c r="S11" i="2" s="1"/>
  <c r="S33" i="2"/>
  <c r="Y82" i="2" l="1"/>
  <c r="Y84" i="2" s="1"/>
  <c r="Y72" i="2"/>
  <c r="Z72" i="2" s="1"/>
  <c r="AA72" i="2" s="1"/>
  <c r="AB72" i="2" s="1"/>
  <c r="AC72" i="2" s="1"/>
  <c r="AD72" i="2" s="1"/>
  <c r="AE72" i="2" s="1"/>
  <c r="AF72" i="2" s="1"/>
  <c r="AG72" i="2" s="1"/>
  <c r="AH72" i="2" s="1"/>
  <c r="AI72" i="2" s="1"/>
  <c r="AJ72" i="2" s="1"/>
  <c r="AK72" i="2" s="1"/>
  <c r="AL72" i="2" s="1"/>
  <c r="AM72" i="2" s="1"/>
  <c r="AN72" i="2" s="1"/>
  <c r="AO72" i="2" s="1"/>
  <c r="AP72" i="2" s="1"/>
  <c r="AQ72" i="2" s="1"/>
  <c r="AR72" i="2" s="1"/>
  <c r="AS72" i="2" s="1"/>
  <c r="AT72" i="2" s="1"/>
  <c r="AU72" i="2" s="1"/>
  <c r="AV72" i="2" s="1"/>
  <c r="AW72" i="2" s="1"/>
  <c r="AX72" i="2" s="1"/>
  <c r="AY72" i="2" s="1"/>
  <c r="AZ72" i="2" s="1"/>
  <c r="BA72" i="2" s="1"/>
  <c r="BB72" i="2" s="1"/>
  <c r="BC72" i="2" s="1"/>
  <c r="BD72" i="2" s="1"/>
  <c r="BE72" i="2" s="1"/>
  <c r="BF72" i="2" s="1"/>
  <c r="BG72" i="2" s="1"/>
  <c r="BH72" i="2" s="1"/>
  <c r="BI72" i="2" s="1"/>
  <c r="BJ72" i="2" s="1"/>
  <c r="BK72" i="2" s="1"/>
  <c r="BL72" i="2" s="1"/>
  <c r="BM72" i="2" s="1"/>
  <c r="BN72" i="2" s="1"/>
  <c r="BO72" i="2" s="1"/>
  <c r="BP72" i="2" s="1"/>
  <c r="BQ72" i="2" s="1"/>
  <c r="BR72" i="2" s="1"/>
  <c r="BS72" i="2" s="1"/>
  <c r="BT72" i="2" s="1"/>
  <c r="BU72" i="2" s="1"/>
  <c r="BV72" i="2" s="1"/>
  <c r="BW72" i="2" s="1"/>
  <c r="BX72" i="2" s="1"/>
  <c r="BY72" i="2" s="1"/>
  <c r="BZ72" i="2" s="1"/>
  <c r="CA72" i="2" s="1"/>
  <c r="CB72" i="2" s="1"/>
  <c r="CC72" i="2" s="1"/>
  <c r="CD72" i="2" s="1"/>
  <c r="CE72" i="2" s="1"/>
  <c r="CF72" i="2" s="1"/>
  <c r="CG72" i="2" s="1"/>
  <c r="CH72" i="2" s="1"/>
  <c r="CI72" i="2" s="1"/>
  <c r="CJ72" i="2" s="1"/>
  <c r="CK72" i="2" s="1"/>
  <c r="CL72" i="2" s="1"/>
  <c r="CM72" i="2" s="1"/>
  <c r="CN72" i="2" s="1"/>
  <c r="CO72" i="2" s="1"/>
  <c r="CP72" i="2" s="1"/>
  <c r="CQ72" i="2" s="1"/>
  <c r="CR72" i="2" s="1"/>
  <c r="CS72" i="2" s="1"/>
  <c r="CT72" i="2" s="1"/>
  <c r="CU72" i="2" s="1"/>
  <c r="CV72" i="2" s="1"/>
  <c r="CW72" i="2" s="1"/>
  <c r="CX72" i="2" s="1"/>
  <c r="CY72" i="2" s="1"/>
  <c r="CZ72" i="2" s="1"/>
  <c r="DA72" i="2" s="1"/>
  <c r="DB72" i="2" s="1"/>
  <c r="DC72" i="2" s="1"/>
  <c r="DD72" i="2" s="1"/>
  <c r="DE72" i="2" s="1"/>
  <c r="DF72" i="2" s="1"/>
  <c r="DG72" i="2" s="1"/>
  <c r="DH72" i="2" s="1"/>
  <c r="DI72" i="2" s="1"/>
  <c r="DJ72" i="2" s="1"/>
  <c r="DK72" i="2" s="1"/>
  <c r="DL72" i="2" s="1"/>
  <c r="DM72" i="2" s="1"/>
  <c r="DN72" i="2" s="1"/>
  <c r="DO72" i="2" s="1"/>
  <c r="DP72" i="2" s="1"/>
  <c r="DQ72" i="2" s="1"/>
  <c r="DR72" i="2" s="1"/>
  <c r="DS72" i="2" s="1"/>
  <c r="DT72" i="2" s="1"/>
  <c r="DU72" i="2" s="1"/>
  <c r="DV72" i="2" s="1"/>
  <c r="DW72" i="2" s="1"/>
  <c r="DX72" i="2" s="1"/>
  <c r="DY72" i="2" s="1"/>
  <c r="DZ72" i="2" s="1"/>
  <c r="EA72" i="2" s="1"/>
  <c r="EB72" i="2" s="1"/>
  <c r="EC72" i="2" s="1"/>
  <c r="ED72" i="2" s="1"/>
  <c r="EE72" i="2" s="1"/>
  <c r="EF72" i="2" s="1"/>
  <c r="EG72" i="2" s="1"/>
  <c r="EH72" i="2" s="1"/>
  <c r="EI72" i="2" s="1"/>
  <c r="EJ72" i="2" s="1"/>
  <c r="EK72" i="2" s="1"/>
  <c r="EL72" i="2" s="1"/>
  <c r="EM72" i="2" s="1"/>
  <c r="EN72" i="2" s="1"/>
  <c r="EO72" i="2" s="1"/>
  <c r="AB77" i="2" s="1"/>
  <c r="AB121" i="2" s="1"/>
  <c r="Y74" i="2"/>
  <c r="X11" i="2"/>
  <c r="X27" i="2"/>
  <c r="Y11" i="2"/>
  <c r="Y27" i="2"/>
  <c r="S124" i="2"/>
  <c r="S122" i="2"/>
  <c r="S125" i="2"/>
  <c r="S117" i="2"/>
  <c r="S119" i="2"/>
  <c r="S118" i="2"/>
  <c r="S121" i="2"/>
  <c r="S123" i="2"/>
  <c r="S126" i="2"/>
  <c r="S116" i="2"/>
  <c r="T30" i="2"/>
  <c r="T130" i="2"/>
  <c r="T12" i="2"/>
  <c r="S14" i="2"/>
  <c r="T13" i="2"/>
  <c r="P59" i="2"/>
  <c r="U7" i="2"/>
  <c r="U10" i="2" s="1"/>
  <c r="U6" i="2"/>
  <c r="U33" i="2"/>
  <c r="Q28" i="2"/>
  <c r="S27" i="2"/>
  <c r="R27" i="2"/>
  <c r="R11" i="2"/>
  <c r="R15" i="2" s="1"/>
  <c r="T27" i="2"/>
  <c r="T11" i="2"/>
  <c r="Q27" i="2"/>
  <c r="P58" i="2" l="1"/>
  <c r="T123" i="2"/>
  <c r="T116" i="2"/>
  <c r="T117" i="2"/>
  <c r="T122" i="2"/>
  <c r="T126" i="2"/>
  <c r="T121" i="2"/>
  <c r="T118" i="2"/>
  <c r="T119" i="2"/>
  <c r="T125" i="2"/>
  <c r="T124" i="2"/>
  <c r="U130" i="2"/>
  <c r="V30" i="2"/>
  <c r="T14" i="2"/>
  <c r="S15" i="2"/>
  <c r="S28" i="2" s="1"/>
  <c r="U27" i="2"/>
  <c r="U11" i="2"/>
  <c r="U30" i="2"/>
  <c r="R28" i="2"/>
  <c r="P33" i="2"/>
  <c r="U118" i="2" l="1"/>
  <c r="V118" i="2" s="1"/>
  <c r="W118" i="2" s="1"/>
  <c r="X118" i="2" s="1"/>
  <c r="Y118" i="2" s="1"/>
  <c r="U122" i="2"/>
  <c r="V122" i="2" s="1"/>
  <c r="W122" i="2" s="1"/>
  <c r="X122" i="2" s="1"/>
  <c r="Y122" i="2" s="1"/>
  <c r="U124" i="2"/>
  <c r="V124" i="2" s="1"/>
  <c r="W124" i="2" s="1"/>
  <c r="X124" i="2" s="1"/>
  <c r="Y124" i="2" s="1"/>
  <c r="U123" i="2"/>
  <c r="V123" i="2" s="1"/>
  <c r="W123" i="2" s="1"/>
  <c r="X123" i="2" s="1"/>
  <c r="Y123" i="2" s="1"/>
  <c r="U117" i="2"/>
  <c r="V117" i="2" s="1"/>
  <c r="W117" i="2" s="1"/>
  <c r="X117" i="2" s="1"/>
  <c r="Y117" i="2" s="1"/>
  <c r="U121" i="2"/>
  <c r="V121" i="2" s="1"/>
  <c r="W121" i="2" s="1"/>
  <c r="X121" i="2" s="1"/>
  <c r="Y121" i="2" s="1"/>
  <c r="U126" i="2"/>
  <c r="V126" i="2" s="1"/>
  <c r="W126" i="2" s="1"/>
  <c r="X126" i="2" s="1"/>
  <c r="Y126" i="2" s="1"/>
  <c r="U116" i="2"/>
  <c r="V116" i="2" s="1"/>
  <c r="W116" i="2" s="1"/>
  <c r="X116" i="2" s="1"/>
  <c r="Y116" i="2" s="1"/>
  <c r="U125" i="2"/>
  <c r="V125" i="2" s="1"/>
  <c r="W125" i="2" s="1"/>
  <c r="X125" i="2" s="1"/>
  <c r="Y125" i="2" s="1"/>
  <c r="U119" i="2"/>
  <c r="V119" i="2" s="1"/>
  <c r="W119" i="2" s="1"/>
  <c r="X119" i="2" s="1"/>
  <c r="Y119" i="2" s="1"/>
  <c r="T15" i="2"/>
  <c r="T28" i="2" s="1"/>
  <c r="U13" i="2"/>
  <c r="V13" i="2" s="1"/>
  <c r="W13" i="2" s="1"/>
  <c r="X13" i="2" s="1"/>
  <c r="Y13" i="2" s="1"/>
  <c r="U12" i="2"/>
  <c r="V12" i="2" s="1"/>
  <c r="Q33" i="2"/>
  <c r="P7" i="2"/>
  <c r="P10" i="2" s="1"/>
  <c r="P27" i="2" s="1"/>
  <c r="V14" i="2" l="1"/>
  <c r="W12" i="2"/>
  <c r="U14" i="2"/>
  <c r="P11" i="2"/>
  <c r="P15" i="2" s="1"/>
  <c r="X12" i="2" l="1"/>
  <c r="W14" i="2"/>
  <c r="V15" i="2"/>
  <c r="V28" i="2" s="1"/>
  <c r="U15" i="2"/>
  <c r="U28" i="2" s="1"/>
  <c r="P17" i="2"/>
  <c r="P28" i="2"/>
  <c r="P18" i="2" l="1"/>
  <c r="P19" i="2" s="1"/>
  <c r="W15" i="2"/>
  <c r="W28" i="2" s="1"/>
  <c r="X14" i="2"/>
  <c r="Y12" i="2"/>
  <c r="Y14" i="2" s="1"/>
  <c r="P112" i="2" l="1"/>
  <c r="P127" i="2" s="1"/>
  <c r="P86" i="2"/>
  <c r="Q16" i="2" s="1"/>
  <c r="Q17" i="2" s="1"/>
  <c r="P37" i="2"/>
  <c r="P20" i="2"/>
  <c r="K8" i="1" s="1"/>
  <c r="Y15" i="2"/>
  <c r="Y28" i="2" s="1"/>
  <c r="X15" i="2"/>
  <c r="X28" i="2" s="1"/>
  <c r="Q18" i="2" l="1"/>
  <c r="Q19" i="2" s="1"/>
  <c r="P131" i="2"/>
  <c r="Q112" i="2" l="1"/>
  <c r="Q127" i="2" s="1"/>
  <c r="Q86" i="2"/>
  <c r="R16" i="2" s="1"/>
  <c r="R17" i="2" s="1"/>
  <c r="R18" i="2" s="1"/>
  <c r="R19" i="2" s="1"/>
  <c r="Q20" i="2"/>
  <c r="Q37" i="2"/>
  <c r="Q131" i="2" l="1"/>
  <c r="R112" i="2"/>
  <c r="R127" i="2" s="1"/>
  <c r="R37" i="2"/>
  <c r="R20" i="2"/>
  <c r="R86" i="2"/>
  <c r="S16" i="2" s="1"/>
  <c r="S17" i="2" s="1"/>
  <c r="S18" i="2" l="1"/>
  <c r="S19" i="2" s="1"/>
  <c r="R131" i="2"/>
  <c r="S112" i="2" l="1"/>
  <c r="S127" i="2" s="1"/>
  <c r="S37" i="2"/>
  <c r="S86" i="2"/>
  <c r="S20" i="2"/>
  <c r="T16" i="2" l="1"/>
  <c r="T17" i="2" s="1"/>
  <c r="S131" i="2"/>
  <c r="T18" i="2" l="1"/>
  <c r="T19" i="2" s="1"/>
  <c r="T112" i="2" l="1"/>
  <c r="T127" i="2" s="1"/>
  <c r="T20" i="2"/>
  <c r="T37" i="2"/>
  <c r="T86" i="2"/>
  <c r="U16" i="2" l="1"/>
  <c r="U17" i="2" s="1"/>
  <c r="T131" i="2"/>
  <c r="U18" i="2" l="1"/>
  <c r="U19" i="2" s="1"/>
  <c r="U112" i="2" l="1"/>
  <c r="U127" i="2" s="1"/>
  <c r="U37" i="2"/>
  <c r="U20" i="2"/>
  <c r="U86" i="2"/>
  <c r="V16" i="2" s="1"/>
  <c r="V17" i="2" s="1"/>
  <c r="V18" i="2" l="1"/>
  <c r="V19" i="2" s="1"/>
  <c r="U131" i="2"/>
  <c r="V86" i="2" l="1"/>
  <c r="W16" i="2" s="1"/>
  <c r="W17" i="2" s="1"/>
  <c r="V37" i="2"/>
  <c r="V112" i="2"/>
  <c r="V127" i="2" s="1"/>
  <c r="V20" i="2"/>
  <c r="V131" i="2" l="1"/>
  <c r="W18" i="2"/>
  <c r="W19" i="2" s="1"/>
  <c r="W86" i="2" l="1"/>
  <c r="X16" i="2" s="1"/>
  <c r="X17" i="2" s="1"/>
  <c r="W112" i="2"/>
  <c r="W127" i="2" s="1"/>
  <c r="W37" i="2"/>
  <c r="W20" i="2"/>
  <c r="W131" i="2" l="1"/>
  <c r="X18" i="2"/>
  <c r="X19" i="2" s="1"/>
  <c r="X86" i="2" l="1"/>
  <c r="X112" i="2"/>
  <c r="X127" i="2" s="1"/>
  <c r="X20" i="2"/>
  <c r="X37" i="2"/>
  <c r="X131" i="2" l="1"/>
  <c r="Y16" i="2"/>
  <c r="Y17" i="2" s="1"/>
  <c r="Y18" i="2" l="1"/>
  <c r="Y19" i="2"/>
  <c r="Y112" i="2" l="1"/>
  <c r="Y127" i="2" s="1"/>
  <c r="Y20" i="2"/>
  <c r="Y37" i="2"/>
  <c r="Z37" i="2" s="1"/>
  <c r="AA37" i="2" s="1"/>
  <c r="AB37" i="2" s="1"/>
  <c r="AC37" i="2" s="1"/>
  <c r="AD37" i="2" s="1"/>
  <c r="AE37" i="2" s="1"/>
  <c r="AF37" i="2" s="1"/>
  <c r="AG37" i="2" s="1"/>
  <c r="AH37" i="2" s="1"/>
  <c r="AI37" i="2" s="1"/>
  <c r="AJ37" i="2" s="1"/>
  <c r="AK37" i="2" s="1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BJ37" i="2" s="1"/>
  <c r="BK37" i="2" s="1"/>
  <c r="BL37" i="2" s="1"/>
  <c r="BM37" i="2" s="1"/>
  <c r="BN37" i="2" s="1"/>
  <c r="BO37" i="2" s="1"/>
  <c r="BP37" i="2" s="1"/>
  <c r="BQ37" i="2" s="1"/>
  <c r="BR37" i="2" s="1"/>
  <c r="BS37" i="2" s="1"/>
  <c r="BT37" i="2" s="1"/>
  <c r="BU37" i="2" s="1"/>
  <c r="BV37" i="2" s="1"/>
  <c r="BW37" i="2" s="1"/>
  <c r="BX37" i="2" s="1"/>
  <c r="BY37" i="2" s="1"/>
  <c r="BZ37" i="2" s="1"/>
  <c r="CA37" i="2" s="1"/>
  <c r="CB37" i="2" s="1"/>
  <c r="CC37" i="2" s="1"/>
  <c r="CD37" i="2" s="1"/>
  <c r="CE37" i="2" s="1"/>
  <c r="CF37" i="2" s="1"/>
  <c r="CG37" i="2" s="1"/>
  <c r="CH37" i="2" s="1"/>
  <c r="CI37" i="2" s="1"/>
  <c r="CJ37" i="2" s="1"/>
  <c r="CK37" i="2" s="1"/>
  <c r="CL37" i="2" s="1"/>
  <c r="CM37" i="2" s="1"/>
  <c r="CN37" i="2" s="1"/>
  <c r="CO37" i="2" s="1"/>
  <c r="CP37" i="2" s="1"/>
  <c r="CQ37" i="2" s="1"/>
  <c r="CR37" i="2" s="1"/>
  <c r="CS37" i="2" s="1"/>
  <c r="CT37" i="2" s="1"/>
  <c r="CU37" i="2" s="1"/>
  <c r="CV37" i="2" s="1"/>
  <c r="CW37" i="2" s="1"/>
  <c r="CX37" i="2" s="1"/>
  <c r="CY37" i="2" s="1"/>
  <c r="CZ37" i="2" s="1"/>
  <c r="DA37" i="2" s="1"/>
  <c r="DB37" i="2" s="1"/>
  <c r="DC37" i="2" s="1"/>
  <c r="DD37" i="2" s="1"/>
  <c r="DE37" i="2" s="1"/>
  <c r="DF37" i="2" s="1"/>
  <c r="DG37" i="2" s="1"/>
  <c r="DH37" i="2" s="1"/>
  <c r="DI37" i="2" s="1"/>
  <c r="DJ37" i="2" s="1"/>
  <c r="DK37" i="2" s="1"/>
  <c r="DL37" i="2" s="1"/>
  <c r="DM37" i="2" s="1"/>
  <c r="DN37" i="2" s="1"/>
  <c r="DO37" i="2" s="1"/>
  <c r="DP37" i="2" s="1"/>
  <c r="DQ37" i="2" s="1"/>
  <c r="DR37" i="2" s="1"/>
  <c r="DS37" i="2" s="1"/>
  <c r="DT37" i="2" s="1"/>
  <c r="DU37" i="2" s="1"/>
  <c r="DV37" i="2" s="1"/>
  <c r="DW37" i="2" s="1"/>
  <c r="DX37" i="2" s="1"/>
  <c r="DY37" i="2" s="1"/>
  <c r="DZ37" i="2" s="1"/>
  <c r="EA37" i="2" s="1"/>
  <c r="EB37" i="2" s="1"/>
  <c r="EC37" i="2" s="1"/>
  <c r="ED37" i="2" s="1"/>
  <c r="EE37" i="2" s="1"/>
  <c r="EF37" i="2" s="1"/>
  <c r="EG37" i="2" s="1"/>
  <c r="EH37" i="2" s="1"/>
  <c r="EI37" i="2" s="1"/>
  <c r="EJ37" i="2" s="1"/>
  <c r="EK37" i="2" s="1"/>
  <c r="EL37" i="2" s="1"/>
  <c r="EM37" i="2" s="1"/>
  <c r="EN37" i="2" s="1"/>
  <c r="EO37" i="2" s="1"/>
  <c r="EP37" i="2" s="1"/>
  <c r="EQ37" i="2" s="1"/>
  <c r="ER37" i="2" s="1"/>
  <c r="ES37" i="2" s="1"/>
  <c r="ET37" i="2" s="1"/>
  <c r="EU37" i="2" s="1"/>
  <c r="EV37" i="2" s="1"/>
  <c r="EW37" i="2" s="1"/>
  <c r="EX37" i="2" s="1"/>
  <c r="EY37" i="2" s="1"/>
  <c r="EZ37" i="2" s="1"/>
  <c r="FA37" i="2" s="1"/>
  <c r="FB37" i="2" s="1"/>
  <c r="FC37" i="2" s="1"/>
  <c r="FD37" i="2" s="1"/>
  <c r="FE37" i="2" s="1"/>
  <c r="FF37" i="2" s="1"/>
  <c r="FG37" i="2" s="1"/>
  <c r="FH37" i="2" s="1"/>
  <c r="FI37" i="2" s="1"/>
  <c r="FJ37" i="2" s="1"/>
  <c r="FK37" i="2" s="1"/>
  <c r="FL37" i="2" s="1"/>
  <c r="FM37" i="2" s="1"/>
  <c r="FN37" i="2" s="1"/>
  <c r="FO37" i="2" s="1"/>
  <c r="Z19" i="2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X19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DO19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EF19" i="2" s="1"/>
  <c r="EG19" i="2" s="1"/>
  <c r="EH19" i="2" s="1"/>
  <c r="EI19" i="2" s="1"/>
  <c r="EJ19" i="2" s="1"/>
  <c r="EK19" i="2" s="1"/>
  <c r="EL19" i="2" s="1"/>
  <c r="EM19" i="2" s="1"/>
  <c r="EN19" i="2" s="1"/>
  <c r="EO19" i="2" s="1"/>
  <c r="EP19" i="2" s="1"/>
  <c r="EQ19" i="2" s="1"/>
  <c r="ER19" i="2" s="1"/>
  <c r="ES19" i="2" s="1"/>
  <c r="ET19" i="2" s="1"/>
  <c r="EU19" i="2" s="1"/>
  <c r="EV19" i="2" s="1"/>
  <c r="EW19" i="2" s="1"/>
  <c r="EX19" i="2" s="1"/>
  <c r="EY19" i="2" s="1"/>
  <c r="EZ19" i="2" s="1"/>
  <c r="FA19" i="2" s="1"/>
  <c r="FB19" i="2" s="1"/>
  <c r="FC19" i="2" s="1"/>
  <c r="FD19" i="2" s="1"/>
  <c r="FE19" i="2" s="1"/>
  <c r="FF19" i="2" s="1"/>
  <c r="FG19" i="2" s="1"/>
  <c r="FH19" i="2" s="1"/>
  <c r="FI19" i="2" s="1"/>
  <c r="FJ19" i="2" s="1"/>
  <c r="FK19" i="2" s="1"/>
  <c r="FL19" i="2" s="1"/>
  <c r="FM19" i="2" s="1"/>
  <c r="FN19" i="2" s="1"/>
  <c r="FO19" i="2" s="1"/>
  <c r="FP19" i="2" s="1"/>
  <c r="Y86" i="2"/>
  <c r="Y131" i="2" l="1"/>
  <c r="Z131" i="2" l="1"/>
  <c r="AA131" i="2" s="1"/>
  <c r="AB131" i="2" s="1"/>
  <c r="AC131" i="2" s="1"/>
  <c r="AD131" i="2" s="1"/>
  <c r="AE131" i="2" s="1"/>
  <c r="AF131" i="2" s="1"/>
  <c r="AG131" i="2" s="1"/>
  <c r="AH131" i="2" s="1"/>
  <c r="AI131" i="2" s="1"/>
  <c r="AJ131" i="2" s="1"/>
  <c r="AK131" i="2" s="1"/>
  <c r="AL131" i="2" s="1"/>
  <c r="AM131" i="2" s="1"/>
  <c r="AN131" i="2" s="1"/>
  <c r="AO131" i="2" s="1"/>
  <c r="AP131" i="2" s="1"/>
  <c r="AQ131" i="2" s="1"/>
  <c r="AR131" i="2" s="1"/>
  <c r="AS131" i="2" s="1"/>
  <c r="AT131" i="2" s="1"/>
  <c r="AU131" i="2" s="1"/>
  <c r="AV131" i="2" s="1"/>
  <c r="AW131" i="2" s="1"/>
  <c r="AX131" i="2" s="1"/>
  <c r="AY131" i="2" s="1"/>
  <c r="AZ131" i="2" s="1"/>
  <c r="BA131" i="2" s="1"/>
  <c r="BB131" i="2" s="1"/>
  <c r="BC131" i="2" s="1"/>
  <c r="BD131" i="2" s="1"/>
  <c r="BE131" i="2" s="1"/>
  <c r="BF131" i="2" s="1"/>
  <c r="BG131" i="2" s="1"/>
  <c r="BH131" i="2" s="1"/>
  <c r="BI131" i="2" s="1"/>
  <c r="BJ131" i="2" s="1"/>
  <c r="BK131" i="2" s="1"/>
  <c r="BL131" i="2" s="1"/>
  <c r="BM131" i="2" s="1"/>
  <c r="BN131" i="2" s="1"/>
  <c r="BO131" i="2" s="1"/>
  <c r="BP131" i="2" s="1"/>
  <c r="BQ131" i="2" s="1"/>
  <c r="BR131" i="2" s="1"/>
  <c r="BS131" i="2" s="1"/>
  <c r="BT131" i="2" s="1"/>
  <c r="BU131" i="2" s="1"/>
  <c r="BV131" i="2" s="1"/>
  <c r="BW131" i="2" s="1"/>
  <c r="BX131" i="2" s="1"/>
  <c r="BY131" i="2" s="1"/>
  <c r="BZ131" i="2" s="1"/>
  <c r="CA131" i="2" s="1"/>
  <c r="CB131" i="2" s="1"/>
  <c r="CC131" i="2" s="1"/>
  <c r="CD131" i="2" s="1"/>
  <c r="CE131" i="2" s="1"/>
  <c r="CF131" i="2" s="1"/>
  <c r="CG131" i="2" s="1"/>
  <c r="CH131" i="2" s="1"/>
  <c r="CI131" i="2" s="1"/>
  <c r="CJ131" i="2" s="1"/>
  <c r="CK131" i="2" s="1"/>
  <c r="CL131" i="2" s="1"/>
  <c r="CM131" i="2" s="1"/>
  <c r="CN131" i="2" s="1"/>
  <c r="CO131" i="2" s="1"/>
  <c r="CP131" i="2" s="1"/>
  <c r="CQ131" i="2" s="1"/>
  <c r="CR131" i="2" s="1"/>
  <c r="CS131" i="2" s="1"/>
  <c r="CT131" i="2" s="1"/>
  <c r="CU131" i="2" s="1"/>
  <c r="CV131" i="2" s="1"/>
  <c r="CW131" i="2" s="1"/>
  <c r="CX131" i="2" s="1"/>
  <c r="CY131" i="2" s="1"/>
  <c r="CZ131" i="2" s="1"/>
  <c r="DA131" i="2" s="1"/>
  <c r="DB131" i="2" s="1"/>
  <c r="DC131" i="2" s="1"/>
  <c r="DD131" i="2" s="1"/>
  <c r="DE131" i="2" s="1"/>
  <c r="DF131" i="2" s="1"/>
  <c r="DG131" i="2" s="1"/>
  <c r="DH131" i="2" s="1"/>
  <c r="DI131" i="2" s="1"/>
  <c r="DJ131" i="2" s="1"/>
  <c r="DK131" i="2" s="1"/>
  <c r="DL131" i="2" s="1"/>
  <c r="DM131" i="2" s="1"/>
  <c r="DN131" i="2" s="1"/>
  <c r="DO131" i="2" s="1"/>
  <c r="DP131" i="2" s="1"/>
  <c r="DQ131" i="2" s="1"/>
  <c r="DR131" i="2" s="1"/>
  <c r="DS131" i="2" s="1"/>
  <c r="DT131" i="2" s="1"/>
  <c r="DU131" i="2" s="1"/>
  <c r="DV131" i="2" s="1"/>
  <c r="DW131" i="2" s="1"/>
  <c r="DX131" i="2" s="1"/>
  <c r="DY131" i="2" s="1"/>
  <c r="DZ131" i="2" s="1"/>
  <c r="AB126" i="2" s="1"/>
  <c r="AB127" i="2" s="1"/>
  <c r="AB128" i="2" s="1"/>
</calcChain>
</file>

<file path=xl/sharedStrings.xml><?xml version="1.0" encoding="utf-8"?>
<sst xmlns="http://schemas.openxmlformats.org/spreadsheetml/2006/main" count="150" uniqueCount="123">
  <si>
    <t>Price</t>
  </si>
  <si>
    <t>Shares</t>
  </si>
  <si>
    <t>MC</t>
  </si>
  <si>
    <t>Cash</t>
  </si>
  <si>
    <t>Debt</t>
  </si>
  <si>
    <t>EV</t>
  </si>
  <si>
    <t>Q124</t>
  </si>
  <si>
    <t>Q224</t>
  </si>
  <si>
    <t>Q324</t>
  </si>
  <si>
    <t>Q424</t>
  </si>
  <si>
    <t>Q125</t>
  </si>
  <si>
    <t>Revenue</t>
  </si>
  <si>
    <t>Model 3/Y</t>
  </si>
  <si>
    <t>Other Models</t>
  </si>
  <si>
    <t>Total</t>
  </si>
  <si>
    <t>Maturity</t>
  </si>
  <si>
    <t>Discount</t>
  </si>
  <si>
    <t>NPV</t>
  </si>
  <si>
    <t>Net Income</t>
  </si>
  <si>
    <t>Automotive</t>
  </si>
  <si>
    <t>Energy</t>
  </si>
  <si>
    <t>Services</t>
  </si>
  <si>
    <t>Automotive COGS</t>
  </si>
  <si>
    <t>Energy COGS</t>
  </si>
  <si>
    <t>Services COGS</t>
  </si>
  <si>
    <t>Total COGS</t>
  </si>
  <si>
    <t>Services GM</t>
  </si>
  <si>
    <t>Energy GM</t>
  </si>
  <si>
    <t>Automotive GM</t>
  </si>
  <si>
    <t>Gross Margin</t>
  </si>
  <si>
    <t>Gross Profit</t>
  </si>
  <si>
    <t>R&amp;D</t>
  </si>
  <si>
    <t>SG&amp;A</t>
  </si>
  <si>
    <t>Pretax Income</t>
  </si>
  <si>
    <t>Tax</t>
  </si>
  <si>
    <t>Interest Income</t>
  </si>
  <si>
    <t>EPS</t>
  </si>
  <si>
    <t>Net Cash</t>
  </si>
  <si>
    <t>Optimus</t>
  </si>
  <si>
    <t>Optimus Sell Price</t>
  </si>
  <si>
    <t>Optimus COGS</t>
  </si>
  <si>
    <t>Optimus GM</t>
  </si>
  <si>
    <t>Optimus Gross Profit</t>
  </si>
  <si>
    <t>Optimus Growth Rate</t>
  </si>
  <si>
    <t>Optimus Fleet</t>
  </si>
  <si>
    <t>Cybertruck</t>
  </si>
  <si>
    <t>Cybercab</t>
  </si>
  <si>
    <t>Semi</t>
  </si>
  <si>
    <t>Cost Model 3/Y</t>
  </si>
  <si>
    <t>Cost Cybertruck</t>
  </si>
  <si>
    <t>Cost Cybercab</t>
  </si>
  <si>
    <t>Cost Semi</t>
  </si>
  <si>
    <t>FCF</t>
  </si>
  <si>
    <t>CFFO</t>
  </si>
  <si>
    <t>Monthly Rev</t>
  </si>
  <si>
    <t>One Time</t>
  </si>
  <si>
    <t>Fleet</t>
  </si>
  <si>
    <t>FSD Rev</t>
  </si>
  <si>
    <t>FSD MC</t>
  </si>
  <si>
    <t>Robotics MC</t>
  </si>
  <si>
    <t>FSD Adoption Rate</t>
  </si>
  <si>
    <t>FSD Ownership</t>
  </si>
  <si>
    <t>FSD Margin</t>
  </si>
  <si>
    <t>FSD Gross Profit</t>
  </si>
  <si>
    <t>Operating Margin</t>
  </si>
  <si>
    <t>America</t>
  </si>
  <si>
    <t>Europe</t>
  </si>
  <si>
    <t>China</t>
  </si>
  <si>
    <t>Production/Sales %</t>
  </si>
  <si>
    <t>ROIC</t>
  </si>
  <si>
    <t>ASP</t>
  </si>
  <si>
    <t>Production</t>
  </si>
  <si>
    <t>Deliveries</t>
  </si>
  <si>
    <t>OL Vehicles</t>
  </si>
  <si>
    <t>Solar Energy Systems</t>
  </si>
  <si>
    <t>PP&amp;E</t>
  </si>
  <si>
    <t>Operating ROU Assets</t>
  </si>
  <si>
    <t>Digital Assets</t>
  </si>
  <si>
    <t>Intangible Assets</t>
  </si>
  <si>
    <t>GW</t>
  </si>
  <si>
    <t>Assets</t>
  </si>
  <si>
    <t>AP</t>
  </si>
  <si>
    <t>Accrued Liabilties</t>
  </si>
  <si>
    <t>Deferred Revenue</t>
  </si>
  <si>
    <t>LT Deferred Revenue</t>
  </si>
  <si>
    <t>ST Deferred Revenue</t>
  </si>
  <si>
    <t>Liabilities</t>
  </si>
  <si>
    <t>SE</t>
  </si>
  <si>
    <t>L+SE</t>
  </si>
  <si>
    <t>Main</t>
  </si>
  <si>
    <t>Model NI</t>
  </si>
  <si>
    <t>Reported NI</t>
  </si>
  <si>
    <t>Operating Income</t>
  </si>
  <si>
    <t>Operating Expenses</t>
  </si>
  <si>
    <t>Q225</t>
  </si>
  <si>
    <t>Q325</t>
  </si>
  <si>
    <t>Q425</t>
  </si>
  <si>
    <t>Revenue y/y</t>
  </si>
  <si>
    <t>Revenue q/q</t>
  </si>
  <si>
    <t>Automotive y/y</t>
  </si>
  <si>
    <t>Energy y/y</t>
  </si>
  <si>
    <t>Services y/y</t>
  </si>
  <si>
    <t>D&amp;A</t>
  </si>
  <si>
    <t>Inventory write-downs</t>
  </si>
  <si>
    <t>Non-cash interest</t>
  </si>
  <si>
    <t>Digital Assets Loss</t>
  </si>
  <si>
    <t>Purchase of PP&amp;E</t>
  </si>
  <si>
    <t>Is TSLA still competitive against competitors (mainly china BYD, NIO, etc.) in hardware excluding the autonomous driving?</t>
  </si>
  <si>
    <t>Are there regulatory issues with autonomous driving cars?</t>
  </si>
  <si>
    <t>Is there near-term robotics applications or is it longer term?</t>
  </si>
  <si>
    <t>Share</t>
  </si>
  <si>
    <t>Other TSLA Ventures</t>
  </si>
  <si>
    <t>CapEx</t>
  </si>
  <si>
    <t>A/R</t>
  </si>
  <si>
    <t>Inventories</t>
  </si>
  <si>
    <t>Prepaids</t>
  </si>
  <si>
    <t>DT</t>
  </si>
  <si>
    <t>ONCA</t>
  </si>
  <si>
    <t>OLTL</t>
  </si>
  <si>
    <t>SBC</t>
  </si>
  <si>
    <t>FX Loss</t>
  </si>
  <si>
    <t>Investments</t>
  </si>
  <si>
    <t>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</si>
</sst>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3" fontId="4" fillId="0" borderId="0" xfId="0" applyNumberFormat="1" applyFont="1"/>
    <xf numFmtId="1" fontId="4" fillId="0" borderId="0" xfId="0" applyNumberFormat="1" applyFont="1"/>
    <xf numFmtId="3" fontId="6" fillId="0" borderId="0" xfId="0" applyNumberFormat="1" applyFont="1"/>
    <xf numFmtId="4" fontId="4" fillId="0" borderId="0" xfId="0" applyNumberFormat="1" applyFont="1"/>
    <xf numFmtId="9" fontId="4" fillId="0" borderId="0" xfId="0" applyNumberFormat="1" applyFont="1"/>
    <xf numFmtId="9" fontId="6" fillId="0" borderId="0" xfId="0" applyNumberFormat="1" applyFont="1"/>
    <xf numFmtId="0" fontId="6" fillId="0" borderId="0" xfId="0" applyFont="1"/>
    <xf numFmtId="0" fontId="4" fillId="0" borderId="0" xfId="0" applyFont="1"/>
    <xf numFmtId="2" fontId="4" fillId="0" borderId="0" xfId="0" applyNumberFormat="1" applyFont="1"/>
    <xf numFmtId="0" fontId="3" fillId="0" borderId="0" xfId="0" applyFont="1"/>
    <xf numFmtId="0" fontId="7" fillId="0" borderId="0" xfId="0" applyFont="1"/>
    <xf numFmtId="3" fontId="2" fillId="0" borderId="0" xfId="0" applyNumberFormat="1" applyFont="1"/>
    <xf numFmtId="3" fontId="8" fillId="0" borderId="0" xfId="1" applyNumberFormat="1" applyFont="1"/>
    <xf numFmtId="3" fontId="1" fillId="0" borderId="0" xfId="0" applyNumberFormat="1" applyFont="1"/>
    <xf numFmtId="9" fontId="1" fillId="0" borderId="0" xfId="0" applyNumberFormat="1" applyFont="1"/>
    <xf numFmtId="14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15</xdr:col>
      <xdr:colOff>19050</xdr:colOff>
      <xdr:row>145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A4BB7AD-E4CC-55B0-C746-C35BA6909A9B}"/>
            </a:ext>
          </a:extLst>
        </xdr:cNvPr>
        <xdr:cNvCxnSpPr/>
      </xdr:nvCxnSpPr>
      <xdr:spPr>
        <a:xfrm>
          <a:off x="10134600" y="0"/>
          <a:ext cx="19050" cy="28851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638175</xdr:colOff>
      <xdr:row>1</xdr:row>
      <xdr:rowOff>0</xdr:rowOff>
    </xdr:from>
    <xdr:to>
      <xdr:col>7</xdr:col>
      <xdr:colOff>28575</xdr:colOff>
      <xdr:row>135</xdr:row>
      <xdr:rowOff>123825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A73C94F-986C-1BC0-8E29-56714F103823}"/>
            </a:ext>
          </a:extLst>
        </xdr:cNvPr>
        <xdr:cNvCxnSpPr/>
      </xdr:nvCxnSpPr>
      <xdr:spPr>
        <a:xfrm>
          <a:off x="4924425" y="0"/>
          <a:ext cx="38100" cy="266985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9DFAE-09FB-4C1C-9676-BB65CCFD3CC8}">
  <dimension ref="A1:L13"/>
  <sheetViews>
    <sheetView zoomScale="115" zoomScaleNormal="115" workbookViewId="0">
      <selection activeCell="F10" sqref="F10"/>
    </sheetView>
  </sheetViews>
  <sheetFormatPr defaultRowHeight="12.75" x14ac:dyDescent="0.2"/>
  <cols>
    <col min="1" max="1" width="3.42578125" style="8" customWidth="1"/>
    <col min="2" max="5" width="9.140625" style="8"/>
    <col min="6" max="6" width="10.5703125" style="8" customWidth="1"/>
    <col min="7" max="16384" width="9.140625" style="8"/>
  </cols>
  <sheetData>
    <row r="1" spans="1:12" x14ac:dyDescent="0.2">
      <c r="A1" s="7"/>
    </row>
    <row r="2" spans="1:12" x14ac:dyDescent="0.2">
      <c r="J2" s="8" t="s">
        <v>0</v>
      </c>
      <c r="K2" s="4">
        <v>330</v>
      </c>
    </row>
    <row r="3" spans="1:12" x14ac:dyDescent="0.2">
      <c r="J3" s="8" t="s">
        <v>1</v>
      </c>
      <c r="K3" s="1">
        <v>3220.9560000000001</v>
      </c>
      <c r="L3" s="8" t="s">
        <v>10</v>
      </c>
    </row>
    <row r="4" spans="1:12" x14ac:dyDescent="0.2">
      <c r="J4" s="8" t="s">
        <v>2</v>
      </c>
      <c r="K4" s="1">
        <f>K3*K2</f>
        <v>1062915.48</v>
      </c>
    </row>
    <row r="5" spans="1:12" x14ac:dyDescent="0.2">
      <c r="J5" s="8" t="s">
        <v>3</v>
      </c>
      <c r="K5" s="1">
        <f>16352+20644</f>
        <v>36996</v>
      </c>
      <c r="L5" s="8" t="s">
        <v>10</v>
      </c>
    </row>
    <row r="6" spans="1:12" x14ac:dyDescent="0.2">
      <c r="J6" s="8" t="s">
        <v>4</v>
      </c>
      <c r="K6" s="1">
        <f>5292+3610+11038</f>
        <v>19940</v>
      </c>
      <c r="L6" s="8" t="s">
        <v>10</v>
      </c>
    </row>
    <row r="7" spans="1:12" x14ac:dyDescent="0.2">
      <c r="J7" s="8" t="s">
        <v>5</v>
      </c>
      <c r="K7" s="1">
        <f>K4+K6-K5</f>
        <v>1045859.48</v>
      </c>
    </row>
    <row r="8" spans="1:12" x14ac:dyDescent="0.2">
      <c r="K8" s="9">
        <f>K2/Model!P20</f>
        <v>71.72209402359239</v>
      </c>
    </row>
    <row r="10" spans="1:12" x14ac:dyDescent="0.2">
      <c r="F10" s="11" t="s">
        <v>122</v>
      </c>
    </row>
    <row r="11" spans="1:12" x14ac:dyDescent="0.2">
      <c r="F11" s="10" t="s">
        <v>107</v>
      </c>
    </row>
    <row r="12" spans="1:12" x14ac:dyDescent="0.2">
      <c r="F12" s="10" t="s">
        <v>108</v>
      </c>
    </row>
    <row r="13" spans="1:12" x14ac:dyDescent="0.2">
      <c r="F13" s="10" t="s">
        <v>109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E7A2-9B92-42CF-8ECF-ED82CD9F983C}">
  <dimension ref="A1:FP131"/>
  <sheetViews>
    <sheetView tabSelected="1" zoomScale="130" zoomScaleNormal="130" workbookViewId="0">
      <pane xSplit="2" ySplit="2" topLeftCell="E21" activePane="bottomRight" state="frozen"/>
      <selection pane="topRight" activeCell="B1" sqref="B1"/>
      <selection pane="bottomLeft" activeCell="A2" sqref="A2"/>
      <selection pane="bottomRight" activeCell="H38" sqref="H38"/>
    </sheetView>
  </sheetViews>
  <sheetFormatPr defaultRowHeight="12.75" x14ac:dyDescent="0.2"/>
  <cols>
    <col min="1" max="1" width="5" style="1" customWidth="1"/>
    <col min="2" max="2" width="22.140625" style="1" customWidth="1"/>
    <col min="3" max="6" width="9.28515625" style="1" bestFit="1" customWidth="1"/>
    <col min="7" max="10" width="9.7109375" style="1" customWidth="1"/>
    <col min="11" max="11" width="9.140625" style="1"/>
    <col min="12" max="12" width="9.28515625" style="1" bestFit="1" customWidth="1"/>
    <col min="13" max="15" width="10.140625" style="1" bestFit="1" customWidth="1"/>
    <col min="16" max="16" width="10.140625" style="1" customWidth="1"/>
    <col min="17" max="17" width="10.28515625" style="1" customWidth="1"/>
    <col min="18" max="18" width="10" style="1" customWidth="1"/>
    <col min="19" max="19" width="10.42578125" style="1" customWidth="1"/>
    <col min="20" max="20" width="10" style="1" customWidth="1"/>
    <col min="21" max="21" width="10.140625" style="1" bestFit="1" customWidth="1"/>
    <col min="22" max="23" width="10.140625" style="1" customWidth="1"/>
    <col min="24" max="24" width="11.42578125" style="1" customWidth="1"/>
    <col min="25" max="25" width="11.28515625" style="1" customWidth="1"/>
    <col min="26" max="26" width="9.28515625" style="1" bestFit="1" customWidth="1"/>
    <col min="27" max="27" width="10" style="1" customWidth="1"/>
    <col min="28" max="28" width="10.140625" style="1" customWidth="1"/>
    <col min="29" max="172" width="9.28515625" style="1" bestFit="1" customWidth="1"/>
    <col min="173" max="16384" width="9.140625" style="1"/>
  </cols>
  <sheetData>
    <row r="1" spans="1:25" x14ac:dyDescent="0.2">
      <c r="A1" s="13" t="s">
        <v>89</v>
      </c>
      <c r="G1" s="16">
        <v>45769</v>
      </c>
      <c r="H1" s="16">
        <v>45861</v>
      </c>
    </row>
    <row r="2" spans="1:25" x14ac:dyDescent="0.2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94</v>
      </c>
      <c r="I2" s="1" t="s">
        <v>95</v>
      </c>
      <c r="J2" s="1" t="s">
        <v>96</v>
      </c>
      <c r="L2" s="2">
        <v>2021</v>
      </c>
      <c r="M2" s="2">
        <v>2022</v>
      </c>
      <c r="N2" s="2">
        <f>M2+1</f>
        <v>2023</v>
      </c>
      <c r="O2" s="2">
        <f t="shared" ref="O2:T2" si="0">N2+1</f>
        <v>2024</v>
      </c>
      <c r="P2" s="2">
        <f t="shared" si="0"/>
        <v>2025</v>
      </c>
      <c r="Q2" s="2">
        <f t="shared" si="0"/>
        <v>2026</v>
      </c>
      <c r="R2" s="2">
        <f t="shared" si="0"/>
        <v>2027</v>
      </c>
      <c r="S2" s="2">
        <f t="shared" si="0"/>
        <v>2028</v>
      </c>
      <c r="T2" s="2">
        <f t="shared" si="0"/>
        <v>2029</v>
      </c>
      <c r="U2" s="2">
        <f t="shared" ref="U2" si="1">T2+1</f>
        <v>2030</v>
      </c>
      <c r="V2" s="2">
        <f t="shared" ref="V2" si="2">U2+1</f>
        <v>2031</v>
      </c>
      <c r="W2" s="2">
        <f t="shared" ref="W2" si="3">V2+1</f>
        <v>2032</v>
      </c>
      <c r="X2" s="2">
        <f t="shared" ref="X2" si="4">W2+1</f>
        <v>2033</v>
      </c>
      <c r="Y2" s="2">
        <f t="shared" ref="Y2" si="5">X2+1</f>
        <v>2034</v>
      </c>
    </row>
    <row r="3" spans="1:25" x14ac:dyDescent="0.2">
      <c r="B3" s="1" t="s">
        <v>19</v>
      </c>
      <c r="C3" s="1">
        <f>16460+442+476</f>
        <v>17378</v>
      </c>
      <c r="F3" s="1">
        <v>19798</v>
      </c>
      <c r="G3" s="1">
        <v>13967</v>
      </c>
      <c r="L3" s="1">
        <v>47232</v>
      </c>
      <c r="M3" s="1">
        <v>71462</v>
      </c>
      <c r="N3" s="1">
        <v>82419</v>
      </c>
      <c r="O3" s="1">
        <v>77070</v>
      </c>
      <c r="P3" s="1">
        <f>(P45*P51)/1000000</f>
        <v>96241.468721603393</v>
      </c>
      <c r="Q3" s="1">
        <f>(Q45*Q51)/1000000</f>
        <v>131545.16512661538</v>
      </c>
      <c r="R3" s="1">
        <f t="shared" ref="R3:U3" si="6">(R45*R51)/1000000</f>
        <v>165523.51790236833</v>
      </c>
      <c r="S3" s="1">
        <f t="shared" si="6"/>
        <v>190637.33000907346</v>
      </c>
      <c r="T3" s="1">
        <f t="shared" si="6"/>
        <v>212080.16696683457</v>
      </c>
      <c r="U3" s="1">
        <f t="shared" si="6"/>
        <v>237667.16214046907</v>
      </c>
      <c r="V3" s="1">
        <f t="shared" ref="V3:Y3" si="7">(V45*V51)/1000000</f>
        <v>268766.90653404174</v>
      </c>
      <c r="W3" s="1">
        <f t="shared" si="7"/>
        <v>307311.38094350812</v>
      </c>
      <c r="X3" s="1">
        <f t="shared" si="7"/>
        <v>356041.08667491598</v>
      </c>
      <c r="Y3" s="1">
        <f t="shared" si="7"/>
        <v>418858.14029292308</v>
      </c>
    </row>
    <row r="4" spans="1:25" x14ac:dyDescent="0.2">
      <c r="B4" s="1" t="s">
        <v>20</v>
      </c>
      <c r="C4" s="1">
        <v>1635</v>
      </c>
      <c r="G4" s="1">
        <v>2730</v>
      </c>
      <c r="L4" s="1">
        <v>2789</v>
      </c>
      <c r="M4" s="1">
        <v>3909</v>
      </c>
      <c r="N4" s="1">
        <v>6035</v>
      </c>
      <c r="O4" s="1">
        <v>10086</v>
      </c>
      <c r="P4" s="1">
        <f>O4*1.5</f>
        <v>15129</v>
      </c>
      <c r="Q4" s="1">
        <f>P4*1.24</f>
        <v>18759.96</v>
      </c>
      <c r="R4" s="1">
        <f t="shared" ref="R4:U4" si="8">Q4*1.24</f>
        <v>23262.350399999999</v>
      </c>
      <c r="S4" s="1">
        <f t="shared" si="8"/>
        <v>28845.314495999999</v>
      </c>
      <c r="T4" s="1">
        <f t="shared" si="8"/>
        <v>35768.189975039997</v>
      </c>
      <c r="U4" s="1">
        <f t="shared" si="8"/>
        <v>44352.555569049597</v>
      </c>
      <c r="V4" s="1">
        <f t="shared" ref="V4" si="9">U4*1.24</f>
        <v>54997.168905621496</v>
      </c>
      <c r="W4" s="1">
        <f t="shared" ref="W4" si="10">V4*1.24</f>
        <v>68196.489442970662</v>
      </c>
      <c r="X4" s="1">
        <f t="shared" ref="X4" si="11">W4*1.24</f>
        <v>84563.64690928362</v>
      </c>
      <c r="Y4" s="1">
        <f t="shared" ref="Y4" si="12">X4*1.24</f>
        <v>104858.92216751169</v>
      </c>
    </row>
    <row r="5" spans="1:25" x14ac:dyDescent="0.2">
      <c r="B5" s="1" t="s">
        <v>21</v>
      </c>
      <c r="C5" s="1">
        <v>2288</v>
      </c>
      <c r="G5" s="1">
        <v>2638</v>
      </c>
      <c r="L5" s="1">
        <v>3802</v>
      </c>
      <c r="M5" s="1">
        <v>6091</v>
      </c>
      <c r="N5" s="1">
        <v>8319</v>
      </c>
      <c r="O5" s="1">
        <v>10534</v>
      </c>
      <c r="P5" s="1">
        <f>O5*1.3</f>
        <v>13694.2</v>
      </c>
      <c r="Q5" s="1">
        <f>P5*1.3</f>
        <v>17802.460000000003</v>
      </c>
      <c r="R5" s="1">
        <f t="shared" ref="R5:U5" si="13">Q5*1.3</f>
        <v>23143.198000000004</v>
      </c>
      <c r="S5" s="1">
        <f t="shared" si="13"/>
        <v>30086.157400000007</v>
      </c>
      <c r="T5" s="1">
        <f t="shared" si="13"/>
        <v>39112.004620000014</v>
      </c>
      <c r="U5" s="1">
        <f t="shared" si="13"/>
        <v>50845.606006000024</v>
      </c>
      <c r="V5" s="1">
        <f t="shared" ref="V5" si="14">U5*1.3</f>
        <v>66099.287807800036</v>
      </c>
      <c r="W5" s="1">
        <f t="shared" ref="W5" si="15">V5*1.3</f>
        <v>85929.074150140048</v>
      </c>
      <c r="X5" s="1">
        <f t="shared" ref="X5" si="16">W5*1.3</f>
        <v>111707.79639518207</v>
      </c>
      <c r="Y5" s="1">
        <f t="shared" ref="Y5" si="17">X5*1.3</f>
        <v>145220.13531373671</v>
      </c>
    </row>
    <row r="6" spans="1:25" s="3" customFormat="1" x14ac:dyDescent="0.2">
      <c r="B6" s="3" t="s">
        <v>11</v>
      </c>
      <c r="C6" s="3">
        <f>SUM(C3:C5)</f>
        <v>21301</v>
      </c>
      <c r="D6" s="3">
        <f t="shared" ref="D6:G6" si="18">SUM(D3:D5)</f>
        <v>0</v>
      </c>
      <c r="E6" s="3">
        <f t="shared" si="18"/>
        <v>0</v>
      </c>
      <c r="F6" s="3">
        <f t="shared" si="18"/>
        <v>19798</v>
      </c>
      <c r="G6" s="3">
        <f t="shared" si="18"/>
        <v>19335</v>
      </c>
      <c r="H6" s="3">
        <f t="shared" ref="H6" si="19">SUM(H3:H5)</f>
        <v>0</v>
      </c>
      <c r="I6" s="3">
        <f t="shared" ref="I6" si="20">SUM(I3:I5)</f>
        <v>0</v>
      </c>
      <c r="J6" s="3">
        <f t="shared" ref="J6" si="21">SUM(J3:J5)</f>
        <v>0</v>
      </c>
      <c r="L6" s="3">
        <f t="shared" ref="L6:T6" si="22">SUM(L3:L5)</f>
        <v>53823</v>
      </c>
      <c r="M6" s="3">
        <f t="shared" si="22"/>
        <v>81462</v>
      </c>
      <c r="N6" s="3">
        <f t="shared" si="22"/>
        <v>96773</v>
      </c>
      <c r="O6" s="3">
        <f t="shared" si="22"/>
        <v>97690</v>
      </c>
      <c r="P6" s="3">
        <f t="shared" si="22"/>
        <v>125064.66872160339</v>
      </c>
      <c r="Q6" s="3">
        <f t="shared" si="22"/>
        <v>168107.58512661536</v>
      </c>
      <c r="R6" s="3">
        <f t="shared" si="22"/>
        <v>211929.06630236833</v>
      </c>
      <c r="S6" s="3">
        <f t="shared" si="22"/>
        <v>249568.80190507346</v>
      </c>
      <c r="T6" s="3">
        <f t="shared" si="22"/>
        <v>286960.36156187457</v>
      </c>
      <c r="U6" s="3">
        <f t="shared" ref="U6:Y6" si="23">SUM(U3:U5)</f>
        <v>332865.32371551869</v>
      </c>
      <c r="V6" s="3">
        <f t="shared" si="23"/>
        <v>389863.36324746331</v>
      </c>
      <c r="W6" s="3">
        <f t="shared" si="23"/>
        <v>461436.94453661883</v>
      </c>
      <c r="X6" s="3">
        <f t="shared" si="23"/>
        <v>552312.52997938159</v>
      </c>
      <c r="Y6" s="3">
        <f t="shared" si="23"/>
        <v>668937.19777417148</v>
      </c>
    </row>
    <row r="7" spans="1:25" x14ac:dyDescent="0.2">
      <c r="B7" s="1" t="s">
        <v>22</v>
      </c>
      <c r="C7" s="1">
        <v>14166</v>
      </c>
      <c r="G7" s="1">
        <v>11700</v>
      </c>
      <c r="L7" s="1">
        <f>32415+978</f>
        <v>33393</v>
      </c>
      <c r="M7" s="1">
        <v>51108</v>
      </c>
      <c r="N7" s="1">
        <v>66389</v>
      </c>
      <c r="O7" s="1">
        <v>62873</v>
      </c>
      <c r="P7" s="1">
        <f t="shared" ref="P7:U9" si="24">P3*(1-P23)</f>
        <v>72336.546981195526</v>
      </c>
      <c r="Q7" s="1">
        <f t="shared" si="24"/>
        <v>95603.957958894811</v>
      </c>
      <c r="R7" s="1">
        <f t="shared" si="24"/>
        <v>115776.14370913184</v>
      </c>
      <c r="S7" s="1">
        <f t="shared" si="24"/>
        <v>127612.58656186017</v>
      </c>
      <c r="T7" s="1">
        <f t="shared" si="24"/>
        <v>134955.04187218598</v>
      </c>
      <c r="U7" s="1">
        <f t="shared" si="24"/>
        <v>142594.05436031378</v>
      </c>
      <c r="V7" s="1">
        <f t="shared" ref="V7:Y7" si="25">V3*(1-V23)</f>
        <v>160177.94585918428</v>
      </c>
      <c r="W7" s="1">
        <f t="shared" si="25"/>
        <v>181907.81050600007</v>
      </c>
      <c r="X7" s="1">
        <f t="shared" si="25"/>
        <v>209299.65592169148</v>
      </c>
      <c r="Y7" s="1">
        <f t="shared" si="25"/>
        <v>244500.50702968281</v>
      </c>
    </row>
    <row r="8" spans="1:25" x14ac:dyDescent="0.2">
      <c r="B8" s="1" t="s">
        <v>23</v>
      </c>
      <c r="C8" s="1">
        <v>1232</v>
      </c>
      <c r="G8" s="1">
        <v>1945</v>
      </c>
      <c r="L8" s="1">
        <v>2918</v>
      </c>
      <c r="M8" s="1">
        <v>3621</v>
      </c>
      <c r="N8" s="1">
        <v>4894</v>
      </c>
      <c r="O8" s="1">
        <v>7446</v>
      </c>
      <c r="P8" s="1">
        <f t="shared" si="24"/>
        <v>9657.6904109589032</v>
      </c>
      <c r="Q8" s="1">
        <f t="shared" si="24"/>
        <v>11839.84763178082</v>
      </c>
      <c r="R8" s="1">
        <f t="shared" si="24"/>
        <v>14509.792276676384</v>
      </c>
      <c r="S8" s="1">
        <f t="shared" si="24"/>
        <v>17775.078981620289</v>
      </c>
      <c r="T8" s="1">
        <f t="shared" si="24"/>
        <v>21766.556096452536</v>
      </c>
      <c r="U8" s="1">
        <f t="shared" si="24"/>
        <v>26643.289039412179</v>
      </c>
      <c r="V8" s="1">
        <f t="shared" ref="V8:Y8" si="26">V4*(1-V24)</f>
        <v>32818.083503903596</v>
      </c>
      <c r="W8" s="1">
        <f t="shared" si="26"/>
        <v>40419.402885859163</v>
      </c>
      <c r="X8" s="1">
        <f t="shared" si="26"/>
        <v>49775.623705157166</v>
      </c>
      <c r="Y8" s="1">
        <f t="shared" si="26"/>
        <v>61290.401906663727</v>
      </c>
    </row>
    <row r="9" spans="1:25" x14ac:dyDescent="0.2">
      <c r="B9" s="1" t="s">
        <v>24</v>
      </c>
      <c r="C9" s="1">
        <v>2207</v>
      </c>
      <c r="G9" s="1">
        <v>2537</v>
      </c>
      <c r="L9" s="1">
        <v>3906</v>
      </c>
      <c r="M9" s="1">
        <v>5880</v>
      </c>
      <c r="N9" s="1">
        <v>7830</v>
      </c>
      <c r="O9" s="1">
        <v>9921</v>
      </c>
      <c r="P9" s="1">
        <f t="shared" si="24"/>
        <v>12872.548000000001</v>
      </c>
      <c r="Q9" s="1">
        <f t="shared" si="24"/>
        <v>16734.312400000003</v>
      </c>
      <c r="R9" s="1">
        <f t="shared" si="24"/>
        <v>21754.606120000004</v>
      </c>
      <c r="S9" s="1">
        <f t="shared" si="24"/>
        <v>28280.987956000004</v>
      </c>
      <c r="T9" s="1">
        <f t="shared" si="24"/>
        <v>36765.284342800012</v>
      </c>
      <c r="U9" s="1">
        <f t="shared" si="24"/>
        <v>47794.869645640021</v>
      </c>
      <c r="V9" s="1">
        <f t="shared" ref="V9:Y9" si="27">V5*(1-V25)</f>
        <v>62133.330539332033</v>
      </c>
      <c r="W9" s="1">
        <f t="shared" si="27"/>
        <v>80773.329701131646</v>
      </c>
      <c r="X9" s="1">
        <f t="shared" si="27"/>
        <v>105005.32861147114</v>
      </c>
      <c r="Y9" s="1">
        <f t="shared" si="27"/>
        <v>136506.92719491251</v>
      </c>
    </row>
    <row r="10" spans="1:25" x14ac:dyDescent="0.2">
      <c r="B10" s="1" t="s">
        <v>25</v>
      </c>
      <c r="C10" s="1">
        <f>SUM(C7:C9)</f>
        <v>17605</v>
      </c>
      <c r="D10" s="1">
        <f t="shared" ref="D10:G10" si="28">SUM(D7:D9)</f>
        <v>0</v>
      </c>
      <c r="E10" s="1">
        <f t="shared" si="28"/>
        <v>0</v>
      </c>
      <c r="F10" s="1">
        <f t="shared" si="28"/>
        <v>0</v>
      </c>
      <c r="G10" s="1">
        <f t="shared" si="28"/>
        <v>16182</v>
      </c>
      <c r="H10" s="1">
        <f t="shared" ref="H10" si="29">SUM(H7:H9)</f>
        <v>0</v>
      </c>
      <c r="I10" s="1">
        <f t="shared" ref="I10" si="30">SUM(I7:I9)</f>
        <v>0</v>
      </c>
      <c r="J10" s="1">
        <f t="shared" ref="J10" si="31">SUM(J7:J9)</f>
        <v>0</v>
      </c>
      <c r="L10" s="1">
        <f>SUM(L7:L9)</f>
        <v>40217</v>
      </c>
      <c r="M10" s="1">
        <f>SUM(M7:M9)</f>
        <v>60609</v>
      </c>
      <c r="N10" s="1">
        <f t="shared" ref="N10:T10" si="32">SUM(N7:N9)</f>
        <v>79113</v>
      </c>
      <c r="O10" s="1">
        <f t="shared" si="32"/>
        <v>80240</v>
      </c>
      <c r="P10" s="1">
        <f t="shared" si="32"/>
        <v>94866.78539215443</v>
      </c>
      <c r="Q10" s="1">
        <f t="shared" si="32"/>
        <v>124178.11799067564</v>
      </c>
      <c r="R10" s="1">
        <f t="shared" si="32"/>
        <v>152040.54210580821</v>
      </c>
      <c r="S10" s="1">
        <f t="shared" si="32"/>
        <v>173668.65349948045</v>
      </c>
      <c r="T10" s="1">
        <f t="shared" si="32"/>
        <v>193486.88231143853</v>
      </c>
      <c r="U10" s="1">
        <f t="shared" ref="U10:Y10" si="33">SUM(U7:U9)</f>
        <v>217032.21304536599</v>
      </c>
      <c r="V10" s="1">
        <f t="shared" si="33"/>
        <v>255129.35990241991</v>
      </c>
      <c r="W10" s="1">
        <f t="shared" si="33"/>
        <v>303100.54309299088</v>
      </c>
      <c r="X10" s="1">
        <f t="shared" si="33"/>
        <v>364080.60823831975</v>
      </c>
      <c r="Y10" s="1">
        <f t="shared" si="33"/>
        <v>442297.83613125904</v>
      </c>
    </row>
    <row r="11" spans="1:25" s="3" customFormat="1" x14ac:dyDescent="0.2">
      <c r="B11" s="3" t="s">
        <v>30</v>
      </c>
      <c r="C11" s="3">
        <f>C6-C10</f>
        <v>3696</v>
      </c>
      <c r="D11" s="3">
        <f t="shared" ref="D11:G11" si="34">D6-D10</f>
        <v>0</v>
      </c>
      <c r="E11" s="3">
        <f t="shared" si="34"/>
        <v>0</v>
      </c>
      <c r="F11" s="3">
        <f t="shared" si="34"/>
        <v>19798</v>
      </c>
      <c r="G11" s="3">
        <f t="shared" si="34"/>
        <v>3153</v>
      </c>
      <c r="H11" s="3">
        <f t="shared" ref="H11" si="35">H6-H10</f>
        <v>0</v>
      </c>
      <c r="I11" s="3">
        <f t="shared" ref="I11" si="36">I6-I10</f>
        <v>0</v>
      </c>
      <c r="J11" s="3">
        <f t="shared" ref="J11" si="37">J6-J10</f>
        <v>0</v>
      </c>
      <c r="L11" s="3">
        <f>L6-L10</f>
        <v>13606</v>
      </c>
      <c r="M11" s="3">
        <f>M6-M10</f>
        <v>20853</v>
      </c>
      <c r="N11" s="3">
        <f t="shared" ref="N11:T11" si="38">N6-N10</f>
        <v>17660</v>
      </c>
      <c r="O11" s="3">
        <f t="shared" si="38"/>
        <v>17450</v>
      </c>
      <c r="P11" s="3">
        <f t="shared" si="38"/>
        <v>30197.88332944896</v>
      </c>
      <c r="Q11" s="3">
        <f t="shared" si="38"/>
        <v>43929.467135939718</v>
      </c>
      <c r="R11" s="3">
        <f t="shared" si="38"/>
        <v>59888.524196560116</v>
      </c>
      <c r="S11" s="3">
        <f t="shared" si="38"/>
        <v>75900.148405593005</v>
      </c>
      <c r="T11" s="3">
        <f t="shared" si="38"/>
        <v>93473.479250436038</v>
      </c>
      <c r="U11" s="3">
        <f t="shared" ref="U11:Y11" si="39">U6-U10</f>
        <v>115833.1106701527</v>
      </c>
      <c r="V11" s="3">
        <f t="shared" si="39"/>
        <v>134734.0033450434</v>
      </c>
      <c r="W11" s="3">
        <f t="shared" si="39"/>
        <v>158336.40144362795</v>
      </c>
      <c r="X11" s="3">
        <f t="shared" si="39"/>
        <v>188231.92174106184</v>
      </c>
      <c r="Y11" s="3">
        <f t="shared" si="39"/>
        <v>226639.36164291244</v>
      </c>
    </row>
    <row r="12" spans="1:25" x14ac:dyDescent="0.2">
      <c r="B12" s="1" t="s">
        <v>31</v>
      </c>
      <c r="C12" s="1">
        <v>1151</v>
      </c>
      <c r="G12" s="1">
        <v>1409</v>
      </c>
      <c r="L12" s="1">
        <v>2593</v>
      </c>
      <c r="M12" s="1">
        <v>3075</v>
      </c>
      <c r="N12" s="1">
        <v>3969</v>
      </c>
      <c r="O12" s="1">
        <v>4540</v>
      </c>
      <c r="P12" s="1">
        <f>O12*(1+P30)</f>
        <v>5812.1977274652409</v>
      </c>
      <c r="Q12" s="1">
        <f>P12*(1+Q30)</f>
        <v>7812.5543707117795</v>
      </c>
      <c r="R12" s="1">
        <f>Q12*(1+R30)</f>
        <v>9849.0936739968492</v>
      </c>
      <c r="S12" s="1">
        <f>R12*(1+S30)</f>
        <v>11598.345384881088</v>
      </c>
      <c r="T12" s="1">
        <f>S12*(1+T30)</f>
        <v>13336.063481327777</v>
      </c>
      <c r="U12" s="1">
        <f>T12*(1+U30)</f>
        <v>15469.429518563364</v>
      </c>
      <c r="V12" s="1">
        <f>U12*(1+V30)</f>
        <v>18118.330117140787</v>
      </c>
      <c r="W12" s="1">
        <f>V12*(1+W30)</f>
        <v>21444.607720301457</v>
      </c>
      <c r="X12" s="1">
        <f>W12*(1+X30)</f>
        <v>25667.917761351135</v>
      </c>
      <c r="Y12" s="1">
        <f>X12*(1+Y30)</f>
        <v>31087.878778736187</v>
      </c>
    </row>
    <row r="13" spans="1:25" x14ac:dyDescent="0.2">
      <c r="B13" s="1" t="s">
        <v>32</v>
      </c>
      <c r="C13" s="1">
        <v>1374</v>
      </c>
      <c r="G13" s="1">
        <v>1251</v>
      </c>
      <c r="L13" s="1">
        <v>4517</v>
      </c>
      <c r="M13" s="1">
        <v>3946</v>
      </c>
      <c r="N13" s="1">
        <v>4800</v>
      </c>
      <c r="O13" s="1">
        <v>5150</v>
      </c>
      <c r="P13" s="1">
        <f>O13*(1+P30)</f>
        <v>6593.1317833581479</v>
      </c>
      <c r="Q13" s="1">
        <f>P13*(1+Q30)</f>
        <v>8862.2588125915554</v>
      </c>
      <c r="R13" s="1">
        <f>Q13*(1+R30)</f>
        <v>11172.430048696866</v>
      </c>
      <c r="S13" s="1">
        <f>R13*(1+S30)</f>
        <v>13156.71337712282</v>
      </c>
      <c r="T13" s="1">
        <f>S13*(1+T30)</f>
        <v>15127.913420448911</v>
      </c>
      <c r="U13" s="1">
        <f>T13*(1+U30)</f>
        <v>17547.921149912185</v>
      </c>
      <c r="V13" s="1">
        <f>U13*(1+V30)</f>
        <v>20552.731300280848</v>
      </c>
      <c r="W13" s="1">
        <f>V13*(1+W30)</f>
        <v>24325.93166509967</v>
      </c>
      <c r="X13" s="1">
        <f>W13*(1+X30)</f>
        <v>29116.690852633994</v>
      </c>
      <c r="Y13" s="1">
        <f>X13*(1+Y30)</f>
        <v>35264.884517729377</v>
      </c>
    </row>
    <row r="14" spans="1:25" x14ac:dyDescent="0.2">
      <c r="B14" s="1" t="s">
        <v>93</v>
      </c>
      <c r="C14" s="1">
        <f>SUM(C12:C13)</f>
        <v>2525</v>
      </c>
      <c r="D14" s="1">
        <f t="shared" ref="D14:G14" si="40">SUM(D12:D13)</f>
        <v>0</v>
      </c>
      <c r="E14" s="1">
        <f t="shared" si="40"/>
        <v>0</v>
      </c>
      <c r="F14" s="1">
        <f t="shared" si="40"/>
        <v>0</v>
      </c>
      <c r="G14" s="1">
        <f t="shared" si="40"/>
        <v>2660</v>
      </c>
      <c r="H14" s="1">
        <f t="shared" ref="H14" si="41">SUM(H12:H13)</f>
        <v>0</v>
      </c>
      <c r="I14" s="1">
        <f t="shared" ref="I14" si="42">SUM(I12:I13)</f>
        <v>0</v>
      </c>
      <c r="J14" s="1">
        <f t="shared" ref="J14" si="43">SUM(J12:J13)</f>
        <v>0</v>
      </c>
      <c r="L14" s="1">
        <f>SUM(L12:L13)</f>
        <v>7110</v>
      </c>
      <c r="M14" s="1">
        <f>SUM(M12:M13)</f>
        <v>7021</v>
      </c>
      <c r="N14" s="1">
        <f t="shared" ref="N14:P14" si="44">SUM(N12:N13)</f>
        <v>8769</v>
      </c>
      <c r="O14" s="1">
        <f t="shared" si="44"/>
        <v>9690</v>
      </c>
      <c r="P14" s="1">
        <f t="shared" si="44"/>
        <v>12405.329510823389</v>
      </c>
      <c r="Q14" s="1">
        <f t="shared" ref="Q14" si="45">SUM(Q12:Q13)</f>
        <v>16674.813183303333</v>
      </c>
      <c r="R14" s="1">
        <f t="shared" ref="R14" si="46">SUM(R12:R13)</f>
        <v>21021.523722693717</v>
      </c>
      <c r="S14" s="1">
        <f t="shared" ref="S14" si="47">SUM(S12:S13)</f>
        <v>24755.058762003908</v>
      </c>
      <c r="T14" s="1">
        <f t="shared" ref="T14:U14" si="48">SUM(T12:T13)</f>
        <v>28463.976901776688</v>
      </c>
      <c r="U14" s="1">
        <f t="shared" si="48"/>
        <v>33017.350668475548</v>
      </c>
      <c r="V14" s="1">
        <f t="shared" ref="V14:Y14" si="49">SUM(V12:V13)</f>
        <v>38671.061417421632</v>
      </c>
      <c r="W14" s="1">
        <f t="shared" si="49"/>
        <v>45770.539385401127</v>
      </c>
      <c r="X14" s="1">
        <f t="shared" si="49"/>
        <v>54784.608613985125</v>
      </c>
      <c r="Y14" s="1">
        <f t="shared" si="49"/>
        <v>66352.763296465564</v>
      </c>
    </row>
    <row r="15" spans="1:25" x14ac:dyDescent="0.2">
      <c r="B15" s="1" t="s">
        <v>92</v>
      </c>
      <c r="C15" s="1">
        <f>C11-C14</f>
        <v>1171</v>
      </c>
      <c r="D15" s="1">
        <f t="shared" ref="D15:G15" si="50">D11-D14</f>
        <v>0</v>
      </c>
      <c r="E15" s="1">
        <f t="shared" si="50"/>
        <v>0</v>
      </c>
      <c r="F15" s="1">
        <f t="shared" si="50"/>
        <v>19798</v>
      </c>
      <c r="G15" s="1">
        <f t="shared" si="50"/>
        <v>493</v>
      </c>
      <c r="H15" s="1">
        <f t="shared" ref="H15" si="51">H11-H14</f>
        <v>0</v>
      </c>
      <c r="I15" s="1">
        <f t="shared" ref="I15" si="52">I11-I14</f>
        <v>0</v>
      </c>
      <c r="J15" s="1">
        <f t="shared" ref="J15" si="53">J11-J14</f>
        <v>0</v>
      </c>
      <c r="L15" s="1">
        <f>L11-L14</f>
        <v>6496</v>
      </c>
      <c r="M15" s="1">
        <f>M11-M14</f>
        <v>13832</v>
      </c>
      <c r="N15" s="1">
        <f t="shared" ref="N15:T15" si="54">N11-N14</f>
        <v>8891</v>
      </c>
      <c r="O15" s="1">
        <f t="shared" si="54"/>
        <v>7760</v>
      </c>
      <c r="P15" s="1">
        <f t="shared" si="54"/>
        <v>17792.553818625573</v>
      </c>
      <c r="Q15" s="1">
        <f t="shared" si="54"/>
        <v>27254.653952636385</v>
      </c>
      <c r="R15" s="1">
        <f t="shared" si="54"/>
        <v>38867.000473866399</v>
      </c>
      <c r="S15" s="1">
        <f t="shared" si="54"/>
        <v>51145.089643589097</v>
      </c>
      <c r="T15" s="1">
        <f t="shared" si="54"/>
        <v>65009.502348659349</v>
      </c>
      <c r="U15" s="1">
        <f t="shared" ref="U15:Y15" si="55">U11-U14</f>
        <v>82815.760001677147</v>
      </c>
      <c r="V15" s="1">
        <f t="shared" si="55"/>
        <v>96062.941927621767</v>
      </c>
      <c r="W15" s="1">
        <f t="shared" si="55"/>
        <v>112565.86205822683</v>
      </c>
      <c r="X15" s="1">
        <f t="shared" si="55"/>
        <v>133447.31312707672</v>
      </c>
      <c r="Y15" s="1">
        <f t="shared" si="55"/>
        <v>160286.59834644687</v>
      </c>
    </row>
    <row r="16" spans="1:25" x14ac:dyDescent="0.2">
      <c r="B16" s="1" t="s">
        <v>35</v>
      </c>
      <c r="C16" s="1">
        <f>350-76</f>
        <v>274</v>
      </c>
      <c r="D16" s="3"/>
      <c r="E16" s="3"/>
      <c r="F16" s="3"/>
      <c r="G16" s="1">
        <f>400-91</f>
        <v>309</v>
      </c>
      <c r="H16" s="3"/>
      <c r="I16" s="3"/>
      <c r="J16" s="3"/>
      <c r="K16" s="3"/>
      <c r="L16" s="1">
        <v>56</v>
      </c>
      <c r="M16" s="1">
        <f>296-191</f>
        <v>105</v>
      </c>
      <c r="N16" s="1">
        <f>1066-156</f>
        <v>910</v>
      </c>
      <c r="O16" s="1">
        <f>1569-350</f>
        <v>1219</v>
      </c>
      <c r="P16" s="1">
        <f>O86*$AB$123</f>
        <v>503.64</v>
      </c>
      <c r="Q16" s="1">
        <f>P86*$AB$123</f>
        <v>800.03833986173424</v>
      </c>
      <c r="R16" s="1">
        <f>Q86*$AB$123</f>
        <v>1254.5243550002037</v>
      </c>
      <c r="S16" s="1">
        <f>R86*$AB$123</f>
        <v>1904.4930572278429</v>
      </c>
      <c r="T16" s="1">
        <f>S86*$AB$123</f>
        <v>2763.8962969810773</v>
      </c>
      <c r="U16" s="1">
        <f>T86*$AB$123</f>
        <v>3861.825355040452</v>
      </c>
      <c r="V16" s="1">
        <f>U86*$AB$123</f>
        <v>5266.0022378192771</v>
      </c>
      <c r="W16" s="1">
        <f>V86*$AB$123</f>
        <v>6907.5311332994224</v>
      </c>
      <c r="X16" s="1">
        <f>W86*$AB$123</f>
        <v>8843.0001030021485</v>
      </c>
      <c r="Y16" s="1">
        <f>X86*$AB$123</f>
        <v>11148.103177329425</v>
      </c>
    </row>
    <row r="17" spans="1:172" x14ac:dyDescent="0.2">
      <c r="B17" s="1" t="s">
        <v>33</v>
      </c>
      <c r="C17" s="1">
        <f>C15+C16</f>
        <v>1445</v>
      </c>
      <c r="D17" s="1">
        <f t="shared" ref="D17:G17" si="56">D15+D16</f>
        <v>0</v>
      </c>
      <c r="E17" s="1">
        <f t="shared" si="56"/>
        <v>0</v>
      </c>
      <c r="F17" s="1">
        <f t="shared" si="56"/>
        <v>19798</v>
      </c>
      <c r="G17" s="1">
        <f t="shared" si="56"/>
        <v>802</v>
      </c>
      <c r="H17" s="1">
        <f t="shared" ref="H17" si="57">H15+H16</f>
        <v>0</v>
      </c>
      <c r="I17" s="1">
        <f t="shared" ref="I17" si="58">I15+I16</f>
        <v>0</v>
      </c>
      <c r="J17" s="1">
        <f t="shared" ref="J17" si="59">J15+J16</f>
        <v>0</v>
      </c>
      <c r="L17" s="1">
        <f>L15+L16</f>
        <v>6552</v>
      </c>
      <c r="M17" s="1">
        <f>M15+M16</f>
        <v>13937</v>
      </c>
      <c r="N17" s="1">
        <f t="shared" ref="N17:T17" si="60">N15+N16</f>
        <v>9801</v>
      </c>
      <c r="O17" s="1">
        <f t="shared" si="60"/>
        <v>8979</v>
      </c>
      <c r="P17" s="1">
        <f t="shared" si="60"/>
        <v>18296.193818625572</v>
      </c>
      <c r="Q17" s="1">
        <f t="shared" si="60"/>
        <v>28054.692292498119</v>
      </c>
      <c r="R17" s="1">
        <f t="shared" si="60"/>
        <v>40121.524828866604</v>
      </c>
      <c r="S17" s="1">
        <f t="shared" si="60"/>
        <v>53049.582700816944</v>
      </c>
      <c r="T17" s="1">
        <f t="shared" si="60"/>
        <v>67773.398645640424</v>
      </c>
      <c r="U17" s="1">
        <f t="shared" ref="U17:Y17" si="61">U15+U16</f>
        <v>86677.585356717595</v>
      </c>
      <c r="V17" s="1">
        <f t="shared" si="61"/>
        <v>101328.94416544105</v>
      </c>
      <c r="W17" s="1">
        <f t="shared" si="61"/>
        <v>119473.39319152625</v>
      </c>
      <c r="X17" s="1">
        <f t="shared" si="61"/>
        <v>142290.31323007887</v>
      </c>
      <c r="Y17" s="1">
        <f t="shared" si="61"/>
        <v>171434.70152377631</v>
      </c>
    </row>
    <row r="18" spans="1:172" x14ac:dyDescent="0.2">
      <c r="B18" s="1" t="s">
        <v>34</v>
      </c>
      <c r="C18" s="1">
        <v>483</v>
      </c>
      <c r="G18" s="1">
        <v>169</v>
      </c>
      <c r="L18" s="1">
        <v>699</v>
      </c>
      <c r="M18" s="1">
        <v>1132</v>
      </c>
      <c r="N18" s="1">
        <v>-5001</v>
      </c>
      <c r="O18" s="1">
        <v>1837</v>
      </c>
      <c r="P18" s="1">
        <f>P17*0.19</f>
        <v>3476.2768255388587</v>
      </c>
      <c r="Q18" s="1">
        <f t="shared" ref="Q18:Y18" si="62">Q17*0.19</f>
        <v>5330.3915355746431</v>
      </c>
      <c r="R18" s="1">
        <f t="shared" si="62"/>
        <v>7623.089717484655</v>
      </c>
      <c r="S18" s="1">
        <f t="shared" si="62"/>
        <v>10079.420713155219</v>
      </c>
      <c r="T18" s="1">
        <f t="shared" si="62"/>
        <v>12876.94574267168</v>
      </c>
      <c r="U18" s="1">
        <f t="shared" si="62"/>
        <v>16468.741217776344</v>
      </c>
      <c r="V18" s="1">
        <f t="shared" si="62"/>
        <v>19252.499391433801</v>
      </c>
      <c r="W18" s="1">
        <f t="shared" si="62"/>
        <v>22699.94470638999</v>
      </c>
      <c r="X18" s="1">
        <f t="shared" si="62"/>
        <v>27035.159513714985</v>
      </c>
      <c r="Y18" s="1">
        <f t="shared" si="62"/>
        <v>32572.593289517499</v>
      </c>
    </row>
    <row r="19" spans="1:172" x14ac:dyDescent="0.2">
      <c r="B19" s="3" t="s">
        <v>18</v>
      </c>
      <c r="C19" s="3">
        <f>C17-C18</f>
        <v>962</v>
      </c>
      <c r="D19" s="3">
        <f t="shared" ref="D19:G19" si="63">D17-D18</f>
        <v>0</v>
      </c>
      <c r="E19" s="3">
        <f t="shared" si="63"/>
        <v>0</v>
      </c>
      <c r="F19" s="3">
        <f t="shared" si="63"/>
        <v>19798</v>
      </c>
      <c r="G19" s="3">
        <f t="shared" si="63"/>
        <v>633</v>
      </c>
      <c r="H19" s="3">
        <f t="shared" ref="H19" si="64">H17-H18</f>
        <v>0</v>
      </c>
      <c r="I19" s="3">
        <f t="shared" ref="I19" si="65">I17-I18</f>
        <v>0</v>
      </c>
      <c r="J19" s="3">
        <f t="shared" ref="J19" si="66">J17-J18</f>
        <v>0</v>
      </c>
      <c r="K19" s="3"/>
      <c r="L19" s="3">
        <f>L17-L18</f>
        <v>5853</v>
      </c>
      <c r="M19" s="3">
        <f>M17-M18</f>
        <v>12805</v>
      </c>
      <c r="N19" s="3">
        <f t="shared" ref="N19:O19" si="67">N17-N18</f>
        <v>14802</v>
      </c>
      <c r="O19" s="3">
        <f t="shared" si="67"/>
        <v>7142</v>
      </c>
      <c r="P19" s="3">
        <f t="shared" ref="P19" si="68">P17-P18</f>
        <v>14819.916993086714</v>
      </c>
      <c r="Q19" s="3">
        <f t="shared" ref="Q19" si="69">Q17-Q18</f>
        <v>22724.300756923476</v>
      </c>
      <c r="R19" s="3">
        <f t="shared" ref="R19" si="70">R17-R18</f>
        <v>32498.43511138195</v>
      </c>
      <c r="S19" s="3">
        <f t="shared" ref="S19" si="71">S17-S18</f>
        <v>42970.161987661726</v>
      </c>
      <c r="T19" s="3">
        <f t="shared" ref="T19:U19" si="72">T17-T18</f>
        <v>54896.45290296874</v>
      </c>
      <c r="U19" s="3">
        <f t="shared" si="72"/>
        <v>70208.844138941247</v>
      </c>
      <c r="V19" s="3">
        <f t="shared" ref="V19:Y19" si="73">V17-V18</f>
        <v>82076.44477400725</v>
      </c>
      <c r="W19" s="3">
        <f t="shared" si="73"/>
        <v>96773.448485136265</v>
      </c>
      <c r="X19" s="3">
        <f t="shared" si="73"/>
        <v>115255.15371636389</v>
      </c>
      <c r="Y19" s="3">
        <f t="shared" si="73"/>
        <v>138862.10823425881</v>
      </c>
      <c r="Z19" s="3">
        <f>Y19*(1+$AB$124)</f>
        <v>140250.72931660138</v>
      </c>
      <c r="AA19" s="3">
        <f>Z19*(1+$AB$124)</f>
        <v>141653.23660976739</v>
      </c>
      <c r="AB19" s="3">
        <f>AA19*(1+$AB$124)</f>
        <v>143069.76897586507</v>
      </c>
      <c r="AC19" s="3">
        <f>AB19*(1+$AB$124)</f>
        <v>144500.46666562371</v>
      </c>
      <c r="AD19" s="3">
        <f>AC19*(1+$AB$124)</f>
        <v>145945.47133227994</v>
      </c>
      <c r="AE19" s="3">
        <f>AD19*(1+$AB$124)</f>
        <v>147404.92604560274</v>
      </c>
      <c r="AF19" s="3">
        <f>AE19*(1+$AB$124)</f>
        <v>148878.97530605877</v>
      </c>
      <c r="AG19" s="3">
        <f>AF19*(1+$AB$124)</f>
        <v>150367.76505911935</v>
      </c>
      <c r="AH19" s="3">
        <f>AG19*(1+$AB$124)</f>
        <v>151871.44270971054</v>
      </c>
      <c r="AI19" s="3">
        <f>AH19*(1+$AB$124)</f>
        <v>153390.15713680765</v>
      </c>
      <c r="AJ19" s="3">
        <f>AI19*(1+$AB$124)</f>
        <v>154924.05870817573</v>
      </c>
      <c r="AK19" s="3">
        <f>AJ19*(1+$AB$124)</f>
        <v>156473.29929525749</v>
      </c>
      <c r="AL19" s="3">
        <f>AK19*(1+$AB$124)</f>
        <v>158038.03228821006</v>
      </c>
      <c r="AM19" s="3">
        <f>AL19*(1+$AB$124)</f>
        <v>159618.41261109215</v>
      </c>
      <c r="AN19" s="3">
        <f>AM19*(1+$AB$124)</f>
        <v>161214.59673720307</v>
      </c>
      <c r="AO19" s="3">
        <f>AN19*(1+$AB$124)</f>
        <v>162826.7427045751</v>
      </c>
      <c r="AP19" s="3">
        <f>AO19*(1+$AB$124)</f>
        <v>164455.01013162086</v>
      </c>
      <c r="AQ19" s="3">
        <f>AP19*(1+$AB$124)</f>
        <v>166099.56023293707</v>
      </c>
      <c r="AR19" s="3">
        <f>AQ19*(1+$AB$124)</f>
        <v>167760.55583526645</v>
      </c>
      <c r="AS19" s="3">
        <f>AR19*(1+$AB$124)</f>
        <v>169438.16139361911</v>
      </c>
      <c r="AT19" s="3">
        <f>AS19*(1+$AB$124)</f>
        <v>171132.5430075553</v>
      </c>
      <c r="AU19" s="3">
        <f>AT19*(1+$AB$124)</f>
        <v>172843.86843763085</v>
      </c>
      <c r="AV19" s="3">
        <f>AU19*(1+$AB$124)</f>
        <v>174572.30712200716</v>
      </c>
      <c r="AW19" s="3">
        <f>AV19*(1+$AB$124)</f>
        <v>176318.03019322723</v>
      </c>
      <c r="AX19" s="3">
        <f>AW19*(1+$AB$124)</f>
        <v>178081.2104951595</v>
      </c>
      <c r="AY19" s="3">
        <f>AX19*(1+$AB$124)</f>
        <v>179862.02260011109</v>
      </c>
      <c r="AZ19" s="3">
        <f>AY19*(1+$AB$124)</f>
        <v>181660.64282611219</v>
      </c>
      <c r="BA19" s="3">
        <f>AZ19*(1+$AB$124)</f>
        <v>183477.24925437331</v>
      </c>
      <c r="BB19" s="3">
        <f>BA19*(1+$AB$124)</f>
        <v>185312.02174691705</v>
      </c>
      <c r="BC19" s="3">
        <f>BB19*(1+$AB$124)</f>
        <v>187165.14196438622</v>
      </c>
      <c r="BD19" s="3">
        <f>BC19*(1+$AB$124)</f>
        <v>189036.79338403008</v>
      </c>
      <c r="BE19" s="3">
        <f>BD19*(1+$AB$124)</f>
        <v>190927.1613178704</v>
      </c>
      <c r="BF19" s="3">
        <f>BE19*(1+$AB$124)</f>
        <v>192836.43293104912</v>
      </c>
      <c r="BG19" s="3">
        <f>BF19*(1+$AB$124)</f>
        <v>194764.7972603596</v>
      </c>
      <c r="BH19" s="3">
        <f>BG19*(1+$AB$124)</f>
        <v>196712.44523296319</v>
      </c>
      <c r="BI19" s="3">
        <f>BH19*(1+$AB$124)</f>
        <v>198679.56968529284</v>
      </c>
      <c r="BJ19" s="3">
        <f>BI19*(1+$AB$124)</f>
        <v>200666.36538214577</v>
      </c>
      <c r="BK19" s="3">
        <f>BJ19*(1+$AB$124)</f>
        <v>202673.02903596722</v>
      </c>
      <c r="BL19" s="3">
        <f>BK19*(1+$AB$124)</f>
        <v>204699.75932632689</v>
      </c>
      <c r="BM19" s="3">
        <f>BL19*(1+$AB$124)</f>
        <v>206746.75691959017</v>
      </c>
      <c r="BN19" s="3">
        <f>BM19*(1+$AB$124)</f>
        <v>208814.22448878607</v>
      </c>
      <c r="BO19" s="3">
        <f>BN19*(1+$AB$124)</f>
        <v>210902.36673367393</v>
      </c>
      <c r="BP19" s="3">
        <f>BO19*(1+$AB$124)</f>
        <v>213011.39040101066</v>
      </c>
      <c r="BQ19" s="3">
        <f>BP19*(1+$AB$124)</f>
        <v>215141.50430502076</v>
      </c>
      <c r="BR19" s="3">
        <f>BQ19*(1+$AB$124)</f>
        <v>217292.91934807098</v>
      </c>
      <c r="BS19" s="3">
        <f>BR19*(1+$AB$124)</f>
        <v>219465.84854155171</v>
      </c>
      <c r="BT19" s="3">
        <f>BS19*(1+$AB$124)</f>
        <v>221660.50702696721</v>
      </c>
      <c r="BU19" s="3">
        <f>BT19*(1+$AB$124)</f>
        <v>223877.11209723688</v>
      </c>
      <c r="BV19" s="3">
        <f>BU19*(1+$AB$124)</f>
        <v>226115.88321820926</v>
      </c>
      <c r="BW19" s="3">
        <f>BV19*(1+$AB$124)</f>
        <v>228377.04205039135</v>
      </c>
      <c r="BX19" s="3">
        <f>BW19*(1+$AB$124)</f>
        <v>230660.81247089527</v>
      </c>
      <c r="BY19" s="3">
        <f>BX19*(1+$AB$124)</f>
        <v>232967.42059560423</v>
      </c>
      <c r="BZ19" s="3">
        <f>BY19*(1+$AB$124)</f>
        <v>235297.09480156028</v>
      </c>
      <c r="CA19" s="3">
        <f>BZ19*(1+$AB$124)</f>
        <v>237650.06574957588</v>
      </c>
      <c r="CB19" s="3">
        <f>CA19*(1+$AB$124)</f>
        <v>240026.56640707163</v>
      </c>
      <c r="CC19" s="3">
        <f>CB19*(1+$AB$124)</f>
        <v>242426.83207114236</v>
      </c>
      <c r="CD19" s="3">
        <f>CC19*(1+$AB$124)</f>
        <v>244851.10039185378</v>
      </c>
      <c r="CE19" s="3">
        <f>CD19*(1+$AB$124)</f>
        <v>247299.61139577231</v>
      </c>
      <c r="CF19" s="3">
        <f>CE19*(1+$AB$124)</f>
        <v>249772.60750973003</v>
      </c>
      <c r="CG19" s="3">
        <f>CF19*(1+$AB$124)</f>
        <v>252270.33358482734</v>
      </c>
      <c r="CH19" s="3">
        <f>CG19*(1+$AB$124)</f>
        <v>254793.03692067563</v>
      </c>
      <c r="CI19" s="3">
        <f>CH19*(1+$AB$124)</f>
        <v>257340.96728988239</v>
      </c>
      <c r="CJ19" s="3">
        <f>CI19*(1+$AB$124)</f>
        <v>259914.37696278121</v>
      </c>
      <c r="CK19" s="3">
        <f>CJ19*(1+$AB$124)</f>
        <v>262513.52073240903</v>
      </c>
      <c r="CL19" s="3">
        <f>CK19*(1+$AB$124)</f>
        <v>265138.65593973314</v>
      </c>
      <c r="CM19" s="3">
        <f>CL19*(1+$AB$124)</f>
        <v>267790.04249913048</v>
      </c>
      <c r="CN19" s="3">
        <f>CM19*(1+$AB$124)</f>
        <v>270467.9429241218</v>
      </c>
      <c r="CO19" s="3">
        <f>CN19*(1+$AB$124)</f>
        <v>273172.62235336303</v>
      </c>
      <c r="CP19" s="3">
        <f>CO19*(1+$AB$124)</f>
        <v>275904.34857689665</v>
      </c>
      <c r="CQ19" s="3">
        <f>CP19*(1+$AB$124)</f>
        <v>278663.3920626656</v>
      </c>
      <c r="CR19" s="3">
        <f>CQ19*(1+$AB$124)</f>
        <v>281450.02598329226</v>
      </c>
      <c r="CS19" s="3">
        <f>CR19*(1+$AB$124)</f>
        <v>284264.5262431252</v>
      </c>
      <c r="CT19" s="3">
        <f>CS19*(1+$AB$124)</f>
        <v>287107.17150555644</v>
      </c>
      <c r="CU19" s="3">
        <f>CT19*(1+$AB$124)</f>
        <v>289978.243220612</v>
      </c>
      <c r="CV19" s="3">
        <f>CU19*(1+$AB$124)</f>
        <v>292878.02565281815</v>
      </c>
      <c r="CW19" s="3">
        <f>CV19*(1+$AB$124)</f>
        <v>295806.80590934632</v>
      </c>
      <c r="CX19" s="3">
        <f>CW19*(1+$AB$124)</f>
        <v>298764.87396843982</v>
      </c>
      <c r="CY19" s="3">
        <f>CX19*(1+$AB$124)</f>
        <v>301752.52270812419</v>
      </c>
      <c r="CZ19" s="3">
        <f>CY19*(1+$AB$124)</f>
        <v>304770.04793520545</v>
      </c>
      <c r="DA19" s="3">
        <f>CZ19*(1+$AB$124)</f>
        <v>307817.74841455749</v>
      </c>
      <c r="DB19" s="3">
        <f>DA19*(1+$AB$124)</f>
        <v>310895.92589870305</v>
      </c>
      <c r="DC19" s="3">
        <f>DB19*(1+$AB$124)</f>
        <v>314004.88515769009</v>
      </c>
      <c r="DD19" s="3">
        <f>DC19*(1+$AB$124)</f>
        <v>317144.93400926702</v>
      </c>
      <c r="DE19" s="3">
        <f>DD19*(1+$AB$124)</f>
        <v>320316.38334935968</v>
      </c>
      <c r="DF19" s="3">
        <f>DE19*(1+$AB$124)</f>
        <v>323519.54718285328</v>
      </c>
      <c r="DG19" s="3">
        <f>DF19*(1+$AB$124)</f>
        <v>326754.74265468179</v>
      </c>
      <c r="DH19" s="3">
        <f>DG19*(1+$AB$124)</f>
        <v>330022.2900812286</v>
      </c>
      <c r="DI19" s="3">
        <f>DH19*(1+$AB$124)</f>
        <v>333322.51298204088</v>
      </c>
      <c r="DJ19" s="3">
        <f>DI19*(1+$AB$124)</f>
        <v>336655.73811186128</v>
      </c>
      <c r="DK19" s="3">
        <f>DJ19*(1+$AB$124)</f>
        <v>340022.29549297987</v>
      </c>
      <c r="DL19" s="3">
        <f>DK19*(1+$AB$124)</f>
        <v>343422.51844790968</v>
      </c>
      <c r="DM19" s="3">
        <f>DL19*(1+$AB$124)</f>
        <v>346856.74363238877</v>
      </c>
      <c r="DN19" s="3">
        <f>DM19*(1+$AB$124)</f>
        <v>350325.31106871268</v>
      </c>
      <c r="DO19" s="3">
        <f>DN19*(1+$AB$124)</f>
        <v>353828.56417939981</v>
      </c>
      <c r="DP19" s="3">
        <f>DO19*(1+$AB$124)</f>
        <v>357366.84982119378</v>
      </c>
      <c r="DQ19" s="3">
        <f>DP19*(1+$AB$124)</f>
        <v>360940.51831940573</v>
      </c>
      <c r="DR19" s="3">
        <f>DQ19*(1+$AB$124)</f>
        <v>364549.92350259982</v>
      </c>
      <c r="DS19" s="3">
        <f>DR19*(1+$AB$124)</f>
        <v>368195.42273762583</v>
      </c>
      <c r="DT19" s="3">
        <f>DS19*(1+$AB$124)</f>
        <v>371877.3769650021</v>
      </c>
      <c r="DU19" s="3">
        <f>DT19*(1+$AB$124)</f>
        <v>375596.15073465212</v>
      </c>
      <c r="DV19" s="3">
        <f>DU19*(1+$AB$124)</f>
        <v>379352.11224199866</v>
      </c>
      <c r="DW19" s="3">
        <f>DV19*(1+$AB$124)</f>
        <v>383145.63336441864</v>
      </c>
      <c r="DX19" s="3">
        <f>DW19*(1+$AB$124)</f>
        <v>386977.0896980628</v>
      </c>
      <c r="DY19" s="3">
        <f>DX19*(1+$AB$124)</f>
        <v>390846.86059504346</v>
      </c>
      <c r="DZ19" s="3">
        <f>DY19*(1+$AB$124)</f>
        <v>394755.32920099387</v>
      </c>
      <c r="EA19" s="3">
        <f>DZ19*(1+$AB$124)</f>
        <v>398702.8824930038</v>
      </c>
      <c r="EB19" s="3">
        <f>EA19*(1+$AB$124)</f>
        <v>402689.91131793382</v>
      </c>
      <c r="EC19" s="3">
        <f>EB19*(1+$AB$124)</f>
        <v>406716.81043111318</v>
      </c>
      <c r="ED19" s="3">
        <f>EC19*(1+$AB$124)</f>
        <v>410783.97853542434</v>
      </c>
      <c r="EE19" s="3">
        <f>ED19*(1+$AB$124)</f>
        <v>414891.81832077861</v>
      </c>
      <c r="EF19" s="3">
        <f>EE19*(1+$AB$124)</f>
        <v>419040.73650398641</v>
      </c>
      <c r="EG19" s="3">
        <f>EF19*(1+$AB$124)</f>
        <v>423231.14386902627</v>
      </c>
      <c r="EH19" s="3">
        <f>EG19*(1+$AB$124)</f>
        <v>427463.45530771656</v>
      </c>
      <c r="EI19" s="3">
        <f>EH19*(1+$AB$124)</f>
        <v>431738.08986079373</v>
      </c>
      <c r="EJ19" s="3">
        <f>EI19*(1+$AB$124)</f>
        <v>436055.47075940168</v>
      </c>
      <c r="EK19" s="3">
        <f>EJ19*(1+$AB$124)</f>
        <v>440416.02546699572</v>
      </c>
      <c r="EL19" s="3">
        <f>EK19*(1+$AB$124)</f>
        <v>444820.18572166568</v>
      </c>
      <c r="EM19" s="3">
        <f>EL19*(1+$AB$124)</f>
        <v>449268.38757888234</v>
      </c>
      <c r="EN19" s="3">
        <f>EM19*(1+$AB$124)</f>
        <v>453761.07145467115</v>
      </c>
      <c r="EO19" s="3">
        <f>EN19*(1+$AB$124)</f>
        <v>458298.68216921785</v>
      </c>
      <c r="EP19" s="3">
        <f>EO19*(1+$AB$124)</f>
        <v>462881.66899091005</v>
      </c>
      <c r="EQ19" s="3">
        <f>EP19*(1+$AB$124)</f>
        <v>467510.48568081914</v>
      </c>
      <c r="ER19" s="3">
        <f>EQ19*(1+$AB$124)</f>
        <v>472185.59053762734</v>
      </c>
      <c r="ES19" s="3">
        <f>ER19*(1+$AB$124)</f>
        <v>476907.4464430036</v>
      </c>
      <c r="ET19" s="3">
        <f>ES19*(1+$AB$124)</f>
        <v>481676.52090743365</v>
      </c>
      <c r="EU19" s="3">
        <f>ET19*(1+$AB$124)</f>
        <v>486493.28611650801</v>
      </c>
      <c r="EV19" s="3">
        <f>EU19*(1+$AB$124)</f>
        <v>491358.2189776731</v>
      </c>
      <c r="EW19" s="3">
        <f>EV19*(1+$AB$124)</f>
        <v>496271.80116744986</v>
      </c>
      <c r="EX19" s="3">
        <f>EW19*(1+$AB$124)</f>
        <v>501234.51917912439</v>
      </c>
      <c r="EY19" s="3">
        <f>EX19*(1+$AB$124)</f>
        <v>506246.86437091563</v>
      </c>
      <c r="EZ19" s="3">
        <f>EY19*(1+$AB$124)</f>
        <v>511309.33301462478</v>
      </c>
      <c r="FA19" s="3">
        <f>EZ19*(1+$AB$124)</f>
        <v>516422.42634477105</v>
      </c>
      <c r="FB19" s="3">
        <f>FA19*(1+$AB$124)</f>
        <v>521586.65060821874</v>
      </c>
      <c r="FC19" s="3">
        <f>FB19*(1+$AB$124)</f>
        <v>526802.51711430098</v>
      </c>
      <c r="FD19" s="3">
        <f>FC19*(1+$AB$124)</f>
        <v>532070.54228544398</v>
      </c>
      <c r="FE19" s="3">
        <f>FD19*(1+$AB$124)</f>
        <v>537391.24770829838</v>
      </c>
      <c r="FF19" s="3">
        <f>FE19*(1+$AB$124)</f>
        <v>542765.16018538142</v>
      </c>
      <c r="FG19" s="3">
        <f>FF19*(1+$AB$124)</f>
        <v>548192.8117872352</v>
      </c>
      <c r="FH19" s="3">
        <f>FG19*(1+$AB$124)</f>
        <v>553674.73990510753</v>
      </c>
      <c r="FI19" s="3">
        <f>FH19*(1+$AB$124)</f>
        <v>559211.48730415863</v>
      </c>
      <c r="FJ19" s="3">
        <f>FI19*(1+$AB$124)</f>
        <v>564803.60217720026</v>
      </c>
      <c r="FK19" s="3">
        <f>FJ19*(1+$AB$124)</f>
        <v>570451.63819897221</v>
      </c>
      <c r="FL19" s="3">
        <f>FK19*(1+$AB$124)</f>
        <v>576156.15458096191</v>
      </c>
      <c r="FM19" s="3">
        <f>FL19*(1+$AB$124)</f>
        <v>581917.71612677153</v>
      </c>
      <c r="FN19" s="3">
        <f>FM19*(1+$AB$124)</f>
        <v>587736.89328803925</v>
      </c>
      <c r="FO19" s="3">
        <f>FN19*(1+$AB$124)</f>
        <v>593614.2622209196</v>
      </c>
      <c r="FP19" s="3">
        <f>FO19*(1+$AB$124)</f>
        <v>599550.40484312875</v>
      </c>
    </row>
    <row r="20" spans="1:172" x14ac:dyDescent="0.2">
      <c r="B20" s="1" t="s">
        <v>36</v>
      </c>
      <c r="C20" s="4">
        <f>C19/C21</f>
        <v>0.30194601381042058</v>
      </c>
      <c r="D20" s="4" t="e">
        <f t="shared" ref="D20:J20" si="74">D19/D21</f>
        <v>#DIV/0!</v>
      </c>
      <c r="E20" s="4" t="e">
        <f t="shared" si="74"/>
        <v>#DIV/0!</v>
      </c>
      <c r="F20" s="4" t="e">
        <f t="shared" si="74"/>
        <v>#DIV/0!</v>
      </c>
      <c r="G20" s="4">
        <f t="shared" si="74"/>
        <v>0.19670602858918582</v>
      </c>
      <c r="H20" s="4" t="e">
        <f t="shared" si="74"/>
        <v>#DIV/0!</v>
      </c>
      <c r="I20" s="4" t="e">
        <f t="shared" si="74"/>
        <v>#DIV/0!</v>
      </c>
      <c r="J20" s="4" t="e">
        <f t="shared" si="74"/>
        <v>#DIV/0!</v>
      </c>
      <c r="L20" s="4">
        <f>L19/Main!$K$3</f>
        <v>1.817162358007995</v>
      </c>
      <c r="M20" s="4">
        <f>M19/Main!$K$3</f>
        <v>3.9755277625649028</v>
      </c>
      <c r="N20" s="4">
        <f>N19/Main!$K$3</f>
        <v>4.5955300227634277</v>
      </c>
      <c r="O20" s="4">
        <f>O19/Main!$K$3</f>
        <v>2.2173541023224161</v>
      </c>
      <c r="P20" s="4">
        <f>P19/Main!$K$3</f>
        <v>4.6010926548163695</v>
      </c>
      <c r="Q20" s="4">
        <f>Q19/Main!$K$3</f>
        <v>7.0551416278035077</v>
      </c>
      <c r="R20" s="4">
        <f>R19/Main!$K$3</f>
        <v>10.08968614019625</v>
      </c>
      <c r="S20" s="4">
        <f>S19/Main!$K$3</f>
        <v>13.340809991711071</v>
      </c>
      <c r="T20" s="4">
        <f>T19/Main!$K$3</f>
        <v>17.043527729956182</v>
      </c>
      <c r="U20" s="4">
        <f>U19/Main!$K$3</f>
        <v>21.797517301987746</v>
      </c>
      <c r="V20" s="4">
        <f>V19/Main!$K$3</f>
        <v>25.482013654954383</v>
      </c>
      <c r="W20" s="4">
        <f>W19/Main!$K$3</f>
        <v>30.044945812714069</v>
      </c>
      <c r="X20" s="4">
        <f>X19/Main!$K$3</f>
        <v>35.782902255219845</v>
      </c>
      <c r="Y20" s="4">
        <f>Y19/Main!$K$3</f>
        <v>43.112078598484054</v>
      </c>
    </row>
    <row r="21" spans="1:172" x14ac:dyDescent="0.2">
      <c r="B21" s="1" t="s">
        <v>1</v>
      </c>
      <c r="C21" s="1">
        <v>3186</v>
      </c>
      <c r="G21" s="1">
        <v>3218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172" x14ac:dyDescent="0.2">
      <c r="L22" s="5"/>
      <c r="M22" s="5"/>
      <c r="N22" s="5"/>
      <c r="O22" s="5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172" x14ac:dyDescent="0.2">
      <c r="B23" s="1" t="s">
        <v>28</v>
      </c>
      <c r="C23" s="5">
        <f>C3/C7-1</f>
        <v>0.22674008188620642</v>
      </c>
      <c r="D23" s="5" t="e">
        <f t="shared" ref="D23:J23" si="75">D3/D7-1</f>
        <v>#DIV/0!</v>
      </c>
      <c r="E23" s="5" t="e">
        <f t="shared" si="75"/>
        <v>#DIV/0!</v>
      </c>
      <c r="F23" s="5" t="e">
        <f t="shared" si="75"/>
        <v>#DIV/0!</v>
      </c>
      <c r="G23" s="5">
        <f t="shared" si="75"/>
        <v>0.19376068376068378</v>
      </c>
      <c r="H23" s="5" t="e">
        <f t="shared" si="75"/>
        <v>#DIV/0!</v>
      </c>
      <c r="I23" s="5" t="e">
        <f t="shared" si="75"/>
        <v>#DIV/0!</v>
      </c>
      <c r="J23" s="5" t="e">
        <f t="shared" si="75"/>
        <v>#DIV/0!</v>
      </c>
      <c r="L23" s="5">
        <f t="shared" ref="L23:O25" si="76">L3/L7-1</f>
        <v>0.41442817356931094</v>
      </c>
      <c r="M23" s="5">
        <f t="shared" si="76"/>
        <v>0.39825467637160528</v>
      </c>
      <c r="N23" s="5">
        <f t="shared" si="76"/>
        <v>0.24145566283571074</v>
      </c>
      <c r="O23" s="5">
        <f t="shared" si="76"/>
        <v>0.22580439934471075</v>
      </c>
      <c r="P23" s="5">
        <f>O23*1.1</f>
        <v>0.24838483927918184</v>
      </c>
      <c r="Q23" s="5">
        <f t="shared" ref="Q23:U23" si="77">P23*1.1</f>
        <v>0.27322332320710002</v>
      </c>
      <c r="R23" s="5">
        <f t="shared" si="77"/>
        <v>0.30054565552781004</v>
      </c>
      <c r="S23" s="5">
        <f t="shared" si="77"/>
        <v>0.33060022108059106</v>
      </c>
      <c r="T23" s="5">
        <f t="shared" si="77"/>
        <v>0.3636602431886502</v>
      </c>
      <c r="U23" s="5">
        <f t="shared" si="77"/>
        <v>0.40002626750751524</v>
      </c>
      <c r="V23" s="5">
        <f>U23*1.01</f>
        <v>0.40402653018259038</v>
      </c>
      <c r="W23" s="5">
        <f t="shared" ref="W23:Y23" si="78">V23*1.01</f>
        <v>0.40806679548441627</v>
      </c>
      <c r="X23" s="5">
        <f t="shared" si="78"/>
        <v>0.41214746343926045</v>
      </c>
      <c r="Y23" s="5">
        <f t="shared" si="78"/>
        <v>0.41626893807365306</v>
      </c>
    </row>
    <row r="24" spans="1:172" x14ac:dyDescent="0.2">
      <c r="B24" s="1" t="s">
        <v>27</v>
      </c>
      <c r="C24" s="5">
        <f>C4/C8-1</f>
        <v>0.32711038961038952</v>
      </c>
      <c r="D24" s="5" t="e">
        <f t="shared" ref="D24:J24" si="79">D4/D8-1</f>
        <v>#DIV/0!</v>
      </c>
      <c r="E24" s="5" t="e">
        <f t="shared" si="79"/>
        <v>#DIV/0!</v>
      </c>
      <c r="F24" s="5" t="e">
        <f t="shared" si="79"/>
        <v>#DIV/0!</v>
      </c>
      <c r="G24" s="5">
        <f t="shared" si="79"/>
        <v>0.40359897172236514</v>
      </c>
      <c r="H24" s="5" t="e">
        <f t="shared" si="79"/>
        <v>#DIV/0!</v>
      </c>
      <c r="I24" s="5" t="e">
        <f t="shared" si="79"/>
        <v>#DIV/0!</v>
      </c>
      <c r="J24" s="5" t="e">
        <f t="shared" si="79"/>
        <v>#DIV/0!</v>
      </c>
      <c r="L24" s="5">
        <f t="shared" si="76"/>
        <v>-4.4208361891706627E-2</v>
      </c>
      <c r="M24" s="5">
        <f t="shared" si="76"/>
        <v>7.9536039768019817E-2</v>
      </c>
      <c r="N24" s="5">
        <f t="shared" si="76"/>
        <v>0.2331426236207601</v>
      </c>
      <c r="O24" s="5">
        <f t="shared" si="76"/>
        <v>0.35455278001611612</v>
      </c>
      <c r="P24" s="5">
        <f>O24*1.02</f>
        <v>0.36164383561643842</v>
      </c>
      <c r="Q24" s="5">
        <f t="shared" ref="Q24:U24" si="80">P24*1.02</f>
        <v>0.36887671232876718</v>
      </c>
      <c r="R24" s="5">
        <f t="shared" si="80"/>
        <v>0.37625424657534251</v>
      </c>
      <c r="S24" s="5">
        <f t="shared" si="80"/>
        <v>0.38377933150684934</v>
      </c>
      <c r="T24" s="5">
        <f t="shared" si="80"/>
        <v>0.39145491813698635</v>
      </c>
      <c r="U24" s="5">
        <f t="shared" si="80"/>
        <v>0.39928401649972611</v>
      </c>
      <c r="V24" s="5">
        <f>U24*1.01</f>
        <v>0.4032768566647234</v>
      </c>
      <c r="W24" s="5">
        <f t="shared" ref="W24:Y24" si="81">V24*1.01</f>
        <v>0.40730962523137065</v>
      </c>
      <c r="X24" s="5">
        <f t="shared" si="81"/>
        <v>0.41138272148368438</v>
      </c>
      <c r="Y24" s="5">
        <f t="shared" si="81"/>
        <v>0.41549654869852121</v>
      </c>
    </row>
    <row r="25" spans="1:172" x14ac:dyDescent="0.2">
      <c r="B25" s="1" t="s">
        <v>26</v>
      </c>
      <c r="C25" s="5">
        <f>C5/C9-1</f>
        <v>3.6701404621658273E-2</v>
      </c>
      <c r="D25" s="5" t="e">
        <f t="shared" ref="D25:J25" si="82">D5/D9-1</f>
        <v>#DIV/0!</v>
      </c>
      <c r="E25" s="5" t="e">
        <f t="shared" si="82"/>
        <v>#DIV/0!</v>
      </c>
      <c r="F25" s="5" t="e">
        <f t="shared" si="82"/>
        <v>#DIV/0!</v>
      </c>
      <c r="G25" s="5">
        <f t="shared" si="82"/>
        <v>3.9810800157666471E-2</v>
      </c>
      <c r="H25" s="5" t="e">
        <f t="shared" si="82"/>
        <v>#DIV/0!</v>
      </c>
      <c r="I25" s="5" t="e">
        <f t="shared" si="82"/>
        <v>#DIV/0!</v>
      </c>
      <c r="J25" s="5" t="e">
        <f t="shared" si="82"/>
        <v>#DIV/0!</v>
      </c>
      <c r="L25" s="5">
        <f t="shared" si="76"/>
        <v>-2.6625704045058929E-2</v>
      </c>
      <c r="M25" s="5">
        <f t="shared" si="76"/>
        <v>3.5884353741496566E-2</v>
      </c>
      <c r="N25" s="5">
        <f t="shared" si="76"/>
        <v>6.2452107279693525E-2</v>
      </c>
      <c r="O25" s="5">
        <f t="shared" si="76"/>
        <v>6.178812619695595E-2</v>
      </c>
      <c r="P25" s="5">
        <v>0.06</v>
      </c>
      <c r="Q25" s="5">
        <v>0.06</v>
      </c>
      <c r="R25" s="5">
        <v>0.06</v>
      </c>
      <c r="S25" s="5">
        <v>0.06</v>
      </c>
      <c r="T25" s="5">
        <v>0.06</v>
      </c>
      <c r="U25" s="5">
        <v>0.06</v>
      </c>
      <c r="V25" s="5">
        <v>0.06</v>
      </c>
      <c r="W25" s="5">
        <v>0.06</v>
      </c>
      <c r="X25" s="5">
        <v>0.06</v>
      </c>
      <c r="Y25" s="5">
        <v>0.06</v>
      </c>
      <c r="AE25" s="5"/>
    </row>
    <row r="27" spans="1:172" s="3" customFormat="1" x14ac:dyDescent="0.2">
      <c r="A27" s="1"/>
      <c r="B27" s="3" t="s">
        <v>29</v>
      </c>
      <c r="C27" s="6">
        <f>C6/C10-1</f>
        <v>0.20994035785288268</v>
      </c>
      <c r="D27" s="6" t="e">
        <f t="shared" ref="D27:J27" si="83">D6/D10-1</f>
        <v>#DIV/0!</v>
      </c>
      <c r="E27" s="6" t="e">
        <f t="shared" si="83"/>
        <v>#DIV/0!</v>
      </c>
      <c r="F27" s="6" t="e">
        <f t="shared" si="83"/>
        <v>#DIV/0!</v>
      </c>
      <c r="G27" s="6">
        <f t="shared" si="83"/>
        <v>0.19484612532443446</v>
      </c>
      <c r="H27" s="6" t="e">
        <f t="shared" si="83"/>
        <v>#DIV/0!</v>
      </c>
      <c r="I27" s="6" t="e">
        <f t="shared" si="83"/>
        <v>#DIV/0!</v>
      </c>
      <c r="J27" s="6" t="e">
        <f t="shared" si="83"/>
        <v>#DIV/0!</v>
      </c>
      <c r="L27" s="6">
        <f t="shared" ref="L27:U27" si="84">L6/L10-1</f>
        <v>0.33831464306139192</v>
      </c>
      <c r="M27" s="6">
        <f t="shared" si="84"/>
        <v>0.34405781319605988</v>
      </c>
      <c r="N27" s="6">
        <f t="shared" si="84"/>
        <v>0.22322500726808481</v>
      </c>
      <c r="O27" s="6">
        <f t="shared" si="84"/>
        <v>0.21747258225324018</v>
      </c>
      <c r="P27" s="6">
        <f t="shared" si="84"/>
        <v>0.31831882154137325</v>
      </c>
      <c r="Q27" s="6">
        <f t="shared" si="84"/>
        <v>0.3537617403674802</v>
      </c>
      <c r="R27" s="6">
        <f t="shared" si="84"/>
        <v>0.39389838635857033</v>
      </c>
      <c r="S27" s="6">
        <f t="shared" si="84"/>
        <v>0.43704000046168412</v>
      </c>
      <c r="T27" s="6">
        <f t="shared" si="84"/>
        <v>0.48309982637468996</v>
      </c>
      <c r="U27" s="6">
        <f t="shared" si="84"/>
        <v>0.53371390838621835</v>
      </c>
      <c r="V27" s="6">
        <f t="shared" ref="V27:Y27" si="85">V6/V10-1</f>
        <v>0.52810073837278271</v>
      </c>
      <c r="W27" s="6">
        <f t="shared" si="85"/>
        <v>0.52238903905576484</v>
      </c>
      <c r="X27" s="6">
        <f t="shared" si="85"/>
        <v>0.51700617248433356</v>
      </c>
      <c r="Y27" s="6">
        <f t="shared" si="85"/>
        <v>0.51241345339897504</v>
      </c>
    </row>
    <row r="28" spans="1:172" x14ac:dyDescent="0.2">
      <c r="B28" s="1" t="s">
        <v>64</v>
      </c>
      <c r="C28" s="5">
        <f>C15/C6</f>
        <v>5.4973944885216654E-2</v>
      </c>
      <c r="D28" s="5" t="e">
        <f t="shared" ref="D28:J28" si="86">D15/D6</f>
        <v>#DIV/0!</v>
      </c>
      <c r="E28" s="5" t="e">
        <f t="shared" si="86"/>
        <v>#DIV/0!</v>
      </c>
      <c r="F28" s="5">
        <f t="shared" si="86"/>
        <v>1</v>
      </c>
      <c r="G28" s="5">
        <f t="shared" si="86"/>
        <v>2.5497801913628135E-2</v>
      </c>
      <c r="H28" s="5" t="e">
        <f t="shared" si="86"/>
        <v>#DIV/0!</v>
      </c>
      <c r="I28" s="5" t="e">
        <f t="shared" si="86"/>
        <v>#DIV/0!</v>
      </c>
      <c r="J28" s="5" t="e">
        <f t="shared" si="86"/>
        <v>#DIV/0!</v>
      </c>
      <c r="L28" s="5">
        <f t="shared" ref="L28:U28" si="87">L15/L6</f>
        <v>0.12069189751593185</v>
      </c>
      <c r="M28" s="5">
        <f t="shared" si="87"/>
        <v>0.16979696054602145</v>
      </c>
      <c r="N28" s="5">
        <f t="shared" si="87"/>
        <v>9.1874799789197395E-2</v>
      </c>
      <c r="O28" s="5">
        <f t="shared" si="87"/>
        <v>7.9434947282219268E-2</v>
      </c>
      <c r="P28" s="5">
        <f t="shared" si="87"/>
        <v>0.1422668288374247</v>
      </c>
      <c r="Q28" s="5">
        <f t="shared" si="87"/>
        <v>0.16212625939578343</v>
      </c>
      <c r="R28" s="5">
        <f t="shared" si="87"/>
        <v>0.18339627098820496</v>
      </c>
      <c r="S28" s="5">
        <f t="shared" si="87"/>
        <v>0.20493382687729839</v>
      </c>
      <c r="T28" s="5">
        <f t="shared" si="87"/>
        <v>0.22654523431328324</v>
      </c>
      <c r="U28" s="5">
        <f t="shared" si="87"/>
        <v>0.24879659760670994</v>
      </c>
      <c r="V28" s="5">
        <f t="shared" ref="V28:Y28" si="88">V15/V6</f>
        <v>0.24640156265888064</v>
      </c>
      <c r="W28" s="5">
        <f t="shared" si="88"/>
        <v>0.24394635798238259</v>
      </c>
      <c r="X28" s="5">
        <f t="shared" si="88"/>
        <v>0.24161558154774879</v>
      </c>
      <c r="Y28" s="5">
        <f t="shared" si="88"/>
        <v>0.2396138215661891</v>
      </c>
    </row>
    <row r="29" spans="1:172" x14ac:dyDescent="0.2"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172" x14ac:dyDescent="0.2">
      <c r="B30" s="3" t="s">
        <v>97</v>
      </c>
      <c r="C30" s="3"/>
      <c r="D30" s="3"/>
      <c r="E30" s="3"/>
      <c r="F30" s="3"/>
      <c r="G30" s="6">
        <f>G6/C6-1</f>
        <v>-9.2296136331627587E-2</v>
      </c>
      <c r="H30" s="6" t="e">
        <f>H6/D6-1</f>
        <v>#DIV/0!</v>
      </c>
      <c r="I30" s="6" t="e">
        <f>I6/E6-1</f>
        <v>#DIV/0!</v>
      </c>
      <c r="J30" s="6">
        <f>J6/F6-1</f>
        <v>-1</v>
      </c>
      <c r="K30" s="3"/>
      <c r="L30" s="3"/>
      <c r="M30" s="6">
        <f>M6/L6-1</f>
        <v>0.51351652639206291</v>
      </c>
      <c r="N30" s="6">
        <f>N6/M6-1</f>
        <v>0.18795266504627928</v>
      </c>
      <c r="O30" s="6">
        <f>O6/N6-1</f>
        <v>9.4757835346634955E-3</v>
      </c>
      <c r="P30" s="6">
        <f>P6/O6-1</f>
        <v>0.2802197637588637</v>
      </c>
      <c r="Q30" s="6">
        <f>Q6/P6-1</f>
        <v>0.34416527741201164</v>
      </c>
      <c r="R30" s="6">
        <f>R6/Q6-1</f>
        <v>0.26067521666406357</v>
      </c>
      <c r="S30" s="6">
        <f>S6/R6-1</f>
        <v>0.17760534814513318</v>
      </c>
      <c r="T30" s="6">
        <f>T6/S6-1</f>
        <v>0.14982465505052778</v>
      </c>
      <c r="U30" s="6">
        <f>U6/T6-1</f>
        <v>0.15996969722156584</v>
      </c>
      <c r="V30" s="6">
        <f>V6/U6-1</f>
        <v>0.17123453682624401</v>
      </c>
      <c r="W30" s="6">
        <f>W6/V6-1</f>
        <v>0.18358632289262999</v>
      </c>
      <c r="X30" s="6">
        <f>X6/W6-1</f>
        <v>0.19694041952800556</v>
      </c>
      <c r="Y30" s="6">
        <f>Y6/X6-1</f>
        <v>0.21115701973870404</v>
      </c>
    </row>
    <row r="31" spans="1:172" s="14" customFormat="1" x14ac:dyDescent="0.2">
      <c r="A31" s="1"/>
      <c r="B31" s="14" t="s">
        <v>98</v>
      </c>
      <c r="D31" s="15">
        <f>D6/C6-1</f>
        <v>-1</v>
      </c>
      <c r="E31" s="15" t="e">
        <f>E6/D6-1</f>
        <v>#DIV/0!</v>
      </c>
      <c r="F31" s="15" t="e">
        <f>F6/E6-1</f>
        <v>#DIV/0!</v>
      </c>
      <c r="G31" s="15">
        <f>G6/F6-1</f>
        <v>-2.3386200626325904E-2</v>
      </c>
      <c r="H31" s="15">
        <f>H6/G6-1</f>
        <v>-1</v>
      </c>
      <c r="I31" s="15" t="e">
        <f>I6/H6-1</f>
        <v>#DIV/0!</v>
      </c>
      <c r="J31" s="15" t="e">
        <f>J6/I6-1</f>
        <v>#DIV/0!</v>
      </c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3" spans="2:171" x14ac:dyDescent="0.2">
      <c r="B33" s="1" t="s">
        <v>99</v>
      </c>
      <c r="G33" s="5">
        <f>G3/C3-1</f>
        <v>-0.19628265623201746</v>
      </c>
      <c r="H33" s="5" t="e">
        <f>H3/D3-1</f>
        <v>#DIV/0!</v>
      </c>
      <c r="I33" s="5" t="e">
        <f>I3/E3-1</f>
        <v>#DIV/0!</v>
      </c>
      <c r="J33" s="5">
        <f>J3/F3-1</f>
        <v>-1</v>
      </c>
      <c r="M33" s="5">
        <f>M3/L3-1</f>
        <v>0.51299966124661256</v>
      </c>
      <c r="N33" s="5">
        <f>N3/M3-1</f>
        <v>0.15332624331812705</v>
      </c>
      <c r="O33" s="5">
        <f>O3/N3-1</f>
        <v>-6.4900083718560042E-2</v>
      </c>
      <c r="P33" s="5">
        <f>P3/O3-1</f>
        <v>0.24875397329185667</v>
      </c>
      <c r="Q33" s="5">
        <f>Q3/P3-1</f>
        <v>0.36682416502946968</v>
      </c>
      <c r="R33" s="5">
        <f>R3/Q3-1</f>
        <v>0.2583017988007994</v>
      </c>
      <c r="S33" s="5">
        <f>S3/R3-1</f>
        <v>0.15172352802166844</v>
      </c>
      <c r="T33" s="5">
        <f>T3/S3-1</f>
        <v>0.11247973813282286</v>
      </c>
      <c r="U33" s="5">
        <f>U3/T3-1</f>
        <v>0.1206477509876529</v>
      </c>
      <c r="V33" s="5">
        <f>V3/U3-1</f>
        <v>0.13085419169179002</v>
      </c>
      <c r="W33" s="5">
        <f>W3/V3-1</f>
        <v>0.14341227834381609</v>
      </c>
      <c r="X33" s="5">
        <f>X3/W3-1</f>
        <v>0.15856785252078143</v>
      </c>
      <c r="Y33" s="5">
        <f>Y3/X3-1</f>
        <v>0.17643203542787278</v>
      </c>
    </row>
    <row r="34" spans="2:171" x14ac:dyDescent="0.2">
      <c r="B34" s="1" t="s">
        <v>100</v>
      </c>
      <c r="G34" s="5">
        <f>G4/C4-1</f>
        <v>0.66972477064220182</v>
      </c>
      <c r="H34" s="5" t="e">
        <f>H4/D4-1</f>
        <v>#DIV/0!</v>
      </c>
      <c r="I34" s="5" t="e">
        <f>I4/E4-1</f>
        <v>#DIV/0!</v>
      </c>
      <c r="J34" s="5" t="e">
        <f>J4/F4-1</f>
        <v>#DIV/0!</v>
      </c>
      <c r="M34" s="5">
        <f>M4/L4-1</f>
        <v>0.40157762638938688</v>
      </c>
      <c r="N34" s="5">
        <f>N4/M4-1</f>
        <v>0.54387311332821686</v>
      </c>
      <c r="O34" s="5">
        <f>O4/N4-1</f>
        <v>0.67125103562551791</v>
      </c>
      <c r="P34" s="5">
        <f>P4/O4-1</f>
        <v>0.5</v>
      </c>
      <c r="Q34" s="5">
        <f>Q4/P4-1</f>
        <v>0.24</v>
      </c>
      <c r="R34" s="5">
        <f>R4/Q4-1</f>
        <v>0.24</v>
      </c>
      <c r="S34" s="5">
        <f>S4/R4-1</f>
        <v>0.24</v>
      </c>
      <c r="T34" s="5">
        <f>T4/S4-1</f>
        <v>0.24</v>
      </c>
      <c r="U34" s="5">
        <f>U4/T4-1</f>
        <v>0.24</v>
      </c>
      <c r="V34" s="5">
        <f>V4/U4-1</f>
        <v>0.24</v>
      </c>
      <c r="W34" s="5">
        <f>W4/V4-1</f>
        <v>0.24000000000000021</v>
      </c>
      <c r="X34" s="5">
        <f>X4/W4-1</f>
        <v>0.24</v>
      </c>
      <c r="Y34" s="5">
        <f>Y4/X4-1</f>
        <v>0.24</v>
      </c>
      <c r="AC34" s="5"/>
    </row>
    <row r="35" spans="2:171" x14ac:dyDescent="0.2">
      <c r="B35" s="1" t="s">
        <v>101</v>
      </c>
      <c r="G35" s="5">
        <f>G5/C5-1</f>
        <v>0.15297202797202791</v>
      </c>
      <c r="H35" s="5" t="e">
        <f>H5/D5-1</f>
        <v>#DIV/0!</v>
      </c>
      <c r="I35" s="5" t="e">
        <f>I5/E5-1</f>
        <v>#DIV/0!</v>
      </c>
      <c r="J35" s="5" t="e">
        <f>J5/F5-1</f>
        <v>#DIV/0!</v>
      </c>
      <c r="M35" s="5">
        <f>M5/L5-1</f>
        <v>0.60205155181483438</v>
      </c>
      <c r="N35" s="5">
        <f>N5/M5-1</f>
        <v>0.36578558528977179</v>
      </c>
      <c r="O35" s="5">
        <f>O5/N5-1</f>
        <v>0.26625796369755972</v>
      </c>
      <c r="P35" s="5">
        <f>P5/O5-1</f>
        <v>0.30000000000000004</v>
      </c>
      <c r="Q35" s="5">
        <f>Q5/P5-1</f>
        <v>0.30000000000000004</v>
      </c>
      <c r="R35" s="5">
        <f>R5/Q5-1</f>
        <v>0.30000000000000004</v>
      </c>
      <c r="S35" s="5">
        <f>S5/R5-1</f>
        <v>0.30000000000000004</v>
      </c>
      <c r="T35" s="5">
        <f>T5/S5-1</f>
        <v>0.30000000000000027</v>
      </c>
      <c r="U35" s="5">
        <f>U5/T5-1</f>
        <v>0.30000000000000004</v>
      </c>
      <c r="V35" s="5">
        <f>V5/U5-1</f>
        <v>0.30000000000000004</v>
      </c>
      <c r="W35" s="5">
        <f>W5/V5-1</f>
        <v>0.30000000000000004</v>
      </c>
      <c r="X35" s="5">
        <f>X5/W5-1</f>
        <v>0.30000000000000004</v>
      </c>
      <c r="Y35" s="5">
        <f>Y5/X5-1</f>
        <v>0.30000000000000027</v>
      </c>
      <c r="AC35" s="5"/>
    </row>
    <row r="36" spans="2:171" x14ac:dyDescent="0.2"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AC36" s="5"/>
    </row>
    <row r="37" spans="2:171" x14ac:dyDescent="0.2">
      <c r="B37" s="1" t="s">
        <v>71</v>
      </c>
      <c r="H37" s="14">
        <v>410000</v>
      </c>
      <c r="M37" s="5"/>
      <c r="N37" s="5"/>
      <c r="O37" s="5"/>
      <c r="P37" s="1">
        <f>P19*0.73</f>
        <v>10818.539404953301</v>
      </c>
      <c r="Q37" s="1">
        <f>Q19*0.73</f>
        <v>16588.739552554136</v>
      </c>
      <c r="R37" s="1">
        <f>R19*0.73</f>
        <v>23723.857631308823</v>
      </c>
      <c r="S37" s="1">
        <f>S19*0.73</f>
        <v>31368.218250993061</v>
      </c>
      <c r="T37" s="1">
        <f>T19*0.73</f>
        <v>40074.410619167182</v>
      </c>
      <c r="U37" s="1">
        <f>U19*0.73</f>
        <v>51252.456221427106</v>
      </c>
      <c r="V37" s="1">
        <f>V19*0.73</f>
        <v>59915.804685025294</v>
      </c>
      <c r="W37" s="1">
        <f>W19*0.73</f>
        <v>70644.617394149478</v>
      </c>
      <c r="X37" s="1">
        <f>X19*0.73</f>
        <v>84136.262212945629</v>
      </c>
      <c r="Y37" s="1">
        <f>Y19*0.73</f>
        <v>101369.33901100892</v>
      </c>
      <c r="Z37" s="1">
        <f>Y37*(1+$AB$124)</f>
        <v>102383.03240111901</v>
      </c>
      <c r="AA37" s="1">
        <f>Z37*(1+$AB$124)</f>
        <v>103406.8627251302</v>
      </c>
      <c r="AB37" s="1">
        <f>AA37*(1+$AB$124)</f>
        <v>104440.93135238149</v>
      </c>
      <c r="AC37" s="1">
        <f>AB37*(1+$AB$124)</f>
        <v>105485.34066590531</v>
      </c>
      <c r="AD37" s="1">
        <f>AC37*(1+$AB$124)</f>
        <v>106540.19407256437</v>
      </c>
      <c r="AE37" s="1">
        <f>AD37*(1+$AB$124)</f>
        <v>107605.59601329001</v>
      </c>
      <c r="AF37" s="1">
        <f>AE37*(1+$AB$124)</f>
        <v>108681.65197342291</v>
      </c>
      <c r="AG37" s="1">
        <f>AF37*(1+$AB$124)</f>
        <v>109768.46849315714</v>
      </c>
      <c r="AH37" s="1">
        <f>AG37*(1+$AB$124)</f>
        <v>110866.15317808872</v>
      </c>
      <c r="AI37" s="1">
        <f>AH37*(1+$AB$124)</f>
        <v>111974.81470986961</v>
      </c>
      <c r="AJ37" s="1">
        <f>AI37*(1+$AB$124)</f>
        <v>113094.5628569683</v>
      </c>
      <c r="AK37" s="1">
        <f>AJ37*(1+$AB$124)</f>
        <v>114225.50848553798</v>
      </c>
      <c r="AL37" s="1">
        <f>AK37*(1+$AB$124)</f>
        <v>115367.76357039336</v>
      </c>
      <c r="AM37" s="1">
        <f>AL37*(1+$AB$124)</f>
        <v>116521.4412060973</v>
      </c>
      <c r="AN37" s="1">
        <f>AM37*(1+$AB$124)</f>
        <v>117686.65561815827</v>
      </c>
      <c r="AO37" s="1">
        <f>AN37*(1+$AB$124)</f>
        <v>118863.52217433986</v>
      </c>
      <c r="AP37" s="1">
        <f>AO37*(1+$AB$124)</f>
        <v>120052.15739608326</v>
      </c>
      <c r="AQ37" s="1">
        <f>AP37*(1+$AB$124)</f>
        <v>121252.6789700441</v>
      </c>
      <c r="AR37" s="1">
        <f>AQ37*(1+$AB$124)</f>
        <v>122465.20575974454</v>
      </c>
      <c r="AS37" s="1">
        <f>AR37*(1+$AB$124)</f>
        <v>123689.85781734198</v>
      </c>
      <c r="AT37" s="1">
        <f>AS37*(1+$AB$124)</f>
        <v>124926.7563955154</v>
      </c>
      <c r="AU37" s="1">
        <f>AT37*(1+$AB$124)</f>
        <v>126176.02395947056</v>
      </c>
      <c r="AV37" s="1">
        <f>AU37*(1+$AB$124)</f>
        <v>127437.78419906527</v>
      </c>
      <c r="AW37" s="1">
        <f>AV37*(1+$AB$124)</f>
        <v>128712.16204105593</v>
      </c>
      <c r="AX37" s="1">
        <f>AW37*(1+$AB$124)</f>
        <v>129999.28366146648</v>
      </c>
      <c r="AY37" s="1">
        <f>AX37*(1+$AB$124)</f>
        <v>131299.27649808116</v>
      </c>
      <c r="AZ37" s="1">
        <f>AY37*(1+$AB$124)</f>
        <v>132612.26926306199</v>
      </c>
      <c r="BA37" s="1">
        <f>AZ37*(1+$AB$124)</f>
        <v>133938.39195569261</v>
      </c>
      <c r="BB37" s="1">
        <f>BA37*(1+$AB$124)</f>
        <v>135277.77587524953</v>
      </c>
      <c r="BC37" s="1">
        <f>BB37*(1+$AB$124)</f>
        <v>136630.55363400202</v>
      </c>
      <c r="BD37" s="1">
        <f>BC37*(1+$AB$124)</f>
        <v>137996.85917034204</v>
      </c>
      <c r="BE37" s="1">
        <f>BD37*(1+$AB$124)</f>
        <v>139376.82776204546</v>
      </c>
      <c r="BF37" s="1">
        <f>BE37*(1+$AB$124)</f>
        <v>140770.59603966592</v>
      </c>
      <c r="BG37" s="1">
        <f>BF37*(1+$AB$124)</f>
        <v>142178.30200006257</v>
      </c>
      <c r="BH37" s="1">
        <f>BG37*(1+$AB$124)</f>
        <v>143600.08502006318</v>
      </c>
      <c r="BI37" s="1">
        <f>BH37*(1+$AB$124)</f>
        <v>145036.08587026381</v>
      </c>
      <c r="BJ37" s="1">
        <f>BI37*(1+$AB$124)</f>
        <v>146486.44672896646</v>
      </c>
      <c r="BK37" s="1">
        <f>BJ37*(1+$AB$124)</f>
        <v>147951.31119625614</v>
      </c>
      <c r="BL37" s="1">
        <f>BK37*(1+$AB$124)</f>
        <v>149430.8243082187</v>
      </c>
      <c r="BM37" s="1">
        <f>BL37*(1+$AB$124)</f>
        <v>150925.13255130089</v>
      </c>
      <c r="BN37" s="1">
        <f>BM37*(1+$AB$124)</f>
        <v>152434.3838768139</v>
      </c>
      <c r="BO37" s="1">
        <f>BN37*(1+$AB$124)</f>
        <v>153958.72771558203</v>
      </c>
      <c r="BP37" s="1">
        <f>BO37*(1+$AB$124)</f>
        <v>155498.31499273787</v>
      </c>
      <c r="BQ37" s="1">
        <f>BP37*(1+$AB$124)</f>
        <v>157053.29814266524</v>
      </c>
      <c r="BR37" s="1">
        <f>BQ37*(1+$AB$124)</f>
        <v>158623.8311240919</v>
      </c>
      <c r="BS37" s="1">
        <f>BR37*(1+$AB$124)</f>
        <v>160210.06943533281</v>
      </c>
      <c r="BT37" s="1">
        <f>BS37*(1+$AB$124)</f>
        <v>161812.17012968616</v>
      </c>
      <c r="BU37" s="1">
        <f>BT37*(1+$AB$124)</f>
        <v>163430.29183098301</v>
      </c>
      <c r="BV37" s="1">
        <f>BU37*(1+$AB$124)</f>
        <v>165064.59474929285</v>
      </c>
      <c r="BW37" s="1">
        <f>BV37*(1+$AB$124)</f>
        <v>166715.2406967858</v>
      </c>
      <c r="BX37" s="1">
        <f>BW37*(1+$AB$124)</f>
        <v>168382.39310375365</v>
      </c>
      <c r="BY37" s="1">
        <f>BX37*(1+$AB$124)</f>
        <v>170066.21703479119</v>
      </c>
      <c r="BZ37" s="1">
        <f>BY37*(1+$AB$124)</f>
        <v>171766.87920513909</v>
      </c>
      <c r="CA37" s="1">
        <f>BZ37*(1+$AB$124)</f>
        <v>173484.54799719047</v>
      </c>
      <c r="CB37" s="1">
        <f>CA37*(1+$AB$124)</f>
        <v>175219.39347716238</v>
      </c>
      <c r="CC37" s="1">
        <f>CB37*(1+$AB$124)</f>
        <v>176971.58741193402</v>
      </c>
      <c r="CD37" s="1">
        <f>CC37*(1+$AB$124)</f>
        <v>178741.30328605336</v>
      </c>
      <c r="CE37" s="1">
        <f>CD37*(1+$AB$124)</f>
        <v>180528.71631891388</v>
      </c>
      <c r="CF37" s="1">
        <f>CE37*(1+$AB$124)</f>
        <v>182334.00348210303</v>
      </c>
      <c r="CG37" s="1">
        <f>CF37*(1+$AB$124)</f>
        <v>184157.34351692407</v>
      </c>
      <c r="CH37" s="1">
        <f>CG37*(1+$AB$124)</f>
        <v>185998.91695209331</v>
      </c>
      <c r="CI37" s="1">
        <f>CH37*(1+$AB$124)</f>
        <v>187858.90612161424</v>
      </c>
      <c r="CJ37" s="1">
        <f>CI37*(1+$AB$124)</f>
        <v>189737.49518283037</v>
      </c>
      <c r="CK37" s="1">
        <f>CJ37*(1+$AB$124)</f>
        <v>191634.87013465867</v>
      </c>
      <c r="CL37" s="1">
        <f>CK37*(1+$AB$124)</f>
        <v>193551.21883600525</v>
      </c>
      <c r="CM37" s="1">
        <f>CL37*(1+$AB$124)</f>
        <v>195486.73102436532</v>
      </c>
      <c r="CN37" s="1">
        <f>CM37*(1+$AB$124)</f>
        <v>197441.59833460898</v>
      </c>
      <c r="CO37" s="1">
        <f>CN37*(1+$AB$124)</f>
        <v>199416.01431795507</v>
      </c>
      <c r="CP37" s="1">
        <f>CO37*(1+$AB$124)</f>
        <v>201410.17446113462</v>
      </c>
      <c r="CQ37" s="1">
        <f>CP37*(1+$AB$124)</f>
        <v>203424.27620574596</v>
      </c>
      <c r="CR37" s="1">
        <f>CQ37*(1+$AB$124)</f>
        <v>205458.51896780342</v>
      </c>
      <c r="CS37" s="1">
        <f>CR37*(1+$AB$124)</f>
        <v>207513.10415748146</v>
      </c>
      <c r="CT37" s="1">
        <f>CS37*(1+$AB$124)</f>
        <v>209588.23519905627</v>
      </c>
      <c r="CU37" s="1">
        <f>CT37*(1+$AB$124)</f>
        <v>211684.11755104683</v>
      </c>
      <c r="CV37" s="1">
        <f>CU37*(1+$AB$124)</f>
        <v>213800.95872655729</v>
      </c>
      <c r="CW37" s="1">
        <f>CV37*(1+$AB$124)</f>
        <v>215938.96831382287</v>
      </c>
      <c r="CX37" s="1">
        <f>CW37*(1+$AB$124)</f>
        <v>218098.3579969611</v>
      </c>
      <c r="CY37" s="1">
        <f>CX37*(1+$AB$124)</f>
        <v>220279.34157693072</v>
      </c>
      <c r="CZ37" s="1">
        <f>CY37*(1+$AB$124)</f>
        <v>222482.13499270004</v>
      </c>
      <c r="DA37" s="1">
        <f>CZ37*(1+$AB$124)</f>
        <v>224706.95634262703</v>
      </c>
      <c r="DB37" s="1">
        <f>DA37*(1+$AB$124)</f>
        <v>226954.02590605331</v>
      </c>
      <c r="DC37" s="1">
        <f>DB37*(1+$AB$124)</f>
        <v>229223.56616511385</v>
      </c>
      <c r="DD37" s="1">
        <f>DC37*(1+$AB$124)</f>
        <v>231515.801826765</v>
      </c>
      <c r="DE37" s="1">
        <f>DD37*(1+$AB$124)</f>
        <v>233830.95984503266</v>
      </c>
      <c r="DF37" s="1">
        <f>DE37*(1+$AB$124)</f>
        <v>236169.26944348298</v>
      </c>
      <c r="DG37" s="1">
        <f>DF37*(1+$AB$124)</f>
        <v>238530.96213791781</v>
      </c>
      <c r="DH37" s="1">
        <f>DG37*(1+$AB$124)</f>
        <v>240916.271759297</v>
      </c>
      <c r="DI37" s="1">
        <f>DH37*(1+$AB$124)</f>
        <v>243325.43447688996</v>
      </c>
      <c r="DJ37" s="1">
        <f>DI37*(1+$AB$124)</f>
        <v>245758.68882165887</v>
      </c>
      <c r="DK37" s="1">
        <f>DJ37*(1+$AB$124)</f>
        <v>248216.27570987545</v>
      </c>
      <c r="DL37" s="1">
        <f>DK37*(1+$AB$124)</f>
        <v>250698.43846697421</v>
      </c>
      <c r="DM37" s="1">
        <f>DL37*(1+$AB$124)</f>
        <v>253205.42285164396</v>
      </c>
      <c r="DN37" s="1">
        <f>DM37*(1+$AB$124)</f>
        <v>255737.4770801604</v>
      </c>
      <c r="DO37" s="1">
        <f>DN37*(1+$AB$124)</f>
        <v>258294.851850962</v>
      </c>
      <c r="DP37" s="1">
        <f>DO37*(1+$AB$124)</f>
        <v>260877.80036947163</v>
      </c>
      <c r="DQ37" s="1">
        <f>DP37*(1+$AB$124)</f>
        <v>263486.57837316633</v>
      </c>
      <c r="DR37" s="1">
        <f>DQ37*(1+$AB$124)</f>
        <v>266121.44415689801</v>
      </c>
      <c r="DS37" s="1">
        <f>DR37*(1+$AB$124)</f>
        <v>268782.65859846701</v>
      </c>
      <c r="DT37" s="1">
        <f>DS37*(1+$AB$124)</f>
        <v>271470.48518445168</v>
      </c>
      <c r="DU37" s="1">
        <f>DT37*(1+$AB$124)</f>
        <v>274185.1900362962</v>
      </c>
      <c r="DV37" s="1">
        <f>DU37*(1+$AB$124)</f>
        <v>276927.0419366592</v>
      </c>
      <c r="DW37" s="1">
        <f>DV37*(1+$AB$124)</f>
        <v>279696.3123560258</v>
      </c>
      <c r="DX37" s="1">
        <f>DW37*(1+$AB$124)</f>
        <v>282493.27547958604</v>
      </c>
      <c r="DY37" s="1">
        <f>DX37*(1+$AB$124)</f>
        <v>285318.20823438192</v>
      </c>
      <c r="DZ37" s="1">
        <f>DY37*(1+$AB$124)</f>
        <v>288171.39031672577</v>
      </c>
      <c r="EA37" s="1">
        <f>DZ37*(1+$AB$124)</f>
        <v>291053.10421989305</v>
      </c>
      <c r="EB37" s="1">
        <f>EA37*(1+$AB$124)</f>
        <v>293963.63526209199</v>
      </c>
      <c r="EC37" s="1">
        <f>EB37*(1+$AB$124)</f>
        <v>296903.2716147129</v>
      </c>
      <c r="ED37" s="1">
        <f>EC37*(1+$AB$124)</f>
        <v>299872.30433086003</v>
      </c>
      <c r="EE37" s="1">
        <f>ED37*(1+$AB$124)</f>
        <v>302871.02737416863</v>
      </c>
      <c r="EF37" s="1">
        <f>EE37*(1+$AB$124)</f>
        <v>305899.73764791031</v>
      </c>
      <c r="EG37" s="1">
        <f>EF37*(1+$AB$124)</f>
        <v>308958.7350243894</v>
      </c>
      <c r="EH37" s="1">
        <f>EG37*(1+$AB$124)</f>
        <v>312048.32237463328</v>
      </c>
      <c r="EI37" s="1">
        <f>EH37*(1+$AB$124)</f>
        <v>315168.80559837964</v>
      </c>
      <c r="EJ37" s="1">
        <f>EI37*(1+$AB$124)</f>
        <v>318320.49365436344</v>
      </c>
      <c r="EK37" s="1">
        <f>EJ37*(1+$AB$124)</f>
        <v>321503.69859090709</v>
      </c>
      <c r="EL37" s="1">
        <f>EK37*(1+$AB$124)</f>
        <v>324718.73557681619</v>
      </c>
      <c r="EM37" s="1">
        <f>EL37*(1+$AB$124)</f>
        <v>327965.92293258436</v>
      </c>
      <c r="EN37" s="1">
        <f>EM37*(1+$AB$124)</f>
        <v>331245.58216191019</v>
      </c>
      <c r="EO37" s="1">
        <f>EN37*(1+$AB$124)</f>
        <v>334558.03798352927</v>
      </c>
      <c r="EP37" s="1">
        <f>EO37*(1+$AB$124)</f>
        <v>337903.61836336454</v>
      </c>
      <c r="EQ37" s="1">
        <f>EP37*(1+$AB$124)</f>
        <v>341282.65454699821</v>
      </c>
      <c r="ER37" s="1">
        <f>EQ37*(1+$AB$124)</f>
        <v>344695.4810924682</v>
      </c>
      <c r="ES37" s="1">
        <f>ER37*(1+$AB$124)</f>
        <v>348142.43590339291</v>
      </c>
      <c r="ET37" s="1">
        <f>ES37*(1+$AB$124)</f>
        <v>351623.86026242684</v>
      </c>
      <c r="EU37" s="1">
        <f>ET37*(1+$AB$124)</f>
        <v>355140.09886505111</v>
      </c>
      <c r="EV37" s="1">
        <f>EU37*(1+$AB$124)</f>
        <v>358691.49985370162</v>
      </c>
      <c r="EW37" s="1">
        <f>EV37*(1+$AB$124)</f>
        <v>362278.41485223867</v>
      </c>
      <c r="EX37" s="1">
        <f>EW37*(1+$AB$124)</f>
        <v>365901.19900076103</v>
      </c>
      <c r="EY37" s="1">
        <f>EX37*(1+$AB$124)</f>
        <v>369560.21099076862</v>
      </c>
      <c r="EZ37" s="1">
        <f>EY37*(1+$AB$124)</f>
        <v>373255.81310067629</v>
      </c>
      <c r="FA37" s="1">
        <f>EZ37*(1+$AB$124)</f>
        <v>376988.37123168306</v>
      </c>
      <c r="FB37" s="1">
        <f>FA37*(1+$AB$124)</f>
        <v>380758.25494399987</v>
      </c>
      <c r="FC37" s="1">
        <f>FB37*(1+$AB$124)</f>
        <v>384565.83749343985</v>
      </c>
      <c r="FD37" s="1">
        <f>FC37*(1+$AB$124)</f>
        <v>388411.49586837424</v>
      </c>
      <c r="FE37" s="1">
        <f>FD37*(1+$AB$124)</f>
        <v>392295.61082705797</v>
      </c>
      <c r="FF37" s="1">
        <f>FE37*(1+$AB$124)</f>
        <v>396218.56693532853</v>
      </c>
      <c r="FG37" s="1">
        <f>FF37*(1+$AB$124)</f>
        <v>400180.75260468182</v>
      </c>
      <c r="FH37" s="1">
        <f>FG37*(1+$AB$124)</f>
        <v>404182.56013072864</v>
      </c>
      <c r="FI37" s="1">
        <f>FH37*(1+$AB$124)</f>
        <v>408224.38573203591</v>
      </c>
      <c r="FJ37" s="1">
        <f>FI37*(1+$AB$124)</f>
        <v>412306.62958935625</v>
      </c>
      <c r="FK37" s="1">
        <f>FJ37*(1+$AB$124)</f>
        <v>416429.69588524982</v>
      </c>
      <c r="FL37" s="1">
        <f>FK37*(1+$AB$124)</f>
        <v>420593.99284410232</v>
      </c>
      <c r="FM37" s="1">
        <f>FL37*(1+$AB$124)</f>
        <v>424799.93277254334</v>
      </c>
      <c r="FN37" s="1">
        <f>FM37*(1+$AB$124)</f>
        <v>429047.93210026878</v>
      </c>
      <c r="FO37" s="1">
        <f>FN37*(1+$AB$124)</f>
        <v>433338.41142127145</v>
      </c>
    </row>
    <row r="38" spans="2:171" x14ac:dyDescent="0.2">
      <c r="B38" s="1" t="s">
        <v>72</v>
      </c>
      <c r="H38" s="1">
        <v>384000</v>
      </c>
      <c r="M38" s="5"/>
      <c r="N38" s="5"/>
      <c r="O38" s="5"/>
      <c r="P38" s="4"/>
      <c r="Q38" s="5"/>
      <c r="R38" s="5"/>
      <c r="S38" s="5"/>
      <c r="T38" s="5"/>
      <c r="U38" s="5"/>
      <c r="V38" s="5"/>
      <c r="W38" s="5"/>
      <c r="X38" s="5"/>
      <c r="Y38" s="5"/>
      <c r="AC38" s="5"/>
    </row>
    <row r="39" spans="2:171" x14ac:dyDescent="0.2">
      <c r="M39" s="5"/>
      <c r="N39" s="5"/>
      <c r="O39" s="5"/>
      <c r="P39" s="5"/>
      <c r="Q39" s="4"/>
    </row>
    <row r="40" spans="2:171" x14ac:dyDescent="0.2">
      <c r="B40" s="1" t="s">
        <v>13</v>
      </c>
      <c r="L40" s="1">
        <v>24390</v>
      </c>
      <c r="M40" s="1">
        <v>71177</v>
      </c>
      <c r="N40" s="1">
        <v>70826</v>
      </c>
      <c r="O40" s="1">
        <v>94105</v>
      </c>
    </row>
    <row r="41" spans="2:171" x14ac:dyDescent="0.2">
      <c r="B41" s="1" t="s">
        <v>12</v>
      </c>
      <c r="L41" s="1">
        <v>906032</v>
      </c>
      <c r="M41" s="1">
        <v>1298434</v>
      </c>
      <c r="N41" s="1">
        <v>1775159</v>
      </c>
      <c r="O41" s="1">
        <v>1679338</v>
      </c>
      <c r="P41" s="1">
        <f>F45*4</f>
        <v>1836000</v>
      </c>
      <c r="Q41" s="1">
        <f>P41*1.3</f>
        <v>2386800</v>
      </c>
      <c r="R41" s="1">
        <f>Q41*1.2</f>
        <v>2864160</v>
      </c>
      <c r="S41" s="1">
        <f>R41*1.1</f>
        <v>3150576.0000000005</v>
      </c>
      <c r="T41" s="1">
        <f>S41*1.05</f>
        <v>3308104.8000000007</v>
      </c>
      <c r="U41" s="1">
        <f>T41*1.05</f>
        <v>3473510.040000001</v>
      </c>
      <c r="V41" s="1">
        <f t="shared" ref="V41:Y41" si="89">U41*1.05</f>
        <v>3647185.5420000013</v>
      </c>
      <c r="W41" s="1">
        <f t="shared" si="89"/>
        <v>3829544.8191000014</v>
      </c>
      <c r="X41" s="1">
        <f t="shared" si="89"/>
        <v>4021022.0600550016</v>
      </c>
      <c r="Y41" s="1">
        <f t="shared" si="89"/>
        <v>4222073.163057752</v>
      </c>
    </row>
    <row r="42" spans="2:171" x14ac:dyDescent="0.2">
      <c r="B42" s="1" t="s">
        <v>45</v>
      </c>
      <c r="P42" s="1">
        <v>150000</v>
      </c>
      <c r="Q42" s="1">
        <f>P42*1.1</f>
        <v>165000</v>
      </c>
      <c r="R42" s="1">
        <f>Q42*1.1</f>
        <v>181500.00000000003</v>
      </c>
      <c r="S42" s="1">
        <f>R42*1.1</f>
        <v>199650.00000000006</v>
      </c>
      <c r="T42" s="1">
        <f>S42*1.1</f>
        <v>219615.00000000009</v>
      </c>
      <c r="U42" s="1">
        <f>T42*1.1</f>
        <v>241576.50000000012</v>
      </c>
      <c r="V42" s="1">
        <f t="shared" ref="V42:Y42" si="90">U42*1.1</f>
        <v>265734.15000000014</v>
      </c>
      <c r="W42" s="1">
        <f t="shared" si="90"/>
        <v>292307.56500000018</v>
      </c>
      <c r="X42" s="1">
        <f t="shared" si="90"/>
        <v>321538.32150000019</v>
      </c>
      <c r="Y42" s="1">
        <f t="shared" si="90"/>
        <v>353692.15365000023</v>
      </c>
    </row>
    <row r="43" spans="2:171" x14ac:dyDescent="0.2">
      <c r="B43" s="1" t="s">
        <v>46</v>
      </c>
      <c r="L43" s="5"/>
      <c r="M43" s="5"/>
      <c r="N43" s="5"/>
      <c r="O43" s="5"/>
      <c r="P43" s="1">
        <v>50000</v>
      </c>
      <c r="Q43" s="1">
        <f>P43*2</f>
        <v>100000</v>
      </c>
      <c r="R43" s="1">
        <f>Q43*2</f>
        <v>200000</v>
      </c>
      <c r="S43" s="1">
        <f>R43*1.4</f>
        <v>280000</v>
      </c>
      <c r="T43" s="1">
        <f t="shared" ref="T43:Y43" si="91">S43*1.4</f>
        <v>392000</v>
      </c>
      <c r="U43" s="1">
        <f t="shared" si="91"/>
        <v>548800</v>
      </c>
      <c r="V43" s="1">
        <f t="shared" si="91"/>
        <v>768320</v>
      </c>
      <c r="W43" s="1">
        <f t="shared" si="91"/>
        <v>1075648</v>
      </c>
      <c r="X43" s="1">
        <f t="shared" si="91"/>
        <v>1505907.2</v>
      </c>
      <c r="Y43" s="1">
        <f t="shared" si="91"/>
        <v>2108270.0799999996</v>
      </c>
    </row>
    <row r="44" spans="2:171" x14ac:dyDescent="0.2">
      <c r="B44" s="1" t="s">
        <v>47</v>
      </c>
      <c r="Q44" s="1">
        <v>50000</v>
      </c>
      <c r="R44" s="1">
        <f>Q44*1.1</f>
        <v>55000.000000000007</v>
      </c>
      <c r="S44" s="1">
        <f t="shared" ref="S44:U44" si="92">R44*1.1</f>
        <v>60500.000000000015</v>
      </c>
      <c r="T44" s="1">
        <f t="shared" si="92"/>
        <v>66550.000000000015</v>
      </c>
      <c r="U44" s="1">
        <f t="shared" si="92"/>
        <v>73205.000000000029</v>
      </c>
      <c r="V44" s="1">
        <f t="shared" ref="V44" si="93">U44*1.1</f>
        <v>80525.500000000044</v>
      </c>
      <c r="W44" s="1">
        <f t="shared" ref="W44" si="94">V44*1.1</f>
        <v>88578.050000000061</v>
      </c>
      <c r="X44" s="1">
        <f t="shared" ref="X44" si="95">W44*1.1</f>
        <v>97435.855000000069</v>
      </c>
      <c r="Y44" s="1">
        <f t="shared" ref="Y44" si="96">X44*1.1</f>
        <v>107179.44050000008</v>
      </c>
    </row>
    <row r="45" spans="2:171" x14ac:dyDescent="0.2">
      <c r="B45" s="1" t="s">
        <v>14</v>
      </c>
      <c r="C45" s="1">
        <f>SUM(C41:C41)</f>
        <v>0</v>
      </c>
      <c r="F45" s="1">
        <v>459000</v>
      </c>
      <c r="L45" s="1">
        <f t="shared" ref="L45:U45" si="97">SUM(L41:L44)</f>
        <v>906032</v>
      </c>
      <c r="M45" s="1">
        <f t="shared" si="97"/>
        <v>1298434</v>
      </c>
      <c r="N45" s="1">
        <f t="shared" si="97"/>
        <v>1775159</v>
      </c>
      <c r="O45" s="1">
        <f t="shared" si="97"/>
        <v>1679338</v>
      </c>
      <c r="P45" s="1">
        <f t="shared" si="97"/>
        <v>2036000</v>
      </c>
      <c r="Q45" s="1">
        <f t="shared" si="97"/>
        <v>2701800</v>
      </c>
      <c r="R45" s="1">
        <f t="shared" si="97"/>
        <v>3300660</v>
      </c>
      <c r="S45" s="1">
        <f t="shared" si="97"/>
        <v>3690726.0000000005</v>
      </c>
      <c r="T45" s="1">
        <f t="shared" si="97"/>
        <v>3986269.8000000007</v>
      </c>
      <c r="U45" s="1">
        <f t="shared" si="97"/>
        <v>4337091.540000001</v>
      </c>
      <c r="V45" s="1">
        <f t="shared" ref="V45:Y45" si="98">SUM(V41:V44)</f>
        <v>4761765.1920000017</v>
      </c>
      <c r="W45" s="1">
        <f t="shared" si="98"/>
        <v>5286078.4341000011</v>
      </c>
      <c r="X45" s="1">
        <f t="shared" si="98"/>
        <v>5945903.4365550028</v>
      </c>
      <c r="Y45" s="1">
        <f t="shared" si="98"/>
        <v>6791214.8372077532</v>
      </c>
    </row>
    <row r="46" spans="2:171" x14ac:dyDescent="0.2">
      <c r="B46" s="1" t="s">
        <v>48</v>
      </c>
      <c r="P46" s="1">
        <f>O51*1.02</f>
        <v>46810.945741714888</v>
      </c>
      <c r="Q46" s="1">
        <f>P46*1.01</f>
        <v>47279.055199132039</v>
      </c>
      <c r="R46" s="1">
        <f t="shared" ref="R46:U46" si="99">Q46*1.01</f>
        <v>47751.845751123357</v>
      </c>
      <c r="S46" s="1">
        <f t="shared" si="99"/>
        <v>48229.364208634594</v>
      </c>
      <c r="T46" s="1">
        <f t="shared" si="99"/>
        <v>48711.657850720941</v>
      </c>
      <c r="U46" s="1">
        <f t="shared" si="99"/>
        <v>49198.77442922815</v>
      </c>
      <c r="V46" s="1">
        <f t="shared" ref="V46:V49" si="100">U46*1.01</f>
        <v>49690.76217352043</v>
      </c>
      <c r="W46" s="1">
        <f t="shared" ref="W46:W49" si="101">V46*1.01</f>
        <v>50187.669795255635</v>
      </c>
      <c r="X46" s="1">
        <f t="shared" ref="X46:X49" si="102">W46*1.01</f>
        <v>50689.546493208189</v>
      </c>
      <c r="Y46" s="1">
        <f t="shared" ref="Y46:Y49" si="103">X46*1.01</f>
        <v>51196.441958140269</v>
      </c>
      <c r="AA46" s="1" t="s">
        <v>15</v>
      </c>
      <c r="AB46" s="5">
        <v>0.01</v>
      </c>
    </row>
    <row r="47" spans="2:171" x14ac:dyDescent="0.2">
      <c r="B47" s="1" t="s">
        <v>49</v>
      </c>
      <c r="P47" s="1">
        <v>65000</v>
      </c>
      <c r="Q47" s="1">
        <f>P47*1.01</f>
        <v>65650</v>
      </c>
      <c r="R47" s="1">
        <f t="shared" ref="R47:U47" si="104">Q47*1.01</f>
        <v>66306.5</v>
      </c>
      <c r="S47" s="1">
        <f t="shared" si="104"/>
        <v>66969.565000000002</v>
      </c>
      <c r="T47" s="1">
        <f t="shared" si="104"/>
        <v>67639.260649999997</v>
      </c>
      <c r="U47" s="1">
        <f t="shared" si="104"/>
        <v>68315.653256499994</v>
      </c>
      <c r="V47" s="1">
        <f t="shared" si="100"/>
        <v>68998.809789064995</v>
      </c>
      <c r="W47" s="1">
        <f t="shared" si="101"/>
        <v>69688.797886955639</v>
      </c>
      <c r="X47" s="1">
        <f t="shared" si="102"/>
        <v>70385.685865825202</v>
      </c>
      <c r="Y47" s="1">
        <f t="shared" si="103"/>
        <v>71089.542724483457</v>
      </c>
      <c r="AA47" s="1" t="s">
        <v>16</v>
      </c>
      <c r="AB47" s="5">
        <v>0.12</v>
      </c>
    </row>
    <row r="48" spans="2:171" x14ac:dyDescent="0.2">
      <c r="B48" s="1" t="s">
        <v>50</v>
      </c>
      <c r="P48" s="1">
        <v>30000</v>
      </c>
      <c r="Q48" s="1">
        <f>P48*1.01</f>
        <v>30300</v>
      </c>
      <c r="R48" s="1">
        <f t="shared" ref="R48:U48" si="105">Q48*1.01</f>
        <v>30603</v>
      </c>
      <c r="S48" s="1">
        <f t="shared" si="105"/>
        <v>30909.03</v>
      </c>
      <c r="T48" s="1">
        <f t="shared" si="105"/>
        <v>31218.120299999999</v>
      </c>
      <c r="U48" s="1">
        <f t="shared" si="105"/>
        <v>31530.301502999999</v>
      </c>
      <c r="V48" s="1">
        <f t="shared" si="100"/>
        <v>31845.604518029999</v>
      </c>
      <c r="W48" s="1">
        <f t="shared" si="101"/>
        <v>32164.0605632103</v>
      </c>
      <c r="X48" s="1">
        <f t="shared" si="102"/>
        <v>32485.701168842403</v>
      </c>
      <c r="Y48" s="1">
        <f t="shared" si="103"/>
        <v>32810.558180530825</v>
      </c>
      <c r="AA48" s="3" t="s">
        <v>17</v>
      </c>
      <c r="AB48" s="3">
        <f>NPV(AB47,P55:ES55)</f>
        <v>298773.42404306022</v>
      </c>
    </row>
    <row r="49" spans="2:149" x14ac:dyDescent="0.2">
      <c r="B49" s="1" t="s">
        <v>51</v>
      </c>
      <c r="P49" s="1">
        <v>165000</v>
      </c>
      <c r="Q49" s="1">
        <f>P49*1.01</f>
        <v>166650</v>
      </c>
      <c r="R49" s="1">
        <f t="shared" ref="R49:U49" si="106">Q49*1.01</f>
        <v>168316.5</v>
      </c>
      <c r="S49" s="1">
        <f t="shared" si="106"/>
        <v>169999.66500000001</v>
      </c>
      <c r="T49" s="1">
        <f t="shared" si="106"/>
        <v>171699.66165000002</v>
      </c>
      <c r="U49" s="1">
        <f t="shared" si="106"/>
        <v>173416.65826650002</v>
      </c>
      <c r="V49" s="1">
        <f t="shared" si="100"/>
        <v>175150.82484916502</v>
      </c>
      <c r="W49" s="1">
        <f t="shared" si="101"/>
        <v>176902.33309765666</v>
      </c>
      <c r="X49" s="1">
        <f t="shared" si="102"/>
        <v>178671.35642863324</v>
      </c>
      <c r="Y49" s="1">
        <f t="shared" si="103"/>
        <v>180458.06999291957</v>
      </c>
    </row>
    <row r="50" spans="2:149" x14ac:dyDescent="0.2">
      <c r="B50" s="1" t="s">
        <v>56</v>
      </c>
      <c r="F50" s="1">
        <f>F3*1000000/F45</f>
        <v>43132.897603485842</v>
      </c>
      <c r="P50" s="1">
        <f t="shared" ref="P50:U50" si="107">P44+P42+P41</f>
        <v>1986000</v>
      </c>
      <c r="Q50" s="1">
        <f t="shared" si="107"/>
        <v>2601800</v>
      </c>
      <c r="R50" s="1">
        <f t="shared" si="107"/>
        <v>3100660</v>
      </c>
      <c r="S50" s="1">
        <f t="shared" si="107"/>
        <v>3410726.0000000005</v>
      </c>
      <c r="T50" s="1">
        <f t="shared" si="107"/>
        <v>3594269.8000000007</v>
      </c>
      <c r="U50" s="1">
        <f t="shared" si="107"/>
        <v>3788291.540000001</v>
      </c>
      <c r="V50" s="1">
        <f t="shared" ref="V50:Y50" si="108">V44+V42+V41</f>
        <v>3993445.1920000017</v>
      </c>
      <c r="W50" s="1">
        <f t="shared" si="108"/>
        <v>4210430.4341000021</v>
      </c>
      <c r="X50" s="1">
        <f t="shared" si="108"/>
        <v>4439996.2365550017</v>
      </c>
      <c r="Y50" s="1">
        <f t="shared" si="108"/>
        <v>4682944.7572077522</v>
      </c>
    </row>
    <row r="51" spans="2:149" x14ac:dyDescent="0.2">
      <c r="B51" s="1" t="s">
        <v>70</v>
      </c>
      <c r="L51" s="1">
        <f>L3*1000000/L45</f>
        <v>52130.609073410211</v>
      </c>
      <c r="M51" s="1">
        <f>M3*1000000/M45</f>
        <v>55037.067729280039</v>
      </c>
      <c r="N51" s="1">
        <f>N3*1000000/N45</f>
        <v>46429.080437301673</v>
      </c>
      <c r="O51" s="1">
        <f>O3*1000000/O45</f>
        <v>45893.084060504792</v>
      </c>
      <c r="P51" s="1">
        <f>O51*1.03</f>
        <v>47269.876582319936</v>
      </c>
      <c r="Q51" s="1">
        <f t="shared" ref="Q51:U51" si="109">P51*1.03</f>
        <v>48687.972879789537</v>
      </c>
      <c r="R51" s="1">
        <f t="shared" si="109"/>
        <v>50148.612066183225</v>
      </c>
      <c r="S51" s="1">
        <f t="shared" si="109"/>
        <v>51653.070428168721</v>
      </c>
      <c r="T51" s="1">
        <f t="shared" si="109"/>
        <v>53202.662541013786</v>
      </c>
      <c r="U51" s="1">
        <f t="shared" si="109"/>
        <v>54798.742417244204</v>
      </c>
      <c r="V51" s="1">
        <f t="shared" ref="V51" si="110">U51*1.03</f>
        <v>56442.704689761529</v>
      </c>
      <c r="W51" s="1">
        <f t="shared" ref="W51" si="111">V51*1.03</f>
        <v>58135.985830454374</v>
      </c>
      <c r="X51" s="1">
        <f t="shared" ref="X51" si="112">W51*1.03</f>
        <v>59880.065405368005</v>
      </c>
      <c r="Y51" s="1">
        <f t="shared" ref="Y51" si="113">X51*1.03</f>
        <v>61676.467367529047</v>
      </c>
    </row>
    <row r="53" spans="2:149" x14ac:dyDescent="0.2">
      <c r="B53" s="1" t="s">
        <v>12</v>
      </c>
      <c r="P53" s="1">
        <f t="shared" ref="P53:U53" si="114">P41*(P46/1000000)</f>
        <v>85944.896381788538</v>
      </c>
      <c r="Q53" s="1">
        <f t="shared" si="114"/>
        <v>112845.64894928834</v>
      </c>
      <c r="R53" s="1">
        <f t="shared" si="114"/>
        <v>136768.92652653749</v>
      </c>
      <c r="S53" s="1">
        <f t="shared" si="114"/>
        <v>151950.27737098315</v>
      </c>
      <c r="T53" s="1">
        <f t="shared" si="114"/>
        <v>161143.26915192767</v>
      </c>
      <c r="U53" s="1">
        <f t="shared" si="114"/>
        <v>170892.43693561928</v>
      </c>
      <c r="V53" s="1">
        <f t="shared" ref="V53:Y53" si="115">V41*(V46/1000000)</f>
        <v>181231.42937022427</v>
      </c>
      <c r="W53" s="1">
        <f t="shared" si="115"/>
        <v>192195.93084712286</v>
      </c>
      <c r="X53" s="1">
        <f t="shared" si="115"/>
        <v>203823.78466337378</v>
      </c>
      <c r="Y53" s="1">
        <f t="shared" si="115"/>
        <v>216155.12363550789</v>
      </c>
    </row>
    <row r="54" spans="2:149" x14ac:dyDescent="0.2">
      <c r="B54" s="1" t="s">
        <v>45</v>
      </c>
      <c r="P54" s="1">
        <f t="shared" ref="P54:U54" si="116">P42*(P47/1000000)</f>
        <v>9750</v>
      </c>
      <c r="Q54" s="1">
        <f t="shared" si="116"/>
        <v>10832.25</v>
      </c>
      <c r="R54" s="1">
        <f t="shared" si="116"/>
        <v>12034.629750000002</v>
      </c>
      <c r="S54" s="1">
        <f t="shared" si="116"/>
        <v>13370.473652250006</v>
      </c>
      <c r="T54" s="1">
        <f t="shared" si="116"/>
        <v>14854.596227649754</v>
      </c>
      <c r="U54" s="1">
        <f t="shared" si="116"/>
        <v>16503.456408918879</v>
      </c>
      <c r="V54" s="1">
        <f t="shared" ref="V54:Y54" si="117">V42*(V47/1000000)</f>
        <v>18335.340070308877</v>
      </c>
      <c r="W54" s="1">
        <f t="shared" si="117"/>
        <v>20370.562818113161</v>
      </c>
      <c r="X54" s="1">
        <f t="shared" si="117"/>
        <v>22631.695290923726</v>
      </c>
      <c r="Y54" s="1">
        <f t="shared" si="117"/>
        <v>25143.813468216256</v>
      </c>
    </row>
    <row r="55" spans="2:149" x14ac:dyDescent="0.2">
      <c r="B55" s="1" t="s">
        <v>46</v>
      </c>
      <c r="P55" s="1">
        <f t="shared" ref="P55:U55" si="118">P43*(P48/1000000)</f>
        <v>1500</v>
      </c>
      <c r="Q55" s="1">
        <f t="shared" si="118"/>
        <v>3030</v>
      </c>
      <c r="R55" s="1">
        <f t="shared" si="118"/>
        <v>6120.6</v>
      </c>
      <c r="S55" s="1">
        <f t="shared" si="118"/>
        <v>8654.5284000000011</v>
      </c>
      <c r="T55" s="1">
        <f t="shared" si="118"/>
        <v>12237.5031576</v>
      </c>
      <c r="U55" s="1">
        <f t="shared" si="118"/>
        <v>17303.8294648464</v>
      </c>
      <c r="V55" s="1">
        <f t="shared" ref="V55:Y55" si="119">V43*(V48/1000000)</f>
        <v>24467.614863292809</v>
      </c>
      <c r="W55" s="1">
        <f t="shared" si="119"/>
        <v>34597.20741669603</v>
      </c>
      <c r="X55" s="1">
        <f t="shared" si="119"/>
        <v>48920.45128720819</v>
      </c>
      <c r="Y55" s="1">
        <f t="shared" si="119"/>
        <v>69173.518120112363</v>
      </c>
      <c r="Z55" s="1">
        <f t="shared" ref="Z55:BE55" si="120">Y55*(1+$AB$46)</f>
        <v>69865.253301313482</v>
      </c>
      <c r="AA55" s="1">
        <f t="shared" si="120"/>
        <v>70563.905834326622</v>
      </c>
      <c r="AB55" s="1">
        <f t="shared" si="120"/>
        <v>71269.544892669888</v>
      </c>
      <c r="AC55" s="1">
        <f t="shared" si="120"/>
        <v>71982.240341596582</v>
      </c>
      <c r="AD55" s="1">
        <f t="shared" si="120"/>
        <v>72702.062745012547</v>
      </c>
      <c r="AE55" s="1">
        <f t="shared" si="120"/>
        <v>73429.083372462672</v>
      </c>
      <c r="AF55" s="1">
        <f t="shared" si="120"/>
        <v>74163.374206187305</v>
      </c>
      <c r="AG55" s="1">
        <f t="shared" si="120"/>
        <v>74905.007948249186</v>
      </c>
      <c r="AH55" s="1">
        <f t="shared" si="120"/>
        <v>75654.058027731677</v>
      </c>
      <c r="AI55" s="1">
        <f t="shared" si="120"/>
        <v>76410.598608008993</v>
      </c>
      <c r="AJ55" s="1">
        <f t="shared" si="120"/>
        <v>77174.704594089082</v>
      </c>
      <c r="AK55" s="1">
        <f t="shared" si="120"/>
        <v>77946.451640029976</v>
      </c>
      <c r="AL55" s="1">
        <f t="shared" si="120"/>
        <v>78725.916156430278</v>
      </c>
      <c r="AM55" s="1">
        <f t="shared" si="120"/>
        <v>79513.175317994581</v>
      </c>
      <c r="AN55" s="1">
        <f t="shared" si="120"/>
        <v>80308.307071174524</v>
      </c>
      <c r="AO55" s="1">
        <f t="shared" si="120"/>
        <v>81111.390141886266</v>
      </c>
      <c r="AP55" s="1">
        <f t="shared" si="120"/>
        <v>81922.504043305133</v>
      </c>
      <c r="AQ55" s="1">
        <f t="shared" si="120"/>
        <v>82741.729083738188</v>
      </c>
      <c r="AR55" s="1">
        <f t="shared" si="120"/>
        <v>83569.146374575575</v>
      </c>
      <c r="AS55" s="1">
        <f t="shared" si="120"/>
        <v>84404.837838321328</v>
      </c>
      <c r="AT55" s="1">
        <f t="shared" si="120"/>
        <v>85248.886216704544</v>
      </c>
      <c r="AU55" s="1">
        <f t="shared" si="120"/>
        <v>86101.375078871584</v>
      </c>
      <c r="AV55" s="1">
        <f t="shared" si="120"/>
        <v>86962.388829660296</v>
      </c>
      <c r="AW55" s="1">
        <f t="shared" si="120"/>
        <v>87832.012717956895</v>
      </c>
      <c r="AX55" s="1">
        <f t="shared" si="120"/>
        <v>88710.332845136465</v>
      </c>
      <c r="AY55" s="1">
        <f t="shared" si="120"/>
        <v>89597.436173587834</v>
      </c>
      <c r="AZ55" s="1">
        <f t="shared" si="120"/>
        <v>90493.41053532371</v>
      </c>
      <c r="BA55" s="1">
        <f t="shared" si="120"/>
        <v>91398.344640676951</v>
      </c>
      <c r="BB55" s="1">
        <f t="shared" si="120"/>
        <v>92312.328087083719</v>
      </c>
      <c r="BC55" s="1">
        <f t="shared" si="120"/>
        <v>93235.451367954563</v>
      </c>
      <c r="BD55" s="1">
        <f t="shared" si="120"/>
        <v>94167.805881634107</v>
      </c>
      <c r="BE55" s="1">
        <f t="shared" si="120"/>
        <v>95109.483940450446</v>
      </c>
      <c r="BF55" s="1">
        <f t="shared" ref="BF55:CK55" si="121">BE55*(1+$AB$46)</f>
        <v>96060.578779854957</v>
      </c>
      <c r="BG55" s="1">
        <f t="shared" si="121"/>
        <v>97021.184567653501</v>
      </c>
      <c r="BH55" s="1">
        <f t="shared" si="121"/>
        <v>97991.396413330032</v>
      </c>
      <c r="BI55" s="1">
        <f t="shared" si="121"/>
        <v>98971.310377463335</v>
      </c>
      <c r="BJ55" s="1">
        <f t="shared" si="121"/>
        <v>99961.023481237964</v>
      </c>
      <c r="BK55" s="1">
        <f t="shared" si="121"/>
        <v>100960.63371605035</v>
      </c>
      <c r="BL55" s="1">
        <f t="shared" si="121"/>
        <v>101970.24005321084</v>
      </c>
      <c r="BM55" s="1">
        <f t="shared" si="121"/>
        <v>102989.94245374296</v>
      </c>
      <c r="BN55" s="1">
        <f t="shared" si="121"/>
        <v>104019.84187828039</v>
      </c>
      <c r="BO55" s="1">
        <f t="shared" si="121"/>
        <v>105060.0402970632</v>
      </c>
      <c r="BP55" s="1">
        <f t="shared" si="121"/>
        <v>106110.64070003384</v>
      </c>
      <c r="BQ55" s="1">
        <f t="shared" si="121"/>
        <v>107171.74710703417</v>
      </c>
      <c r="BR55" s="1">
        <f t="shared" si="121"/>
        <v>108243.46457810451</v>
      </c>
      <c r="BS55" s="1">
        <f t="shared" si="121"/>
        <v>109325.89922388556</v>
      </c>
      <c r="BT55" s="1">
        <f t="shared" si="121"/>
        <v>110419.15821612442</v>
      </c>
      <c r="BU55" s="1">
        <f t="shared" si="121"/>
        <v>111523.34979828566</v>
      </c>
      <c r="BV55" s="1">
        <f t="shared" si="121"/>
        <v>112638.58329626852</v>
      </c>
      <c r="BW55" s="1">
        <f t="shared" si="121"/>
        <v>113764.96912923121</v>
      </c>
      <c r="BX55" s="1">
        <f t="shared" si="121"/>
        <v>114902.61882052352</v>
      </c>
      <c r="BY55" s="1">
        <f t="shared" si="121"/>
        <v>116051.64500872875</v>
      </c>
      <c r="BZ55" s="1">
        <f t="shared" si="121"/>
        <v>117212.16145881604</v>
      </c>
      <c r="CA55" s="1">
        <f t="shared" si="121"/>
        <v>118384.28307340421</v>
      </c>
      <c r="CB55" s="1">
        <f t="shared" si="121"/>
        <v>119568.12590413824</v>
      </c>
      <c r="CC55" s="1">
        <f t="shared" si="121"/>
        <v>120763.80716317963</v>
      </c>
      <c r="CD55" s="1">
        <f t="shared" si="121"/>
        <v>121971.44523481143</v>
      </c>
      <c r="CE55" s="1">
        <f t="shared" si="121"/>
        <v>123191.15968715954</v>
      </c>
      <c r="CF55" s="1">
        <f t="shared" si="121"/>
        <v>124423.07128403113</v>
      </c>
      <c r="CG55" s="1">
        <f t="shared" si="121"/>
        <v>125667.30199687145</v>
      </c>
      <c r="CH55" s="1">
        <f t="shared" si="121"/>
        <v>126923.97501684017</v>
      </c>
      <c r="CI55" s="1">
        <f t="shared" si="121"/>
        <v>128193.21476700857</v>
      </c>
      <c r="CJ55" s="1">
        <f t="shared" si="121"/>
        <v>129475.14691467865</v>
      </c>
      <c r="CK55" s="1">
        <f t="shared" si="121"/>
        <v>130769.89838382544</v>
      </c>
      <c r="CL55" s="1">
        <f t="shared" ref="CL55:DQ55" si="122">CK55*(1+$AB$46)</f>
        <v>132077.59736766369</v>
      </c>
      <c r="CM55" s="1">
        <f t="shared" si="122"/>
        <v>133398.37334134034</v>
      </c>
      <c r="CN55" s="1">
        <f t="shared" si="122"/>
        <v>134732.35707475373</v>
      </c>
      <c r="CO55" s="1">
        <f t="shared" si="122"/>
        <v>136079.68064550127</v>
      </c>
      <c r="CP55" s="1">
        <f t="shared" si="122"/>
        <v>137440.47745195628</v>
      </c>
      <c r="CQ55" s="1">
        <f t="shared" si="122"/>
        <v>138814.88222647583</v>
      </c>
      <c r="CR55" s="1">
        <f t="shared" si="122"/>
        <v>140203.03104874058</v>
      </c>
      <c r="CS55" s="1">
        <f t="shared" si="122"/>
        <v>141605.06135922798</v>
      </c>
      <c r="CT55" s="1">
        <f t="shared" si="122"/>
        <v>143021.11197282028</v>
      </c>
      <c r="CU55" s="1">
        <f t="shared" si="122"/>
        <v>144451.32309254847</v>
      </c>
      <c r="CV55" s="1">
        <f t="shared" si="122"/>
        <v>145895.83632347395</v>
      </c>
      <c r="CW55" s="1">
        <f t="shared" si="122"/>
        <v>147354.79468670869</v>
      </c>
      <c r="CX55" s="1">
        <f t="shared" si="122"/>
        <v>148828.34263357578</v>
      </c>
      <c r="CY55" s="1">
        <f t="shared" si="122"/>
        <v>150316.62605991153</v>
      </c>
      <c r="CZ55" s="1">
        <f t="shared" si="122"/>
        <v>151819.79232051066</v>
      </c>
      <c r="DA55" s="1">
        <f t="shared" si="122"/>
        <v>153337.99024371576</v>
      </c>
      <c r="DB55" s="1">
        <f t="shared" si="122"/>
        <v>154871.37014615291</v>
      </c>
      <c r="DC55" s="1">
        <f t="shared" si="122"/>
        <v>156420.08384761444</v>
      </c>
      <c r="DD55" s="1">
        <f t="shared" si="122"/>
        <v>157984.2846860906</v>
      </c>
      <c r="DE55" s="1">
        <f t="shared" si="122"/>
        <v>159564.1275329515</v>
      </c>
      <c r="DF55" s="1">
        <f t="shared" si="122"/>
        <v>161159.76880828102</v>
      </c>
      <c r="DG55" s="1">
        <f t="shared" si="122"/>
        <v>162771.36649636383</v>
      </c>
      <c r="DH55" s="1">
        <f t="shared" si="122"/>
        <v>164399.08016132747</v>
      </c>
      <c r="DI55" s="1">
        <f t="shared" si="122"/>
        <v>166043.07096294075</v>
      </c>
      <c r="DJ55" s="1">
        <f t="shared" si="122"/>
        <v>167703.50167257016</v>
      </c>
      <c r="DK55" s="1">
        <f t="shared" si="122"/>
        <v>169380.53668929587</v>
      </c>
      <c r="DL55" s="1">
        <f t="shared" si="122"/>
        <v>171074.34205618882</v>
      </c>
      <c r="DM55" s="1">
        <f t="shared" si="122"/>
        <v>172785.08547675071</v>
      </c>
      <c r="DN55" s="1">
        <f t="shared" si="122"/>
        <v>174512.93633151823</v>
      </c>
      <c r="DO55" s="1">
        <f t="shared" si="122"/>
        <v>176258.06569483341</v>
      </c>
      <c r="DP55" s="1">
        <f t="shared" si="122"/>
        <v>178020.64635178173</v>
      </c>
      <c r="DQ55" s="1">
        <f t="shared" si="122"/>
        <v>179800.85281529956</v>
      </c>
      <c r="DR55" s="1">
        <f t="shared" ref="DR55:ES55" si="123">DQ55*(1+$AB$46)</f>
        <v>181598.86134345256</v>
      </c>
      <c r="DS55" s="1">
        <f t="shared" si="123"/>
        <v>183414.84995688708</v>
      </c>
      <c r="DT55" s="1">
        <f t="shared" si="123"/>
        <v>185248.99845645594</v>
      </c>
      <c r="DU55" s="1">
        <f t="shared" si="123"/>
        <v>187101.48844102051</v>
      </c>
      <c r="DV55" s="1">
        <f t="shared" si="123"/>
        <v>188972.50332543071</v>
      </c>
      <c r="DW55" s="1">
        <f t="shared" si="123"/>
        <v>190862.22835868501</v>
      </c>
      <c r="DX55" s="1">
        <f t="shared" si="123"/>
        <v>192770.85064227186</v>
      </c>
      <c r="DY55" s="1">
        <f t="shared" si="123"/>
        <v>194698.55914869459</v>
      </c>
      <c r="DZ55" s="1">
        <f t="shared" si="123"/>
        <v>196645.54474018153</v>
      </c>
      <c r="EA55" s="1">
        <f t="shared" si="123"/>
        <v>198612.00018758336</v>
      </c>
      <c r="EB55" s="1">
        <f t="shared" si="123"/>
        <v>200598.12018945918</v>
      </c>
      <c r="EC55" s="1">
        <f t="shared" si="123"/>
        <v>202604.10139135376</v>
      </c>
      <c r="ED55" s="1">
        <f t="shared" si="123"/>
        <v>204630.14240526731</v>
      </c>
      <c r="EE55" s="1">
        <f t="shared" si="123"/>
        <v>206676.44382931999</v>
      </c>
      <c r="EF55" s="1">
        <f t="shared" si="123"/>
        <v>208743.2082676132</v>
      </c>
      <c r="EG55" s="1">
        <f t="shared" si="123"/>
        <v>210830.64035028932</v>
      </c>
      <c r="EH55" s="1">
        <f t="shared" si="123"/>
        <v>212938.94675379223</v>
      </c>
      <c r="EI55" s="1">
        <f t="shared" si="123"/>
        <v>215068.33622133016</v>
      </c>
      <c r="EJ55" s="1">
        <f t="shared" si="123"/>
        <v>217219.01958354347</v>
      </c>
      <c r="EK55" s="1">
        <f t="shared" si="123"/>
        <v>219391.2097793789</v>
      </c>
      <c r="EL55" s="1">
        <f t="shared" si="123"/>
        <v>221585.1218771727</v>
      </c>
      <c r="EM55" s="1">
        <f t="shared" si="123"/>
        <v>223800.97309594444</v>
      </c>
      <c r="EN55" s="1">
        <f t="shared" si="123"/>
        <v>226038.9828269039</v>
      </c>
      <c r="EO55" s="1">
        <f t="shared" si="123"/>
        <v>228299.37265517295</v>
      </c>
      <c r="EP55" s="1">
        <f t="shared" si="123"/>
        <v>230582.36638172469</v>
      </c>
      <c r="EQ55" s="1">
        <f t="shared" si="123"/>
        <v>232888.19004554194</v>
      </c>
      <c r="ER55" s="1">
        <f t="shared" si="123"/>
        <v>235217.07194599736</v>
      </c>
      <c r="ES55" s="1">
        <f t="shared" si="123"/>
        <v>237569.24266545734</v>
      </c>
    </row>
    <row r="56" spans="2:149" x14ac:dyDescent="0.2">
      <c r="B56" s="1" t="s">
        <v>47</v>
      </c>
      <c r="P56" s="1">
        <f t="shared" ref="P56:U56" si="124">P44*(P49/1000000)</f>
        <v>0</v>
      </c>
      <c r="Q56" s="1">
        <f t="shared" si="124"/>
        <v>8332.5</v>
      </c>
      <c r="R56" s="1">
        <f t="shared" si="124"/>
        <v>9257.4075000000012</v>
      </c>
      <c r="S56" s="1">
        <f t="shared" si="124"/>
        <v>10284.979732500004</v>
      </c>
      <c r="T56" s="1">
        <f t="shared" si="124"/>
        <v>11426.612482807504</v>
      </c>
      <c r="U56" s="1">
        <f t="shared" si="124"/>
        <v>12694.96646839914</v>
      </c>
      <c r="V56" s="1">
        <f t="shared" ref="V56:Y56" si="125">V44*(V49/1000000)</f>
        <v>14104.107746391446</v>
      </c>
      <c r="W56" s="1">
        <f t="shared" si="125"/>
        <v>15669.663706240897</v>
      </c>
      <c r="X56" s="1">
        <f t="shared" si="125"/>
        <v>17408.996377633637</v>
      </c>
      <c r="Y56" s="1">
        <f t="shared" si="125"/>
        <v>19341.394975550975</v>
      </c>
    </row>
    <row r="58" spans="2:149" x14ac:dyDescent="0.2">
      <c r="B58" s="3" t="s">
        <v>59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>
        <f>AB77</f>
        <v>34142.887863654629</v>
      </c>
      <c r="Q58" s="3"/>
      <c r="R58" s="3"/>
      <c r="S58" s="3"/>
      <c r="U58" s="3"/>
      <c r="V58" s="3"/>
      <c r="W58" s="3"/>
      <c r="X58" s="3"/>
      <c r="Y58" s="3"/>
    </row>
    <row r="59" spans="2:149" x14ac:dyDescent="0.2">
      <c r="B59" s="3" t="s">
        <v>58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>
        <f>AB70</f>
        <v>153955.16599192735</v>
      </c>
      <c r="Q59" s="3"/>
      <c r="R59" s="3"/>
      <c r="S59" s="3"/>
      <c r="U59" s="3"/>
      <c r="V59" s="3"/>
      <c r="W59" s="3"/>
      <c r="X59" s="3"/>
      <c r="Y59" s="3"/>
    </row>
    <row r="60" spans="2:149" x14ac:dyDescent="0.2">
      <c r="B60" s="1" t="s">
        <v>55</v>
      </c>
      <c r="P60" s="1">
        <f t="shared" ref="P60:U60" si="126">(8000*SUM(P41:P44)*P65)/1000000</f>
        <v>3909.12</v>
      </c>
      <c r="Q60" s="1">
        <f t="shared" si="126"/>
        <v>6224.9471999999996</v>
      </c>
      <c r="R60" s="1">
        <f t="shared" si="126"/>
        <v>9125.6647679999987</v>
      </c>
      <c r="S60" s="1">
        <f t="shared" si="126"/>
        <v>12244.943093760001</v>
      </c>
      <c r="T60" s="1">
        <f t="shared" si="126"/>
        <v>15870.5837899776</v>
      </c>
      <c r="U60" s="1">
        <f t="shared" si="126"/>
        <v>18994.046052630529</v>
      </c>
      <c r="V60" s="1">
        <f t="shared" ref="V60:Y60" si="127">(8000*SUM(V41:V44)*V65)/1000000</f>
        <v>21896.574199606152</v>
      </c>
      <c r="W60" s="1">
        <f t="shared" si="127"/>
        <v>25522.963478806698</v>
      </c>
      <c r="X60" s="1">
        <f t="shared" si="127"/>
        <v>30144.261395133766</v>
      </c>
      <c r="Y60" s="1">
        <f t="shared" si="127"/>
        <v>36151.270416528561</v>
      </c>
    </row>
    <row r="61" spans="2:149" x14ac:dyDescent="0.2">
      <c r="B61" s="1" t="s">
        <v>54</v>
      </c>
      <c r="P61" s="1">
        <f>((99*P50)/(1000000))*P66</f>
        <v>39.322800000000001</v>
      </c>
      <c r="Q61" s="1">
        <f t="shared" ref="Q61:U61" si="128">((99*Q50)/(1000000))*Q66</f>
        <v>61.818767999999992</v>
      </c>
      <c r="R61" s="1">
        <f t="shared" si="128"/>
        <v>88.406017919999996</v>
      </c>
      <c r="S61" s="1">
        <f t="shared" si="128"/>
        <v>116.69594365440001</v>
      </c>
      <c r="T61" s="1">
        <f t="shared" si="128"/>
        <v>147.570941574144</v>
      </c>
      <c r="U61" s="1">
        <f t="shared" si="128"/>
        <v>171.09064112735234</v>
      </c>
      <c r="V61" s="1">
        <f t="shared" ref="V61:Y61" si="129">((99*V50)/(1000000))*V66</f>
        <v>189.37379701155047</v>
      </c>
      <c r="W61" s="1">
        <f t="shared" si="129"/>
        <v>209.64666297501881</v>
      </c>
      <c r="X61" s="1">
        <f t="shared" si="129"/>
        <v>232.13111572405921</v>
      </c>
      <c r="Y61" s="1">
        <f t="shared" si="129"/>
        <v>257.0745536979619</v>
      </c>
    </row>
    <row r="62" spans="2:149" x14ac:dyDescent="0.2">
      <c r="B62" s="1" t="s">
        <v>57</v>
      </c>
      <c r="P62" s="1">
        <f>SUM(P60:P61)</f>
        <v>3948.4427999999998</v>
      </c>
      <c r="Q62" s="1">
        <f t="shared" ref="Q62:T62" si="130">SUM(Q60:Q61)</f>
        <v>6286.7659679999997</v>
      </c>
      <c r="R62" s="1">
        <f t="shared" si="130"/>
        <v>9214.0707859199993</v>
      </c>
      <c r="S62" s="1">
        <f t="shared" si="130"/>
        <v>12361.639037414401</v>
      </c>
      <c r="T62" s="1">
        <f t="shared" si="130"/>
        <v>16018.154731551744</v>
      </c>
      <c r="U62" s="1">
        <f t="shared" ref="U62:Y62" si="131">SUM(U60:U61)</f>
        <v>19165.136693757882</v>
      </c>
      <c r="V62" s="1">
        <f t="shared" si="131"/>
        <v>22085.947996617702</v>
      </c>
      <c r="W62" s="1">
        <f t="shared" si="131"/>
        <v>25732.610141781715</v>
      </c>
      <c r="X62" s="1">
        <f t="shared" si="131"/>
        <v>30376.392510857826</v>
      </c>
      <c r="Y62" s="1">
        <f t="shared" si="131"/>
        <v>36408.344970226521</v>
      </c>
    </row>
    <row r="63" spans="2:149" x14ac:dyDescent="0.2">
      <c r="B63" s="1" t="s">
        <v>63</v>
      </c>
      <c r="P63" s="1">
        <f>P62*P67</f>
        <v>3158.7542400000002</v>
      </c>
      <c r="Q63" s="1">
        <f t="shared" ref="Q63:U63" si="132">Q62*Q67</f>
        <v>5029.4127743999998</v>
      </c>
      <c r="R63" s="1">
        <f t="shared" si="132"/>
        <v>7371.2566287359996</v>
      </c>
      <c r="S63" s="1">
        <f t="shared" si="132"/>
        <v>9889.3112299315217</v>
      </c>
      <c r="T63" s="1">
        <f t="shared" si="132"/>
        <v>12814.523785241396</v>
      </c>
      <c r="U63" s="1">
        <f t="shared" si="132"/>
        <v>15332.109355006307</v>
      </c>
      <c r="V63" s="1">
        <f t="shared" ref="V63:Y63" si="133">V62*V67</f>
        <v>17668.758397294161</v>
      </c>
      <c r="W63" s="1">
        <f t="shared" si="133"/>
        <v>20586.088113425372</v>
      </c>
      <c r="X63" s="1">
        <f t="shared" si="133"/>
        <v>24301.114008686262</v>
      </c>
      <c r="Y63" s="1">
        <f t="shared" si="133"/>
        <v>29126.675976181217</v>
      </c>
      <c r="Z63" s="1">
        <f t="shared" ref="Z63:BE63" si="134">Y63*(1+$AB$68)</f>
        <v>29417.94273594303</v>
      </c>
      <c r="AA63" s="1">
        <f t="shared" si="134"/>
        <v>29712.122163302462</v>
      </c>
      <c r="AB63" s="1">
        <f t="shared" si="134"/>
        <v>30009.243384935486</v>
      </c>
      <c r="AC63" s="1">
        <f t="shared" si="134"/>
        <v>30309.335818784843</v>
      </c>
      <c r="AD63" s="1">
        <f t="shared" si="134"/>
        <v>30612.429176972691</v>
      </c>
      <c r="AE63" s="1">
        <f t="shared" si="134"/>
        <v>30918.553468742419</v>
      </c>
      <c r="AF63" s="1">
        <f t="shared" si="134"/>
        <v>31227.739003429844</v>
      </c>
      <c r="AG63" s="1">
        <f t="shared" si="134"/>
        <v>31540.016393464142</v>
      </c>
      <c r="AH63" s="1">
        <f t="shared" si="134"/>
        <v>31855.416557398785</v>
      </c>
      <c r="AI63" s="1">
        <f t="shared" si="134"/>
        <v>32173.970722972772</v>
      </c>
      <c r="AJ63" s="1">
        <f t="shared" si="134"/>
        <v>32495.7104302025</v>
      </c>
      <c r="AK63" s="1">
        <f t="shared" si="134"/>
        <v>32820.667534504522</v>
      </c>
      <c r="AL63" s="1">
        <f t="shared" si="134"/>
        <v>33148.874209849571</v>
      </c>
      <c r="AM63" s="1">
        <f t="shared" si="134"/>
        <v>33480.362951948067</v>
      </c>
      <c r="AN63" s="1">
        <f t="shared" si="134"/>
        <v>33815.166581467551</v>
      </c>
      <c r="AO63" s="1">
        <f t="shared" si="134"/>
        <v>34153.31824728223</v>
      </c>
      <c r="AP63" s="1">
        <f t="shared" si="134"/>
        <v>34494.85142975505</v>
      </c>
      <c r="AQ63" s="1">
        <f t="shared" si="134"/>
        <v>34839.799944052604</v>
      </c>
      <c r="AR63" s="1">
        <f t="shared" si="134"/>
        <v>35188.197943493127</v>
      </c>
      <c r="AS63" s="1">
        <f t="shared" si="134"/>
        <v>35540.07992292806</v>
      </c>
      <c r="AT63" s="1">
        <f t="shared" si="134"/>
        <v>35895.480722157343</v>
      </c>
      <c r="AU63" s="1">
        <f t="shared" si="134"/>
        <v>36254.435529378919</v>
      </c>
      <c r="AV63" s="1">
        <f t="shared" si="134"/>
        <v>36616.979884672706</v>
      </c>
      <c r="AW63" s="1">
        <f t="shared" si="134"/>
        <v>36983.149683519434</v>
      </c>
      <c r="AX63" s="1">
        <f t="shared" si="134"/>
        <v>37352.981180354625</v>
      </c>
      <c r="AY63" s="1">
        <f t="shared" si="134"/>
        <v>37726.510992158175</v>
      </c>
      <c r="AZ63" s="1">
        <f t="shared" si="134"/>
        <v>38103.776102079755</v>
      </c>
      <c r="BA63" s="1">
        <f t="shared" si="134"/>
        <v>38484.813863100549</v>
      </c>
      <c r="BB63" s="1">
        <f t="shared" si="134"/>
        <v>38869.662001731558</v>
      </c>
      <c r="BC63" s="1">
        <f t="shared" si="134"/>
        <v>39258.358621748877</v>
      </c>
      <c r="BD63" s="1">
        <f t="shared" si="134"/>
        <v>39650.942207966364</v>
      </c>
      <c r="BE63" s="1">
        <f t="shared" si="134"/>
        <v>40047.451630046031</v>
      </c>
      <c r="BF63" s="1">
        <f t="shared" ref="BF63:CK63" si="135">BE63*(1+$AB$68)</f>
        <v>40447.926146346494</v>
      </c>
      <c r="BG63" s="1">
        <f t="shared" si="135"/>
        <v>40852.405407809958</v>
      </c>
      <c r="BH63" s="1">
        <f t="shared" si="135"/>
        <v>41260.929461888059</v>
      </c>
      <c r="BI63" s="1">
        <f t="shared" si="135"/>
        <v>41673.53875650694</v>
      </c>
      <c r="BJ63" s="1">
        <f t="shared" si="135"/>
        <v>42090.274144072013</v>
      </c>
      <c r="BK63" s="1">
        <f t="shared" si="135"/>
        <v>42511.17688551273</v>
      </c>
      <c r="BL63" s="1">
        <f t="shared" si="135"/>
        <v>42936.288654367861</v>
      </c>
      <c r="BM63" s="1">
        <f t="shared" si="135"/>
        <v>43365.651540911538</v>
      </c>
      <c r="BN63" s="1">
        <f t="shared" si="135"/>
        <v>43799.308056320653</v>
      </c>
      <c r="BO63" s="1">
        <f t="shared" si="135"/>
        <v>44237.301136883863</v>
      </c>
      <c r="BP63" s="1">
        <f t="shared" si="135"/>
        <v>44679.6741482527</v>
      </c>
      <c r="BQ63" s="1">
        <f t="shared" si="135"/>
        <v>45126.470889735225</v>
      </c>
      <c r="BR63" s="1">
        <f t="shared" si="135"/>
        <v>45577.735598632578</v>
      </c>
      <c r="BS63" s="1">
        <f t="shared" si="135"/>
        <v>46033.512954618905</v>
      </c>
      <c r="BT63" s="1">
        <f t="shared" si="135"/>
        <v>46493.848084165096</v>
      </c>
      <c r="BU63" s="1">
        <f t="shared" si="135"/>
        <v>46958.786565006747</v>
      </c>
      <c r="BV63" s="1">
        <f t="shared" si="135"/>
        <v>47428.374430656811</v>
      </c>
      <c r="BW63" s="1">
        <f t="shared" si="135"/>
        <v>47902.658174963377</v>
      </c>
      <c r="BX63" s="1">
        <f t="shared" si="135"/>
        <v>48381.68475671301</v>
      </c>
      <c r="BY63" s="1">
        <f t="shared" si="135"/>
        <v>48865.501604280144</v>
      </c>
      <c r="BZ63" s="1">
        <f t="shared" si="135"/>
        <v>49354.156620322945</v>
      </c>
      <c r="CA63" s="1">
        <f t="shared" si="135"/>
        <v>49847.698186526177</v>
      </c>
      <c r="CB63" s="1">
        <f t="shared" si="135"/>
        <v>50346.175168391441</v>
      </c>
      <c r="CC63" s="1">
        <f t="shared" si="135"/>
        <v>50849.636920075354</v>
      </c>
      <c r="CD63" s="1">
        <f t="shared" si="135"/>
        <v>51358.133289276106</v>
      </c>
      <c r="CE63" s="1">
        <f t="shared" si="135"/>
        <v>51871.714622168867</v>
      </c>
      <c r="CF63" s="1">
        <f t="shared" si="135"/>
        <v>52390.431768390554</v>
      </c>
      <c r="CG63" s="1">
        <f t="shared" si="135"/>
        <v>52914.336086074458</v>
      </c>
      <c r="CH63" s="1">
        <f t="shared" si="135"/>
        <v>53443.479446935205</v>
      </c>
      <c r="CI63" s="1">
        <f t="shared" si="135"/>
        <v>53977.914241404556</v>
      </c>
      <c r="CJ63" s="1">
        <f t="shared" si="135"/>
        <v>54517.693383818601</v>
      </c>
      <c r="CK63" s="1">
        <f t="shared" si="135"/>
        <v>55062.870317656787</v>
      </c>
      <c r="CL63" s="1">
        <f t="shared" ref="CL63:DQ63" si="136">CK63*(1+$AB$68)</f>
        <v>55613.499020833355</v>
      </c>
      <c r="CM63" s="1">
        <f t="shared" si="136"/>
        <v>56169.634011041686</v>
      </c>
      <c r="CN63" s="1">
        <f t="shared" si="136"/>
        <v>56731.330351152101</v>
      </c>
      <c r="CO63" s="1">
        <f t="shared" si="136"/>
        <v>57298.643654663625</v>
      </c>
      <c r="CP63" s="1">
        <f t="shared" si="136"/>
        <v>57871.63009121026</v>
      </c>
      <c r="CQ63" s="1">
        <f t="shared" si="136"/>
        <v>58450.346392122359</v>
      </c>
      <c r="CR63" s="1">
        <f t="shared" si="136"/>
        <v>59034.849856043584</v>
      </c>
      <c r="CS63" s="1">
        <f t="shared" si="136"/>
        <v>59625.198354604021</v>
      </c>
      <c r="CT63" s="1">
        <f t="shared" si="136"/>
        <v>60221.450338150062</v>
      </c>
      <c r="CU63" s="1">
        <f t="shared" si="136"/>
        <v>60823.664841531565</v>
      </c>
      <c r="CV63" s="1">
        <f t="shared" si="136"/>
        <v>61431.901489946882</v>
      </c>
      <c r="CW63" s="1">
        <f t="shared" si="136"/>
        <v>62046.220504846351</v>
      </c>
      <c r="CX63" s="1">
        <f t="shared" si="136"/>
        <v>62666.682709894812</v>
      </c>
      <c r="CY63" s="1">
        <f t="shared" si="136"/>
        <v>63293.349536993759</v>
      </c>
      <c r="CZ63" s="1">
        <f t="shared" si="136"/>
        <v>63926.283032363695</v>
      </c>
      <c r="DA63" s="1">
        <f t="shared" si="136"/>
        <v>64565.54586268733</v>
      </c>
      <c r="DB63" s="1">
        <f t="shared" si="136"/>
        <v>65211.201321314205</v>
      </c>
      <c r="DC63" s="1">
        <f t="shared" si="136"/>
        <v>65863.313334527353</v>
      </c>
      <c r="DD63" s="1">
        <f t="shared" si="136"/>
        <v>66521.946467872622</v>
      </c>
      <c r="DE63" s="1">
        <f t="shared" si="136"/>
        <v>67187.165932551346</v>
      </c>
      <c r="DF63" s="1">
        <f t="shared" si="136"/>
        <v>67859.037591876855</v>
      </c>
      <c r="DG63" s="1">
        <f t="shared" si="136"/>
        <v>68537.627967795619</v>
      </c>
      <c r="DH63" s="1">
        <f t="shared" si="136"/>
        <v>69223.004247473582</v>
      </c>
      <c r="DI63" s="1">
        <f t="shared" si="136"/>
        <v>69915.234289948319</v>
      </c>
      <c r="DJ63" s="1">
        <f t="shared" si="136"/>
        <v>70614.386632847803</v>
      </c>
      <c r="DK63" s="1">
        <f t="shared" si="136"/>
        <v>71320.530499176282</v>
      </c>
      <c r="DL63" s="1">
        <f t="shared" si="136"/>
        <v>72033.735804168042</v>
      </c>
      <c r="DM63" s="1">
        <f t="shared" si="136"/>
        <v>72754.073162209723</v>
      </c>
      <c r="DN63" s="1">
        <f t="shared" si="136"/>
        <v>73481.613893831818</v>
      </c>
      <c r="DO63" s="1">
        <f t="shared" si="136"/>
        <v>74216.430032770135</v>
      </c>
      <c r="DP63" s="1">
        <f t="shared" si="136"/>
        <v>74958.594333097833</v>
      </c>
      <c r="DQ63" s="1">
        <f t="shared" si="136"/>
        <v>75708.180276428815</v>
      </c>
      <c r="DR63" s="1">
        <f t="shared" ref="DR63:EN63" si="137">DQ63*(1+$AB$68)</f>
        <v>76465.262079193097</v>
      </c>
      <c r="DS63" s="1">
        <f t="shared" si="137"/>
        <v>77229.914699985035</v>
      </c>
      <c r="DT63" s="1">
        <f t="shared" si="137"/>
        <v>78002.213846984887</v>
      </c>
      <c r="DU63" s="1">
        <f t="shared" si="137"/>
        <v>78782.235985454739</v>
      </c>
      <c r="DV63" s="1">
        <f t="shared" si="137"/>
        <v>79570.058345309284</v>
      </c>
      <c r="DW63" s="1">
        <f t="shared" si="137"/>
        <v>80365.75892876237</v>
      </c>
      <c r="DX63" s="1">
        <f t="shared" si="137"/>
        <v>81169.416518049999</v>
      </c>
      <c r="DY63" s="1">
        <f t="shared" si="137"/>
        <v>81981.110683230494</v>
      </c>
      <c r="DZ63" s="1">
        <f t="shared" si="137"/>
        <v>82800.921790062799</v>
      </c>
      <c r="EA63" s="1">
        <f t="shared" si="137"/>
        <v>83628.931007963431</v>
      </c>
      <c r="EB63" s="1">
        <f t="shared" si="137"/>
        <v>84465.220318043066</v>
      </c>
      <c r="EC63" s="1">
        <f t="shared" si="137"/>
        <v>85309.8725212235</v>
      </c>
      <c r="ED63" s="1">
        <f t="shared" si="137"/>
        <v>86162.971246435729</v>
      </c>
      <c r="EE63" s="1">
        <f t="shared" si="137"/>
        <v>87024.60095890009</v>
      </c>
      <c r="EF63" s="1">
        <f t="shared" si="137"/>
        <v>87894.846968489088</v>
      </c>
      <c r="EG63" s="1">
        <f t="shared" si="137"/>
        <v>88773.795438173984</v>
      </c>
      <c r="EH63" s="1">
        <f t="shared" si="137"/>
        <v>89661.533392555721</v>
      </c>
      <c r="EI63" s="1">
        <f t="shared" si="137"/>
        <v>90558.148726481275</v>
      </c>
      <c r="EJ63" s="1">
        <f t="shared" si="137"/>
        <v>91463.730213746094</v>
      </c>
      <c r="EK63" s="1">
        <f t="shared" si="137"/>
        <v>92378.367515883554</v>
      </c>
      <c r="EL63" s="1">
        <f t="shared" si="137"/>
        <v>93302.151191042387</v>
      </c>
      <c r="EM63" s="1">
        <f t="shared" si="137"/>
        <v>94235.172702952812</v>
      </c>
      <c r="EN63" s="1">
        <f t="shared" si="137"/>
        <v>95177.524429982339</v>
      </c>
    </row>
    <row r="65" spans="2:145" x14ac:dyDescent="0.2">
      <c r="B65" s="1" t="s">
        <v>60</v>
      </c>
      <c r="P65" s="5">
        <v>0.24</v>
      </c>
      <c r="Q65" s="5">
        <f>P65*1.2</f>
        <v>0.28799999999999998</v>
      </c>
      <c r="R65" s="5">
        <f>Q65*1.2</f>
        <v>0.34559999999999996</v>
      </c>
      <c r="S65" s="5">
        <f t="shared" ref="S65:T65" si="138">R65*1.2</f>
        <v>0.41471999999999992</v>
      </c>
      <c r="T65" s="5">
        <f t="shared" si="138"/>
        <v>0.49766399999999988</v>
      </c>
      <c r="U65" s="5">
        <f>T65*1.1</f>
        <v>0.54743039999999987</v>
      </c>
      <c r="V65" s="5">
        <f>U65*1.05</f>
        <v>0.57480191999999986</v>
      </c>
      <c r="W65" s="5">
        <f t="shared" ref="W65:Y65" si="139">V65*1.05</f>
        <v>0.6035420159999999</v>
      </c>
      <c r="X65" s="5">
        <f t="shared" si="139"/>
        <v>0.63371911679999993</v>
      </c>
      <c r="Y65" s="5">
        <f t="shared" si="139"/>
        <v>0.66540507263999993</v>
      </c>
    </row>
    <row r="66" spans="2:145" x14ac:dyDescent="0.2">
      <c r="B66" s="1" t="s">
        <v>61</v>
      </c>
      <c r="P66" s="5">
        <v>0.2</v>
      </c>
      <c r="Q66" s="5">
        <f>P66*1.2</f>
        <v>0.24</v>
      </c>
      <c r="R66" s="5">
        <f>Q66*1.2</f>
        <v>0.28799999999999998</v>
      </c>
      <c r="S66" s="5">
        <f t="shared" ref="S66:T66" si="140">R66*1.2</f>
        <v>0.34559999999999996</v>
      </c>
      <c r="T66" s="5">
        <f t="shared" si="140"/>
        <v>0.41471999999999992</v>
      </c>
      <c r="U66" s="5">
        <f>T66*1.1</f>
        <v>0.45619199999999993</v>
      </c>
      <c r="V66" s="5">
        <f>U66*1.05</f>
        <v>0.47900159999999997</v>
      </c>
      <c r="W66" s="5">
        <f t="shared" ref="W66:Y66" si="141">V66*1.05</f>
        <v>0.50295168000000001</v>
      </c>
      <c r="X66" s="5">
        <f t="shared" si="141"/>
        <v>0.52809926400000007</v>
      </c>
      <c r="Y66" s="5">
        <f t="shared" si="141"/>
        <v>0.55450422720000014</v>
      </c>
    </row>
    <row r="67" spans="2:145" x14ac:dyDescent="0.2">
      <c r="B67" s="1" t="s">
        <v>62</v>
      </c>
      <c r="P67" s="5">
        <v>0.8</v>
      </c>
      <c r="Q67" s="5">
        <v>0.8</v>
      </c>
      <c r="R67" s="5">
        <v>0.8</v>
      </c>
      <c r="S67" s="5">
        <v>0.8</v>
      </c>
      <c r="T67" s="5">
        <v>0.8</v>
      </c>
      <c r="U67" s="5">
        <v>0.8</v>
      </c>
      <c r="V67" s="5">
        <v>0.8</v>
      </c>
      <c r="W67" s="5">
        <v>0.8</v>
      </c>
      <c r="X67" s="5">
        <v>0.8</v>
      </c>
      <c r="Y67" s="5">
        <v>0.8</v>
      </c>
    </row>
    <row r="68" spans="2:145" x14ac:dyDescent="0.2">
      <c r="AA68" s="1" t="s">
        <v>15</v>
      </c>
      <c r="AB68" s="5">
        <v>0.01</v>
      </c>
    </row>
    <row r="69" spans="2:145" x14ac:dyDescent="0.2">
      <c r="B69" s="1" t="s">
        <v>38</v>
      </c>
      <c r="P69" s="1">
        <v>5000</v>
      </c>
      <c r="Q69" s="1">
        <v>50000</v>
      </c>
      <c r="R69" s="1">
        <f>Q69*2</f>
        <v>100000</v>
      </c>
      <c r="S69" s="1">
        <f>R69*2</f>
        <v>200000</v>
      </c>
      <c r="T69" s="1">
        <f>S69*2</f>
        <v>400000</v>
      </c>
      <c r="U69" s="1">
        <f>T69*1.5</f>
        <v>600000</v>
      </c>
      <c r="V69" s="1">
        <f>U69*1.5</f>
        <v>900000</v>
      </c>
      <c r="W69" s="1">
        <f t="shared" ref="W69:Y69" si="142">V69*1.2</f>
        <v>1080000</v>
      </c>
      <c r="X69" s="1">
        <f t="shared" si="142"/>
        <v>1296000</v>
      </c>
      <c r="Y69" s="1">
        <f t="shared" si="142"/>
        <v>1555200</v>
      </c>
      <c r="AA69" s="1" t="s">
        <v>16</v>
      </c>
      <c r="AB69" s="5">
        <v>0.12</v>
      </c>
    </row>
    <row r="70" spans="2:145" x14ac:dyDescent="0.2">
      <c r="B70" s="1" t="s">
        <v>39</v>
      </c>
      <c r="P70" s="1">
        <v>30000</v>
      </c>
      <c r="Q70" s="1">
        <v>30000</v>
      </c>
      <c r="R70" s="1">
        <v>25000</v>
      </c>
      <c r="S70" s="1">
        <f t="shared" ref="S70:Y70" si="143">R70*1</f>
        <v>25000</v>
      </c>
      <c r="T70" s="1">
        <v>20000</v>
      </c>
      <c r="U70" s="1">
        <f t="shared" si="143"/>
        <v>20000</v>
      </c>
      <c r="V70" s="1">
        <f t="shared" si="143"/>
        <v>20000</v>
      </c>
      <c r="W70" s="1">
        <f t="shared" si="143"/>
        <v>20000</v>
      </c>
      <c r="X70" s="1">
        <f t="shared" si="143"/>
        <v>20000</v>
      </c>
      <c r="Y70" s="1">
        <f t="shared" si="143"/>
        <v>20000</v>
      </c>
      <c r="AA70" s="3" t="s">
        <v>17</v>
      </c>
      <c r="AB70" s="3">
        <f>NPV(AB69,P63:EN63)</f>
        <v>153955.16599192735</v>
      </c>
    </row>
    <row r="71" spans="2:145" x14ac:dyDescent="0.2">
      <c r="B71" s="1" t="s">
        <v>40</v>
      </c>
      <c r="P71" s="1">
        <v>10000</v>
      </c>
      <c r="Q71" s="1">
        <f>P71*0.98</f>
        <v>9800</v>
      </c>
      <c r="R71" s="1">
        <f t="shared" ref="R71:U71" si="144">Q71*0.98</f>
        <v>9604</v>
      </c>
      <c r="S71" s="1">
        <f t="shared" si="144"/>
        <v>9411.92</v>
      </c>
      <c r="T71" s="1">
        <f t="shared" si="144"/>
        <v>9223.6815999999999</v>
      </c>
      <c r="U71" s="1">
        <f t="shared" si="144"/>
        <v>9039.2079680000006</v>
      </c>
      <c r="V71" s="1">
        <f t="shared" ref="V71" si="145">U71*0.98</f>
        <v>8858.4238086400001</v>
      </c>
      <c r="W71" s="1">
        <f t="shared" ref="W71" si="146">V71*0.98</f>
        <v>8681.2553324672008</v>
      </c>
      <c r="X71" s="1">
        <f t="shared" ref="X71" si="147">W71*0.98</f>
        <v>8507.6302258178566</v>
      </c>
      <c r="Y71" s="1">
        <f t="shared" ref="Y71" si="148">X71*0.98</f>
        <v>8337.4776213014993</v>
      </c>
    </row>
    <row r="72" spans="2:145" x14ac:dyDescent="0.2">
      <c r="B72" s="1" t="s">
        <v>42</v>
      </c>
      <c r="P72" s="1">
        <f>(P70-P71)*P69/1000000</f>
        <v>100</v>
      </c>
      <c r="Q72" s="1">
        <f t="shared" ref="Q72:U72" si="149">(Q70-Q71)*Q69/1000000</f>
        <v>1010</v>
      </c>
      <c r="R72" s="1">
        <f t="shared" si="149"/>
        <v>1539.6</v>
      </c>
      <c r="S72" s="1">
        <f t="shared" si="149"/>
        <v>3117.616</v>
      </c>
      <c r="T72" s="1">
        <f t="shared" si="149"/>
        <v>4310.52736</v>
      </c>
      <c r="U72" s="1">
        <f t="shared" si="149"/>
        <v>6576.4752191999996</v>
      </c>
      <c r="V72" s="1">
        <f t="shared" ref="V72:Y72" si="150">(V70-V71)*V69/1000000</f>
        <v>10027.418572223998</v>
      </c>
      <c r="W72" s="1">
        <f t="shared" si="150"/>
        <v>12224.244240935423</v>
      </c>
      <c r="X72" s="1">
        <f t="shared" si="150"/>
        <v>14894.111227340058</v>
      </c>
      <c r="Y72" s="1">
        <f t="shared" si="150"/>
        <v>18137.554803351908</v>
      </c>
      <c r="Z72" s="1">
        <f t="shared" ref="Z72:BE72" si="151">Y72*(1+$AB$75)</f>
        <v>18318.930351385428</v>
      </c>
      <c r="AA72" s="1">
        <f t="shared" si="151"/>
        <v>18502.119654899281</v>
      </c>
      <c r="AB72" s="1">
        <f t="shared" si="151"/>
        <v>18687.140851448275</v>
      </c>
      <c r="AC72" s="1">
        <f t="shared" si="151"/>
        <v>18874.012259962758</v>
      </c>
      <c r="AD72" s="1">
        <f t="shared" si="151"/>
        <v>19062.752382562387</v>
      </c>
      <c r="AE72" s="1">
        <f t="shared" si="151"/>
        <v>19253.379906388011</v>
      </c>
      <c r="AF72" s="1">
        <f t="shared" si="151"/>
        <v>19445.913705451891</v>
      </c>
      <c r="AG72" s="1">
        <f t="shared" si="151"/>
        <v>19640.372842506411</v>
      </c>
      <c r="AH72" s="1">
        <f t="shared" si="151"/>
        <v>19836.776570931474</v>
      </c>
      <c r="AI72" s="1">
        <f t="shared" si="151"/>
        <v>20035.144336640788</v>
      </c>
      <c r="AJ72" s="1">
        <f t="shared" si="151"/>
        <v>20235.495780007197</v>
      </c>
      <c r="AK72" s="1">
        <f t="shared" si="151"/>
        <v>20437.850737807268</v>
      </c>
      <c r="AL72" s="1">
        <f t="shared" si="151"/>
        <v>20642.229245185343</v>
      </c>
      <c r="AM72" s="1">
        <f t="shared" si="151"/>
        <v>20848.651537637197</v>
      </c>
      <c r="AN72" s="1">
        <f t="shared" si="151"/>
        <v>21057.138053013568</v>
      </c>
      <c r="AO72" s="1">
        <f t="shared" si="151"/>
        <v>21267.709433543703</v>
      </c>
      <c r="AP72" s="1">
        <f t="shared" si="151"/>
        <v>21480.386527879142</v>
      </c>
      <c r="AQ72" s="1">
        <f t="shared" si="151"/>
        <v>21695.190393157933</v>
      </c>
      <c r="AR72" s="1">
        <f t="shared" si="151"/>
        <v>21912.142297089511</v>
      </c>
      <c r="AS72" s="1">
        <f t="shared" si="151"/>
        <v>22131.263720060408</v>
      </c>
      <c r="AT72" s="1">
        <f t="shared" si="151"/>
        <v>22352.576357261012</v>
      </c>
      <c r="AU72" s="1">
        <f t="shared" si="151"/>
        <v>22576.102120833624</v>
      </c>
      <c r="AV72" s="1">
        <f t="shared" si="151"/>
        <v>22801.863142041962</v>
      </c>
      <c r="AW72" s="1">
        <f t="shared" si="151"/>
        <v>23029.881773462381</v>
      </c>
      <c r="AX72" s="1">
        <f t="shared" si="151"/>
        <v>23260.180591197004</v>
      </c>
      <c r="AY72" s="1">
        <f t="shared" si="151"/>
        <v>23492.782397108975</v>
      </c>
      <c r="AZ72" s="1">
        <f t="shared" si="151"/>
        <v>23727.710221080066</v>
      </c>
      <c r="BA72" s="1">
        <f t="shared" si="151"/>
        <v>23964.987323290865</v>
      </c>
      <c r="BB72" s="1">
        <f t="shared" si="151"/>
        <v>24204.637196523774</v>
      </c>
      <c r="BC72" s="1">
        <f t="shared" si="151"/>
        <v>24446.68356848901</v>
      </c>
      <c r="BD72" s="1">
        <f t="shared" si="151"/>
        <v>24691.150404173899</v>
      </c>
      <c r="BE72" s="1">
        <f t="shared" si="151"/>
        <v>24938.061908215637</v>
      </c>
      <c r="BF72" s="1">
        <f t="shared" ref="BF72:CK72" si="152">BE72*(1+$AB$75)</f>
        <v>25187.442527297793</v>
      </c>
      <c r="BG72" s="1">
        <f t="shared" si="152"/>
        <v>25439.316952570771</v>
      </c>
      <c r="BH72" s="1">
        <f t="shared" si="152"/>
        <v>25693.71012209648</v>
      </c>
      <c r="BI72" s="1">
        <f t="shared" si="152"/>
        <v>25950.647223317446</v>
      </c>
      <c r="BJ72" s="1">
        <f t="shared" si="152"/>
        <v>26210.15369555062</v>
      </c>
      <c r="BK72" s="1">
        <f t="shared" si="152"/>
        <v>26472.255232506126</v>
      </c>
      <c r="BL72" s="1">
        <f t="shared" si="152"/>
        <v>26736.977784831186</v>
      </c>
      <c r="BM72" s="1">
        <f t="shared" si="152"/>
        <v>27004.347562679497</v>
      </c>
      <c r="BN72" s="1">
        <f t="shared" si="152"/>
        <v>27274.391038306294</v>
      </c>
      <c r="BO72" s="1">
        <f t="shared" si="152"/>
        <v>27547.134948689356</v>
      </c>
      <c r="BP72" s="1">
        <f t="shared" si="152"/>
        <v>27822.606298176248</v>
      </c>
      <c r="BQ72" s="1">
        <f t="shared" si="152"/>
        <v>28100.832361158009</v>
      </c>
      <c r="BR72" s="1">
        <f t="shared" si="152"/>
        <v>28381.840684769588</v>
      </c>
      <c r="BS72" s="1">
        <f t="shared" si="152"/>
        <v>28665.659091617283</v>
      </c>
      <c r="BT72" s="1">
        <f t="shared" si="152"/>
        <v>28952.315682533455</v>
      </c>
      <c r="BU72" s="1">
        <f t="shared" si="152"/>
        <v>29241.838839358792</v>
      </c>
      <c r="BV72" s="1">
        <f t="shared" si="152"/>
        <v>29534.25722775238</v>
      </c>
      <c r="BW72" s="1">
        <f t="shared" si="152"/>
        <v>29829.599800029904</v>
      </c>
      <c r="BX72" s="1">
        <f t="shared" si="152"/>
        <v>30127.895798030204</v>
      </c>
      <c r="BY72" s="1">
        <f t="shared" si="152"/>
        <v>30429.174756010507</v>
      </c>
      <c r="BZ72" s="1">
        <f t="shared" si="152"/>
        <v>30733.466503570613</v>
      </c>
      <c r="CA72" s="1">
        <f t="shared" si="152"/>
        <v>31040.801168606318</v>
      </c>
      <c r="CB72" s="1">
        <f t="shared" si="152"/>
        <v>31351.209180292382</v>
      </c>
      <c r="CC72" s="1">
        <f t="shared" si="152"/>
        <v>31664.721272095307</v>
      </c>
      <c r="CD72" s="1">
        <f t="shared" si="152"/>
        <v>31981.368484816259</v>
      </c>
      <c r="CE72" s="1">
        <f t="shared" si="152"/>
        <v>32301.182169664422</v>
      </c>
      <c r="CF72" s="1">
        <f t="shared" si="152"/>
        <v>32624.193991361066</v>
      </c>
      <c r="CG72" s="1">
        <f t="shared" si="152"/>
        <v>32950.435931274675</v>
      </c>
      <c r="CH72" s="1">
        <f t="shared" si="152"/>
        <v>33279.940290587423</v>
      </c>
      <c r="CI72" s="1">
        <f t="shared" si="152"/>
        <v>33612.739693493299</v>
      </c>
      <c r="CJ72" s="1">
        <f t="shared" si="152"/>
        <v>33948.867090428233</v>
      </c>
      <c r="CK72" s="1">
        <f t="shared" si="152"/>
        <v>34288.355761332517</v>
      </c>
      <c r="CL72" s="1">
        <f t="shared" ref="CL72:DQ72" si="153">CK72*(1+$AB$75)</f>
        <v>34631.239318945845</v>
      </c>
      <c r="CM72" s="1">
        <f t="shared" si="153"/>
        <v>34977.551712135304</v>
      </c>
      <c r="CN72" s="1">
        <f t="shared" si="153"/>
        <v>35327.327229256654</v>
      </c>
      <c r="CO72" s="1">
        <f t="shared" si="153"/>
        <v>35680.600501549219</v>
      </c>
      <c r="CP72" s="1">
        <f t="shared" si="153"/>
        <v>36037.406506564708</v>
      </c>
      <c r="CQ72" s="1">
        <f t="shared" si="153"/>
        <v>36397.780571630356</v>
      </c>
      <c r="CR72" s="1">
        <f t="shared" si="153"/>
        <v>36761.758377346661</v>
      </c>
      <c r="CS72" s="1">
        <f t="shared" si="153"/>
        <v>37129.375961120131</v>
      </c>
      <c r="CT72" s="1">
        <f t="shared" si="153"/>
        <v>37500.669720731334</v>
      </c>
      <c r="CU72" s="1">
        <f t="shared" si="153"/>
        <v>37875.676417938645</v>
      </c>
      <c r="CV72" s="1">
        <f t="shared" si="153"/>
        <v>38254.433182118031</v>
      </c>
      <c r="CW72" s="1">
        <f t="shared" si="153"/>
        <v>38636.977513939215</v>
      </c>
      <c r="CX72" s="1">
        <f t="shared" si="153"/>
        <v>39023.347289078607</v>
      </c>
      <c r="CY72" s="1">
        <f t="shared" si="153"/>
        <v>39413.580761969395</v>
      </c>
      <c r="CZ72" s="1">
        <f t="shared" si="153"/>
        <v>39807.716569589087</v>
      </c>
      <c r="DA72" s="1">
        <f t="shared" si="153"/>
        <v>40205.793735284977</v>
      </c>
      <c r="DB72" s="1">
        <f t="shared" si="153"/>
        <v>40607.851672637829</v>
      </c>
      <c r="DC72" s="1">
        <f t="shared" si="153"/>
        <v>41013.930189364211</v>
      </c>
      <c r="DD72" s="1">
        <f t="shared" si="153"/>
        <v>41424.069491257855</v>
      </c>
      <c r="DE72" s="1">
        <f t="shared" si="153"/>
        <v>41838.310186170434</v>
      </c>
      <c r="DF72" s="1">
        <f t="shared" si="153"/>
        <v>42256.69328803214</v>
      </c>
      <c r="DG72" s="1">
        <f t="shared" si="153"/>
        <v>42679.26022091246</v>
      </c>
      <c r="DH72" s="1">
        <f t="shared" si="153"/>
        <v>43106.052823121587</v>
      </c>
      <c r="DI72" s="1">
        <f t="shared" si="153"/>
        <v>43537.113351352804</v>
      </c>
      <c r="DJ72" s="1">
        <f t="shared" si="153"/>
        <v>43972.484484866334</v>
      </c>
      <c r="DK72" s="1">
        <f t="shared" si="153"/>
        <v>44412.209329714999</v>
      </c>
      <c r="DL72" s="1">
        <f t="shared" si="153"/>
        <v>44856.331423012147</v>
      </c>
      <c r="DM72" s="1">
        <f t="shared" si="153"/>
        <v>45304.89473724227</v>
      </c>
      <c r="DN72" s="1">
        <f t="shared" si="153"/>
        <v>45757.943684614693</v>
      </c>
      <c r="DO72" s="1">
        <f t="shared" si="153"/>
        <v>46215.523121460843</v>
      </c>
      <c r="DP72" s="1">
        <f t="shared" si="153"/>
        <v>46677.678352675452</v>
      </c>
      <c r="DQ72" s="1">
        <f t="shared" si="153"/>
        <v>47144.455136202203</v>
      </c>
      <c r="DR72" s="1">
        <f t="shared" ref="DR72:EO72" si="154">DQ72*(1+$AB$75)</f>
        <v>47615.899687564226</v>
      </c>
      <c r="DS72" s="1">
        <f t="shared" si="154"/>
        <v>48092.058684439871</v>
      </c>
      <c r="DT72" s="1">
        <f t="shared" si="154"/>
        <v>48572.979271284268</v>
      </c>
      <c r="DU72" s="1">
        <f t="shared" si="154"/>
        <v>49058.709063997114</v>
      </c>
      <c r="DV72" s="1">
        <f t="shared" si="154"/>
        <v>49549.296154637086</v>
      </c>
      <c r="DW72" s="1">
        <f t="shared" si="154"/>
        <v>50044.789116183456</v>
      </c>
      <c r="DX72" s="1">
        <f t="shared" si="154"/>
        <v>50545.237007345291</v>
      </c>
      <c r="DY72" s="1">
        <f t="shared" si="154"/>
        <v>51050.689377418741</v>
      </c>
      <c r="DZ72" s="1">
        <f t="shared" si="154"/>
        <v>51561.19627119293</v>
      </c>
      <c r="EA72" s="1">
        <f t="shared" si="154"/>
        <v>52076.808233904863</v>
      </c>
      <c r="EB72" s="1">
        <f t="shared" si="154"/>
        <v>52597.576316243911</v>
      </c>
      <c r="EC72" s="1">
        <f t="shared" si="154"/>
        <v>53123.552079406349</v>
      </c>
      <c r="ED72" s="1">
        <f t="shared" si="154"/>
        <v>53654.787600200412</v>
      </c>
      <c r="EE72" s="1">
        <f t="shared" si="154"/>
        <v>54191.335476202417</v>
      </c>
      <c r="EF72" s="1">
        <f t="shared" si="154"/>
        <v>54733.24883096444</v>
      </c>
      <c r="EG72" s="1">
        <f t="shared" si="154"/>
        <v>55280.581319274082</v>
      </c>
      <c r="EH72" s="1">
        <f t="shared" si="154"/>
        <v>55833.387132466822</v>
      </c>
      <c r="EI72" s="1">
        <f t="shared" si="154"/>
        <v>56391.721003791492</v>
      </c>
      <c r="EJ72" s="1">
        <f t="shared" si="154"/>
        <v>56955.638213829407</v>
      </c>
      <c r="EK72" s="1">
        <f t="shared" si="154"/>
        <v>57525.194595967703</v>
      </c>
      <c r="EL72" s="1">
        <f t="shared" si="154"/>
        <v>58100.446541927384</v>
      </c>
      <c r="EM72" s="1">
        <f t="shared" si="154"/>
        <v>58681.451007346659</v>
      </c>
      <c r="EN72" s="1">
        <f t="shared" si="154"/>
        <v>59268.265517420128</v>
      </c>
      <c r="EO72" s="1">
        <f t="shared" si="154"/>
        <v>59860.948172594333</v>
      </c>
    </row>
    <row r="74" spans="2:145" x14ac:dyDescent="0.2">
      <c r="B74" s="1" t="s">
        <v>41</v>
      </c>
      <c r="P74" s="5">
        <f>P70/P71-1</f>
        <v>2</v>
      </c>
      <c r="Q74" s="5">
        <f>Q70/Q71-1</f>
        <v>2.0612244897959182</v>
      </c>
      <c r="R74" s="5">
        <f>R70/R71-1</f>
        <v>1.603082049146189</v>
      </c>
      <c r="S74" s="5">
        <f>S70/S71-1</f>
        <v>1.6562061725981523</v>
      </c>
      <c r="T74" s="5">
        <f>T70/T71-1</f>
        <v>1.1683315694678793</v>
      </c>
      <c r="U74" s="5">
        <f t="shared" ref="U74:Y74" si="155">U70/U71-1</f>
        <v>1.2125832341508973</v>
      </c>
      <c r="V74" s="5">
        <f t="shared" si="155"/>
        <v>1.2577379940315279</v>
      </c>
      <c r="W74" s="5">
        <f t="shared" si="155"/>
        <v>1.3038142796240075</v>
      </c>
      <c r="X74" s="5">
        <f t="shared" si="155"/>
        <v>1.3508308975755181</v>
      </c>
      <c r="Y74" s="5">
        <f t="shared" si="155"/>
        <v>1.3988070383423654</v>
      </c>
    </row>
    <row r="75" spans="2:145" x14ac:dyDescent="0.2">
      <c r="B75" s="1" t="s">
        <v>43</v>
      </c>
      <c r="Q75" s="5">
        <f>Q69/P69-1</f>
        <v>9</v>
      </c>
      <c r="R75" s="5">
        <f t="shared" ref="R75:T75" si="156">R69/Q69-1</f>
        <v>1</v>
      </c>
      <c r="S75" s="5">
        <f t="shared" si="156"/>
        <v>1</v>
      </c>
      <c r="T75" s="5">
        <f t="shared" si="156"/>
        <v>1</v>
      </c>
      <c r="U75" s="5">
        <f t="shared" ref="U75" si="157">U69/T69-1</f>
        <v>0.5</v>
      </c>
      <c r="V75" s="5">
        <f t="shared" ref="V75" si="158">V69/U69-1</f>
        <v>0.5</v>
      </c>
      <c r="W75" s="5">
        <f t="shared" ref="W75" si="159">W69/V69-1</f>
        <v>0.19999999999999996</v>
      </c>
      <c r="X75" s="5">
        <f t="shared" ref="X75" si="160">X69/W69-1</f>
        <v>0.19999999999999996</v>
      </c>
      <c r="Y75" s="5">
        <f t="shared" ref="Y75" si="161">Y69/X69-1</f>
        <v>0.19999999999999996</v>
      </c>
      <c r="AA75" s="1" t="s">
        <v>15</v>
      </c>
      <c r="AB75" s="5">
        <v>0.01</v>
      </c>
    </row>
    <row r="76" spans="2:145" x14ac:dyDescent="0.2">
      <c r="AA76" s="1" t="s">
        <v>16</v>
      </c>
      <c r="AB76" s="5">
        <v>0.2</v>
      </c>
    </row>
    <row r="77" spans="2:145" x14ac:dyDescent="0.2">
      <c r="B77" s="1" t="s">
        <v>44</v>
      </c>
      <c r="P77" s="1">
        <f>P69+O69</f>
        <v>5000</v>
      </c>
      <c r="Q77" s="1">
        <f>P77+Q69</f>
        <v>55000</v>
      </c>
      <c r="R77" s="1">
        <f t="shared" ref="R77:T77" si="162">Q77+R69</f>
        <v>155000</v>
      </c>
      <c r="S77" s="1">
        <f t="shared" si="162"/>
        <v>355000</v>
      </c>
      <c r="T77" s="1">
        <f t="shared" si="162"/>
        <v>755000</v>
      </c>
      <c r="U77" s="1">
        <f t="shared" ref="U77" si="163">T77+U69</f>
        <v>1355000</v>
      </c>
      <c r="V77" s="1">
        <f t="shared" ref="V77" si="164">U77+V69</f>
        <v>2255000</v>
      </c>
      <c r="W77" s="1">
        <f t="shared" ref="W77" si="165">V77+W69</f>
        <v>3335000</v>
      </c>
      <c r="X77" s="1">
        <f t="shared" ref="X77" si="166">W77+X69</f>
        <v>4631000</v>
      </c>
      <c r="Y77" s="1">
        <f t="shared" ref="Y77" si="167">X77+Y69</f>
        <v>6186200</v>
      </c>
      <c r="AA77" s="3" t="s">
        <v>17</v>
      </c>
      <c r="AB77" s="3">
        <f>NPV(AB76,P72:EO72)</f>
        <v>34142.887863654629</v>
      </c>
    </row>
    <row r="78" spans="2:145" x14ac:dyDescent="0.2">
      <c r="M78" s="5"/>
    </row>
    <row r="79" spans="2:145" x14ac:dyDescent="0.2">
      <c r="B79" s="1" t="s">
        <v>65</v>
      </c>
      <c r="O79" s="1">
        <f>100000+550000+250000+125000</f>
        <v>1025000</v>
      </c>
      <c r="P79" s="1">
        <f>O79*1.5</f>
        <v>1537500</v>
      </c>
      <c r="Q79" s="1">
        <f>O79*2</f>
        <v>2050000</v>
      </c>
      <c r="R79" s="1">
        <f>Q79*1.2</f>
        <v>2460000</v>
      </c>
      <c r="S79" s="1">
        <f t="shared" ref="S79:T81" si="168">R79*1.1</f>
        <v>2706000</v>
      </c>
      <c r="T79" s="1">
        <f t="shared" si="168"/>
        <v>2976600.0000000005</v>
      </c>
      <c r="U79" s="1">
        <f t="shared" ref="U79:U81" si="169">T79*1.1</f>
        <v>3274260.0000000009</v>
      </c>
      <c r="V79" s="1">
        <f t="shared" ref="V79" si="170">U79*1.1</f>
        <v>3601686.0000000014</v>
      </c>
      <c r="W79" s="1">
        <f t="shared" ref="W79" si="171">V79*1.1</f>
        <v>3961854.600000002</v>
      </c>
      <c r="X79" s="1">
        <f t="shared" ref="X79" si="172">W79*1.1</f>
        <v>4358040.0600000024</v>
      </c>
      <c r="Y79" s="1">
        <f t="shared" ref="Y79" si="173">X79*1.1</f>
        <v>4793844.0660000034</v>
      </c>
    </row>
    <row r="80" spans="2:145" x14ac:dyDescent="0.2">
      <c r="B80" s="1" t="s">
        <v>66</v>
      </c>
      <c r="O80" s="1">
        <v>375000</v>
      </c>
      <c r="P80" s="1">
        <f>O80*1.2</f>
        <v>450000</v>
      </c>
      <c r="Q80" s="1">
        <f t="shared" ref="Q80:R80" si="174">P80*1.2</f>
        <v>540000</v>
      </c>
      <c r="R80" s="1">
        <f t="shared" si="174"/>
        <v>648000</v>
      </c>
      <c r="S80" s="1">
        <f t="shared" ref="S80" si="175">R80*1.2</f>
        <v>777600</v>
      </c>
      <c r="T80" s="1">
        <f t="shared" ref="T80" si="176">S80*1.2</f>
        <v>933120</v>
      </c>
      <c r="U80" s="1">
        <f t="shared" ref="U80" si="177">T80*1.2</f>
        <v>1119744</v>
      </c>
      <c r="V80" s="1">
        <f t="shared" ref="V80" si="178">U80*1.2</f>
        <v>1343692.8</v>
      </c>
      <c r="W80" s="1">
        <f t="shared" ref="W80" si="179">V80*1.2</f>
        <v>1612431.3600000001</v>
      </c>
      <c r="X80" s="1">
        <f t="shared" ref="X80" si="180">W80*1.2</f>
        <v>1934917.632</v>
      </c>
      <c r="Y80" s="1">
        <f t="shared" ref="Y80" si="181">X80*1.2</f>
        <v>2321901.1584000001</v>
      </c>
    </row>
    <row r="81" spans="2:25" x14ac:dyDescent="0.2">
      <c r="B81" s="1" t="s">
        <v>67</v>
      </c>
      <c r="O81" s="1">
        <v>950000</v>
      </c>
      <c r="P81" s="1">
        <f>O81*1.1</f>
        <v>1045000.0000000001</v>
      </c>
      <c r="Q81" s="1">
        <f t="shared" ref="Q81" si="182">P81*1.1</f>
        <v>1149500.0000000002</v>
      </c>
      <c r="R81" s="1">
        <f>Q81*1.1</f>
        <v>1264450.0000000005</v>
      </c>
      <c r="S81" s="1">
        <f t="shared" si="168"/>
        <v>1390895.0000000007</v>
      </c>
      <c r="T81" s="1">
        <f t="shared" si="168"/>
        <v>1529984.5000000009</v>
      </c>
      <c r="U81" s="1">
        <f t="shared" si="169"/>
        <v>1682982.9500000011</v>
      </c>
      <c r="V81" s="1">
        <f t="shared" ref="V81" si="183">U81*1.1</f>
        <v>1851281.2450000013</v>
      </c>
      <c r="W81" s="1">
        <f t="shared" ref="W81" si="184">V81*1.1</f>
        <v>2036409.3695000017</v>
      </c>
      <c r="X81" s="1">
        <f t="shared" ref="X81" si="185">W81*1.1</f>
        <v>2240050.3064500019</v>
      </c>
      <c r="Y81" s="1">
        <f t="shared" ref="Y81" si="186">X81*1.1</f>
        <v>2464055.3370950022</v>
      </c>
    </row>
    <row r="82" spans="2:25" x14ac:dyDescent="0.2">
      <c r="B82" s="1" t="s">
        <v>14</v>
      </c>
      <c r="O82" s="1">
        <f>SUM(O79:O81)</f>
        <v>2350000</v>
      </c>
      <c r="P82" s="1">
        <f t="shared" ref="P82:Q82" si="187">SUM(P79:P81)</f>
        <v>3032500</v>
      </c>
      <c r="Q82" s="1">
        <f t="shared" si="187"/>
        <v>3739500</v>
      </c>
      <c r="R82" s="1">
        <f t="shared" ref="R82" si="188">SUM(R79:R81)</f>
        <v>4372450</v>
      </c>
      <c r="S82" s="1">
        <f t="shared" ref="S82" si="189">SUM(S79:S81)</f>
        <v>4874495.0000000009</v>
      </c>
      <c r="T82" s="1">
        <f t="shared" ref="T82" si="190">SUM(T79:T81)</f>
        <v>5439704.5000000019</v>
      </c>
      <c r="U82" s="1">
        <f t="shared" ref="U82:Y82" si="191">SUM(U79:U81)</f>
        <v>6076986.950000002</v>
      </c>
      <c r="V82" s="1">
        <f t="shared" si="191"/>
        <v>6796660.0450000027</v>
      </c>
      <c r="W82" s="1">
        <f t="shared" si="191"/>
        <v>7610695.3295000037</v>
      </c>
      <c r="X82" s="1">
        <f t="shared" si="191"/>
        <v>8533007.9984500036</v>
      </c>
      <c r="Y82" s="1">
        <f t="shared" si="191"/>
        <v>9579800.5614950061</v>
      </c>
    </row>
    <row r="84" spans="2:25" x14ac:dyDescent="0.2">
      <c r="B84" s="1" t="s">
        <v>68</v>
      </c>
      <c r="O84" s="5">
        <f t="shared" ref="O84:U84" si="192">O82/O45</f>
        <v>1.3993609386555892</v>
      </c>
      <c r="P84" s="5">
        <f t="shared" si="192"/>
        <v>1.4894400785854618</v>
      </c>
      <c r="Q84" s="5">
        <f t="shared" si="192"/>
        <v>1.3840772818121252</v>
      </c>
      <c r="R84" s="5">
        <f t="shared" si="192"/>
        <v>1.3247199045039477</v>
      </c>
      <c r="S84" s="5">
        <f t="shared" si="192"/>
        <v>1.3207415018075035</v>
      </c>
      <c r="T84" s="5">
        <f t="shared" si="192"/>
        <v>1.3646102178031203</v>
      </c>
      <c r="U84" s="5">
        <f t="shared" si="192"/>
        <v>1.4011664024043173</v>
      </c>
      <c r="V84" s="5">
        <f t="shared" ref="V84:Y84" si="193">V82/V45</f>
        <v>1.4273404443416748</v>
      </c>
      <c r="W84" s="5">
        <f t="shared" si="193"/>
        <v>1.4397620891139478</v>
      </c>
      <c r="X84" s="5">
        <f t="shared" si="193"/>
        <v>1.435107059759777</v>
      </c>
      <c r="Y84" s="5">
        <f t="shared" si="193"/>
        <v>1.4106166262049509</v>
      </c>
    </row>
    <row r="85" spans="2:25" x14ac:dyDescent="0.2"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2:25" x14ac:dyDescent="0.2">
      <c r="B86" s="1" t="s">
        <v>37</v>
      </c>
      <c r="C86" s="1">
        <f>C87-C105-C104</f>
        <v>25182</v>
      </c>
      <c r="G86" s="1">
        <f>G87-G105-G104</f>
        <v>26224</v>
      </c>
      <c r="N86" s="1">
        <f>N87-N105-N104</f>
        <v>21000</v>
      </c>
      <c r="O86" s="1">
        <f>O87-O105-O104</f>
        <v>25182</v>
      </c>
      <c r="P86" s="1">
        <f>+O86+P19</f>
        <v>40001.916993086714</v>
      </c>
      <c r="Q86" s="1">
        <f>+P86+Q19</f>
        <v>62726.21775001019</v>
      </c>
      <c r="R86" s="1">
        <f>+Q86+R19</f>
        <v>95224.65286139214</v>
      </c>
      <c r="S86" s="1">
        <f>+R86+S19</f>
        <v>138194.81484905386</v>
      </c>
      <c r="T86" s="1">
        <f>+S86+T19</f>
        <v>193091.2677520226</v>
      </c>
      <c r="U86" s="1">
        <f>+T86+U19</f>
        <v>263300.11189096386</v>
      </c>
      <c r="V86" s="1">
        <f>+U86+V19</f>
        <v>345376.55666497111</v>
      </c>
      <c r="W86" s="1">
        <f>+V86+W19</f>
        <v>442150.00515010738</v>
      </c>
      <c r="X86" s="1">
        <f>+W86+X19</f>
        <v>557405.15886647126</v>
      </c>
      <c r="Y86" s="1">
        <f>+X86+Y19</f>
        <v>696267.2671007301</v>
      </c>
    </row>
    <row r="87" spans="2:25" x14ac:dyDescent="0.2">
      <c r="B87" s="1" t="s">
        <v>3</v>
      </c>
      <c r="C87" s="1">
        <f>16139+20424</f>
        <v>36563</v>
      </c>
      <c r="G87" s="1">
        <f>16352+20644</f>
        <v>36996</v>
      </c>
      <c r="N87" s="1">
        <f>16398+12696</f>
        <v>29094</v>
      </c>
      <c r="O87" s="1">
        <f>16139+20424</f>
        <v>36563</v>
      </c>
    </row>
    <row r="88" spans="2:25" x14ac:dyDescent="0.2">
      <c r="B88" s="14" t="s">
        <v>113</v>
      </c>
      <c r="C88" s="1">
        <v>4418</v>
      </c>
      <c r="G88" s="1">
        <v>3782</v>
      </c>
      <c r="N88" s="1">
        <v>3508</v>
      </c>
      <c r="O88" s="1">
        <v>4418</v>
      </c>
    </row>
    <row r="89" spans="2:25" x14ac:dyDescent="0.2">
      <c r="B89" s="14" t="s">
        <v>114</v>
      </c>
      <c r="C89" s="1">
        <v>12017</v>
      </c>
      <c r="G89" s="1">
        <v>13706</v>
      </c>
      <c r="N89" s="1">
        <v>13626</v>
      </c>
      <c r="O89" s="1">
        <v>12017</v>
      </c>
    </row>
    <row r="90" spans="2:25" x14ac:dyDescent="0.2">
      <c r="B90" s="14" t="s">
        <v>115</v>
      </c>
      <c r="C90" s="1">
        <v>5362</v>
      </c>
      <c r="G90" s="1">
        <v>4905</v>
      </c>
      <c r="N90" s="1">
        <v>3388</v>
      </c>
      <c r="O90" s="1">
        <v>5362</v>
      </c>
    </row>
    <row r="91" spans="2:25" x14ac:dyDescent="0.2">
      <c r="B91" s="1" t="s">
        <v>73</v>
      </c>
      <c r="C91" s="1">
        <v>5581</v>
      </c>
      <c r="G91" s="1">
        <v>5477</v>
      </c>
      <c r="N91" s="1">
        <v>5989</v>
      </c>
      <c r="O91" s="1">
        <v>5581</v>
      </c>
    </row>
    <row r="92" spans="2:25" x14ac:dyDescent="0.2">
      <c r="B92" s="1" t="s">
        <v>74</v>
      </c>
      <c r="C92" s="1">
        <v>4924</v>
      </c>
      <c r="G92" s="1">
        <v>4855</v>
      </c>
      <c r="N92" s="1">
        <v>5229</v>
      </c>
      <c r="O92" s="1">
        <v>4924</v>
      </c>
    </row>
    <row r="93" spans="2:25" x14ac:dyDescent="0.2">
      <c r="B93" s="1" t="s">
        <v>75</v>
      </c>
      <c r="C93" s="1">
        <v>35836</v>
      </c>
      <c r="G93" s="1">
        <v>37088</v>
      </c>
      <c r="N93" s="1">
        <v>29725</v>
      </c>
      <c r="O93" s="1">
        <v>35836</v>
      </c>
    </row>
    <row r="94" spans="2:25" x14ac:dyDescent="0.2">
      <c r="B94" s="1" t="s">
        <v>76</v>
      </c>
      <c r="C94" s="1">
        <v>5160</v>
      </c>
      <c r="G94" s="1">
        <v>5330</v>
      </c>
      <c r="N94" s="1">
        <v>4180</v>
      </c>
      <c r="O94" s="1">
        <v>5160</v>
      </c>
    </row>
    <row r="95" spans="2:25" x14ac:dyDescent="0.2">
      <c r="B95" s="1" t="s">
        <v>77</v>
      </c>
      <c r="C95" s="1">
        <v>1076</v>
      </c>
      <c r="G95" s="1">
        <v>951</v>
      </c>
      <c r="N95" s="1">
        <v>184</v>
      </c>
      <c r="O95" s="1">
        <v>1076</v>
      </c>
    </row>
    <row r="96" spans="2:25" x14ac:dyDescent="0.2">
      <c r="B96" s="1" t="s">
        <v>78</v>
      </c>
      <c r="C96" s="1">
        <v>140</v>
      </c>
      <c r="G96" s="1">
        <v>144</v>
      </c>
      <c r="N96" s="1">
        <v>178</v>
      </c>
      <c r="O96" s="1">
        <v>150</v>
      </c>
    </row>
    <row r="97" spans="2:25" x14ac:dyDescent="0.2">
      <c r="B97" s="1" t="s">
        <v>79</v>
      </c>
      <c r="C97" s="1">
        <v>244</v>
      </c>
      <c r="G97" s="1">
        <v>248</v>
      </c>
      <c r="N97" s="1">
        <v>253</v>
      </c>
      <c r="O97" s="1">
        <v>244</v>
      </c>
    </row>
    <row r="98" spans="2:25" x14ac:dyDescent="0.2">
      <c r="B98" s="14" t="s">
        <v>116</v>
      </c>
      <c r="C98" s="1">
        <v>6524</v>
      </c>
      <c r="G98" s="1">
        <v>6687</v>
      </c>
      <c r="N98" s="1">
        <v>6733</v>
      </c>
      <c r="O98" s="1">
        <v>6524</v>
      </c>
    </row>
    <row r="99" spans="2:25" x14ac:dyDescent="0.2">
      <c r="B99" s="14" t="s">
        <v>117</v>
      </c>
      <c r="C99" s="1">
        <v>4215</v>
      </c>
      <c r="G99" s="1">
        <v>4942</v>
      </c>
      <c r="N99" s="1">
        <v>4531</v>
      </c>
      <c r="O99" s="1">
        <v>4215</v>
      </c>
    </row>
    <row r="100" spans="2:25" x14ac:dyDescent="0.2">
      <c r="B100" s="1" t="s">
        <v>80</v>
      </c>
      <c r="C100" s="1">
        <f>SUM(C87:C99)</f>
        <v>122060</v>
      </c>
      <c r="D100" s="1">
        <f>SUM(D87:D99)</f>
        <v>0</v>
      </c>
      <c r="E100" s="1">
        <f>SUM(E87:E99)</f>
        <v>0</v>
      </c>
      <c r="F100" s="1">
        <f>SUM(F87:F99)</f>
        <v>0</v>
      </c>
      <c r="G100" s="1">
        <f>SUM(G87:G99)</f>
        <v>125111</v>
      </c>
      <c r="L100" s="1">
        <f>SUM(L87:L99)</f>
        <v>0</v>
      </c>
      <c r="M100" s="1">
        <f>SUM(M87:M99)</f>
        <v>0</v>
      </c>
      <c r="N100" s="1">
        <f>SUM(N87:N99)</f>
        <v>106618</v>
      </c>
      <c r="O100" s="1">
        <f>SUM(O87:O99)</f>
        <v>122070</v>
      </c>
    </row>
    <row r="102" spans="2:25" x14ac:dyDescent="0.2">
      <c r="B102" s="1" t="s">
        <v>81</v>
      </c>
      <c r="C102" s="1">
        <v>12474</v>
      </c>
      <c r="G102" s="1">
        <v>13471</v>
      </c>
      <c r="N102" s="1">
        <v>14431</v>
      </c>
      <c r="O102" s="1">
        <v>12474</v>
      </c>
    </row>
    <row r="103" spans="2:25" x14ac:dyDescent="0.2">
      <c r="B103" s="1" t="s">
        <v>82</v>
      </c>
      <c r="C103" s="1">
        <v>10723</v>
      </c>
      <c r="G103" s="1">
        <v>10802</v>
      </c>
      <c r="N103" s="1">
        <v>9080</v>
      </c>
      <c r="O103" s="1">
        <v>10723</v>
      </c>
    </row>
    <row r="104" spans="2:25" x14ac:dyDescent="0.2">
      <c r="B104" s="1" t="s">
        <v>85</v>
      </c>
      <c r="C104" s="1">
        <v>3168</v>
      </c>
      <c r="G104" s="1">
        <v>3243</v>
      </c>
      <c r="N104" s="1">
        <v>2864</v>
      </c>
      <c r="O104" s="1">
        <v>3168</v>
      </c>
    </row>
    <row r="105" spans="2:25" x14ac:dyDescent="0.2">
      <c r="B105" s="14" t="s">
        <v>4</v>
      </c>
      <c r="C105" s="1">
        <f>2456+5757</f>
        <v>8213</v>
      </c>
      <c r="G105" s="1">
        <f>2237+5292</f>
        <v>7529</v>
      </c>
      <c r="N105" s="1">
        <f>2373+2857</f>
        <v>5230</v>
      </c>
      <c r="O105" s="1">
        <f>2456+5757</f>
        <v>8213</v>
      </c>
    </row>
    <row r="106" spans="2:25" x14ac:dyDescent="0.2">
      <c r="B106" s="1" t="s">
        <v>84</v>
      </c>
      <c r="C106" s="1">
        <v>3317</v>
      </c>
      <c r="G106" s="1">
        <v>3610</v>
      </c>
      <c r="N106" s="1">
        <v>3251</v>
      </c>
      <c r="O106" s="1">
        <v>3317</v>
      </c>
    </row>
    <row r="107" spans="2:25" x14ac:dyDescent="0.2">
      <c r="B107" s="14" t="s">
        <v>118</v>
      </c>
      <c r="C107" s="1">
        <v>10495</v>
      </c>
      <c r="G107" s="1">
        <v>11038</v>
      </c>
      <c r="N107" s="1">
        <v>8153</v>
      </c>
      <c r="O107" s="1">
        <v>10495</v>
      </c>
    </row>
    <row r="108" spans="2:25" x14ac:dyDescent="0.2">
      <c r="B108" s="1" t="s">
        <v>86</v>
      </c>
      <c r="C108" s="1">
        <f>SUM(C102:C107)</f>
        <v>48390</v>
      </c>
      <c r="D108" s="1">
        <f>SUM(D102:D107)</f>
        <v>0</v>
      </c>
      <c r="E108" s="1">
        <f>SUM(E102:E107)</f>
        <v>0</v>
      </c>
      <c r="F108" s="1">
        <f>SUM(F102:F107)</f>
        <v>0</v>
      </c>
      <c r="G108" s="1">
        <f>SUM(G102:G107)</f>
        <v>49693</v>
      </c>
      <c r="L108" s="1">
        <f>SUM(L102:L107)</f>
        <v>0</v>
      </c>
      <c r="M108" s="1">
        <f>SUM(M102:M107)</f>
        <v>0</v>
      </c>
      <c r="N108" s="1">
        <f>SUM(N102:N107)</f>
        <v>43009</v>
      </c>
      <c r="O108" s="1">
        <f>SUM(O102:O107)</f>
        <v>48390</v>
      </c>
    </row>
    <row r="109" spans="2:25" x14ac:dyDescent="0.2">
      <c r="B109" s="1" t="s">
        <v>87</v>
      </c>
      <c r="C109" s="1">
        <f>C100-C108</f>
        <v>73670</v>
      </c>
      <c r="D109" s="1">
        <f>D100-D108</f>
        <v>0</v>
      </c>
      <c r="E109" s="1">
        <f>E100-E108</f>
        <v>0</v>
      </c>
      <c r="F109" s="1">
        <f>F100-F108</f>
        <v>0</v>
      </c>
      <c r="G109" s="1">
        <f>G100-G108</f>
        <v>75418</v>
      </c>
      <c r="L109" s="1">
        <f>L100-L108</f>
        <v>0</v>
      </c>
      <c r="M109" s="1">
        <f>M100-M108</f>
        <v>0</v>
      </c>
      <c r="N109" s="1">
        <f>N100-N108</f>
        <v>63609</v>
      </c>
      <c r="O109" s="1">
        <f>O100-O108</f>
        <v>73680</v>
      </c>
    </row>
    <row r="110" spans="2:25" x14ac:dyDescent="0.2">
      <c r="B110" s="1" t="s">
        <v>88</v>
      </c>
      <c r="C110" s="1">
        <f t="shared" ref="C110" si="194">C109+C108</f>
        <v>122060</v>
      </c>
      <c r="D110" s="1">
        <f t="shared" ref="D110:L110" si="195">D109+D108</f>
        <v>0</v>
      </c>
      <c r="E110" s="1">
        <f t="shared" si="195"/>
        <v>0</v>
      </c>
      <c r="F110" s="1">
        <f t="shared" si="195"/>
        <v>0</v>
      </c>
      <c r="G110" s="1">
        <f t="shared" si="195"/>
        <v>125111</v>
      </c>
      <c r="L110" s="1">
        <f t="shared" si="195"/>
        <v>0</v>
      </c>
      <c r="M110" s="1">
        <f t="shared" ref="M110" si="196">M109+M108</f>
        <v>0</v>
      </c>
      <c r="N110" s="1">
        <f t="shared" ref="N110" si="197">N109+N108</f>
        <v>106618</v>
      </c>
      <c r="O110" s="1">
        <f t="shared" ref="O110" si="198">O109+O108</f>
        <v>122070</v>
      </c>
    </row>
    <row r="112" spans="2:25" x14ac:dyDescent="0.2">
      <c r="B112" s="1" t="s">
        <v>90</v>
      </c>
      <c r="C112" s="1">
        <f>C19</f>
        <v>962</v>
      </c>
      <c r="D112" s="1">
        <f>D19</f>
        <v>0</v>
      </c>
      <c r="E112" s="1">
        <f>E19</f>
        <v>0</v>
      </c>
      <c r="F112" s="1">
        <f>F19</f>
        <v>19798</v>
      </c>
      <c r="G112" s="1">
        <f>G19</f>
        <v>633</v>
      </c>
      <c r="H112" s="1">
        <f>H19</f>
        <v>0</v>
      </c>
      <c r="I112" s="1">
        <f>I19</f>
        <v>0</v>
      </c>
      <c r="J112" s="1">
        <f>J19</f>
        <v>0</v>
      </c>
      <c r="L112" s="1">
        <f>L19</f>
        <v>5853</v>
      </c>
      <c r="M112" s="1">
        <f>M19</f>
        <v>12805</v>
      </c>
      <c r="N112" s="1">
        <f>N19</f>
        <v>14802</v>
      </c>
      <c r="O112" s="1">
        <f>O19</f>
        <v>7142</v>
      </c>
      <c r="P112" s="1">
        <f>P19</f>
        <v>14819.916993086714</v>
      </c>
      <c r="Q112" s="1">
        <f>Q19</f>
        <v>22724.300756923476</v>
      </c>
      <c r="R112" s="1">
        <f>R19</f>
        <v>32498.43511138195</v>
      </c>
      <c r="S112" s="1">
        <f>S19</f>
        <v>42970.161987661726</v>
      </c>
      <c r="T112" s="1">
        <f>T19</f>
        <v>54896.45290296874</v>
      </c>
      <c r="U112" s="1">
        <f>U19</f>
        <v>70208.844138941247</v>
      </c>
      <c r="V112" s="1">
        <f>V19</f>
        <v>82076.44477400725</v>
      </c>
      <c r="W112" s="1">
        <f>W19</f>
        <v>96773.448485136265</v>
      </c>
      <c r="X112" s="1">
        <f>X19</f>
        <v>115255.15371636389</v>
      </c>
      <c r="Y112" s="1">
        <f>Y19</f>
        <v>138862.10823425881</v>
      </c>
    </row>
    <row r="113" spans="1:28" x14ac:dyDescent="0.2">
      <c r="B113" s="1" t="s">
        <v>91</v>
      </c>
      <c r="C113" s="1">
        <v>1405</v>
      </c>
      <c r="G113" s="1">
        <v>420</v>
      </c>
      <c r="M113" s="1">
        <v>12587</v>
      </c>
      <c r="N113" s="1">
        <v>14974</v>
      </c>
      <c r="O113" s="1">
        <v>7153</v>
      </c>
    </row>
    <row r="114" spans="1:28" x14ac:dyDescent="0.2">
      <c r="B114" s="1" t="s">
        <v>102</v>
      </c>
      <c r="C114" s="1">
        <v>1246</v>
      </c>
      <c r="G114" s="1">
        <v>1447</v>
      </c>
      <c r="M114" s="1">
        <v>3747</v>
      </c>
      <c r="N114" s="1">
        <v>4667</v>
      </c>
      <c r="O114" s="1">
        <v>5368</v>
      </c>
    </row>
    <row r="115" spans="1:28" x14ac:dyDescent="0.2">
      <c r="B115" s="14" t="s">
        <v>119</v>
      </c>
      <c r="C115" s="1">
        <v>524</v>
      </c>
      <c r="G115" s="1">
        <v>573</v>
      </c>
      <c r="M115" s="1">
        <v>1560</v>
      </c>
      <c r="N115" s="1">
        <v>1812</v>
      </c>
      <c r="O115" s="1">
        <v>1999</v>
      </c>
      <c r="P115" s="1">
        <f>O115*1.2</f>
        <v>2398.7999999999997</v>
      </c>
      <c r="Q115" s="1">
        <f t="shared" ref="Q115:T115" si="199">P115*1.2</f>
        <v>2878.5599999999995</v>
      </c>
      <c r="R115" s="1">
        <f t="shared" si="199"/>
        <v>3454.2719999999995</v>
      </c>
      <c r="S115" s="1">
        <f t="shared" si="199"/>
        <v>4145.1263999999992</v>
      </c>
      <c r="T115" s="1">
        <f t="shared" si="199"/>
        <v>4974.151679999999</v>
      </c>
      <c r="U115" s="1">
        <f>T115*1.15</f>
        <v>5720.2744319999983</v>
      </c>
      <c r="V115" s="1">
        <f t="shared" ref="V115:Y115" si="200">U115*1.15</f>
        <v>6578.3155967999974</v>
      </c>
      <c r="W115" s="1">
        <f t="shared" si="200"/>
        <v>7565.062936319996</v>
      </c>
      <c r="X115" s="1">
        <f t="shared" si="200"/>
        <v>8699.8223767679956</v>
      </c>
      <c r="Y115" s="1">
        <f t="shared" si="200"/>
        <v>10004.795733283194</v>
      </c>
    </row>
    <row r="116" spans="1:28" x14ac:dyDescent="0.2">
      <c r="B116" s="1" t="s">
        <v>103</v>
      </c>
      <c r="C116" s="1">
        <v>68</v>
      </c>
      <c r="G116" s="1">
        <v>112</v>
      </c>
      <c r="M116" s="1">
        <v>177</v>
      </c>
      <c r="N116" s="1">
        <v>463</v>
      </c>
      <c r="O116" s="1">
        <v>335</v>
      </c>
      <c r="P116" s="1">
        <f>O116*(1+P30)</f>
        <v>428.87362085921933</v>
      </c>
      <c r="Q116" s="1">
        <f>P116*(1+Q30)</f>
        <v>576.47702955692648</v>
      </c>
      <c r="R116" s="1">
        <f>Q116*(1+R30)</f>
        <v>726.75030413853403</v>
      </c>
      <c r="S116" s="1">
        <f>R116*(1+S30)</f>
        <v>855.82504491963982</v>
      </c>
      <c r="T116" s="1">
        <f>S116*(1+T30)</f>
        <v>984.04873705832733</v>
      </c>
      <c r="U116" s="1">
        <f>T116*(1+U30)</f>
        <v>1141.4667155768122</v>
      </c>
      <c r="V116" s="1">
        <f>U116*(1+V30)</f>
        <v>1336.9252399211816</v>
      </c>
      <c r="W116" s="1">
        <f>V116*(1+W30)</f>
        <v>1582.3664287006584</v>
      </c>
      <c r="X116" s="1">
        <f>W116*(1+X30)</f>
        <v>1893.998337015998</v>
      </c>
      <c r="Y116" s="1">
        <f>X116*(1+Y30)</f>
        <v>2293.9293812503579</v>
      </c>
    </row>
    <row r="117" spans="1:28" x14ac:dyDescent="0.2">
      <c r="B117" s="14" t="s">
        <v>120</v>
      </c>
      <c r="C117" s="1">
        <v>-63</v>
      </c>
      <c r="G117" s="1">
        <v>30</v>
      </c>
      <c r="M117" s="1">
        <v>81</v>
      </c>
      <c r="N117" s="1">
        <v>-144</v>
      </c>
      <c r="O117" s="1">
        <v>-73</v>
      </c>
      <c r="P117" s="1">
        <f>O117*(1+P30)</f>
        <v>-93.456042754397046</v>
      </c>
      <c r="Q117" s="1">
        <f>P117*(1+Q30)</f>
        <v>-125.62036763479293</v>
      </c>
      <c r="R117" s="1">
        <f>Q117*(1+R30)</f>
        <v>-158.36648418541191</v>
      </c>
      <c r="S117" s="1">
        <f>R117*(1+S30)</f>
        <v>-186.49321874368272</v>
      </c>
      <c r="T117" s="1">
        <f>S117*(1+T30)</f>
        <v>-214.43450091121761</v>
      </c>
      <c r="U117" s="1">
        <f>T117*(1+U30)</f>
        <v>-248.73752309584268</v>
      </c>
      <c r="V117" s="1">
        <f>U117*(1+V30)</f>
        <v>-291.32997765446646</v>
      </c>
      <c r="W117" s="1">
        <f>V117*(1+W30)</f>
        <v>-344.81417700044204</v>
      </c>
      <c r="X117" s="1">
        <f>W117*(1+X30)</f>
        <v>-412.72202567811308</v>
      </c>
      <c r="Y117" s="1">
        <f>X117*(1+Y30)</f>
        <v>-499.87117860082435</v>
      </c>
    </row>
    <row r="118" spans="1:28" x14ac:dyDescent="0.2">
      <c r="B118" s="14" t="s">
        <v>116</v>
      </c>
      <c r="C118" s="1">
        <v>63</v>
      </c>
      <c r="G118" s="1">
        <v>-43</v>
      </c>
      <c r="M118" s="1">
        <v>-196</v>
      </c>
      <c r="N118" s="1">
        <v>-6349</v>
      </c>
      <c r="O118" s="1">
        <v>477</v>
      </c>
      <c r="P118" s="1">
        <f>O118*(1+P30)</f>
        <v>610.66482731297799</v>
      </c>
      <c r="Q118" s="1">
        <f>P118*(1+Q30)</f>
        <v>820.83445701090727</v>
      </c>
      <c r="R118" s="1">
        <f>Q118*(1+R30)</f>
        <v>1034.8056569375544</v>
      </c>
      <c r="S118" s="1">
        <f>R118*(1+S30)</f>
        <v>1218.5926759005019</v>
      </c>
      <c r="T118" s="1">
        <f>S118*(1+T30)</f>
        <v>1401.1679032143943</v>
      </c>
      <c r="U118" s="1">
        <f>T118*(1+U30)</f>
        <v>1625.3123084481772</v>
      </c>
      <c r="V118" s="1">
        <f>U118*(1+V30)</f>
        <v>1903.6219087832942</v>
      </c>
      <c r="W118" s="1">
        <f>V118*(1+W30)</f>
        <v>2253.1008551946688</v>
      </c>
      <c r="X118" s="1">
        <f>W118*(1+X30)</f>
        <v>2696.827482855615</v>
      </c>
      <c r="Y118" s="1">
        <f>X118*(1+Y30)</f>
        <v>3266.2815368848378</v>
      </c>
    </row>
    <row r="119" spans="1:28" x14ac:dyDescent="0.2">
      <c r="B119" s="1" t="s">
        <v>104</v>
      </c>
      <c r="C119" s="1">
        <v>-5</v>
      </c>
      <c r="G119" s="1">
        <v>46</v>
      </c>
      <c r="M119" s="1">
        <v>340</v>
      </c>
      <c r="N119" s="1">
        <v>81</v>
      </c>
      <c r="O119" s="1">
        <v>172</v>
      </c>
      <c r="P119" s="1">
        <f>O119*(1+P30)</f>
        <v>220.19779936652455</v>
      </c>
      <c r="Q119" s="1">
        <f>P119*(1+Q30)</f>
        <v>295.98223607101897</v>
      </c>
      <c r="R119" s="1">
        <f>Q119*(1+R30)</f>
        <v>373.13746958754587</v>
      </c>
      <c r="S119" s="1">
        <f>R119*(1+S30)</f>
        <v>439.40867977963597</v>
      </c>
      <c r="T119" s="1">
        <f>S119*(1+T30)</f>
        <v>505.24293365382778</v>
      </c>
      <c r="U119" s="1">
        <f>T119*(1+U30)</f>
        <v>586.0664927737663</v>
      </c>
      <c r="V119" s="1">
        <f>U119*(1+V30)</f>
        <v>686.42131721326348</v>
      </c>
      <c r="W119" s="1">
        <f>V119*(1+W30)</f>
        <v>812.43888279556211</v>
      </c>
      <c r="X119" s="1">
        <f>W119*(1+X30)</f>
        <v>972.44093721418426</v>
      </c>
      <c r="Y119" s="1">
        <f>X119*(1+Y30)</f>
        <v>1177.7786673882435</v>
      </c>
    </row>
    <row r="120" spans="1:28" x14ac:dyDescent="0.2">
      <c r="B120" s="1" t="s">
        <v>105</v>
      </c>
      <c r="C120" s="1">
        <v>-335</v>
      </c>
      <c r="G120" s="1">
        <v>125</v>
      </c>
      <c r="M120" s="1">
        <v>140</v>
      </c>
      <c r="N120" s="1">
        <v>0</v>
      </c>
      <c r="O120" s="1">
        <v>-589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AA120" s="12" t="s">
        <v>111</v>
      </c>
    </row>
    <row r="121" spans="1:28" x14ac:dyDescent="0.2">
      <c r="B121" s="14" t="s">
        <v>113</v>
      </c>
      <c r="C121" s="1">
        <v>-422</v>
      </c>
      <c r="G121" s="1">
        <v>630</v>
      </c>
      <c r="M121" s="1">
        <v>-1124</v>
      </c>
      <c r="N121" s="1">
        <v>-586</v>
      </c>
      <c r="O121" s="1">
        <v>-1083</v>
      </c>
      <c r="P121" s="1">
        <f>O121*(1+P30)</f>
        <v>-1386.4780041508493</v>
      </c>
      <c r="Q121" s="1">
        <f>P121*(1+Q30)</f>
        <v>-1863.6555910750785</v>
      </c>
      <c r="R121" s="1">
        <f>Q121*(1+R30)</f>
        <v>-2349.4644160657681</v>
      </c>
      <c r="S121" s="1">
        <f>R121*(1+S30)</f>
        <v>-2766.7418616357309</v>
      </c>
      <c r="T121" s="1">
        <f>S121*(1+T30)</f>
        <v>-3181.2680066691591</v>
      </c>
      <c r="U121" s="1">
        <f>T121*(1+U30)</f>
        <v>-3690.1744864766788</v>
      </c>
      <c r="V121" s="1">
        <f>U121*(1+V30)</f>
        <v>-4322.059805476536</v>
      </c>
      <c r="W121" s="1">
        <f>V121*(1+W30)</f>
        <v>-5115.5308724860088</v>
      </c>
      <c r="X121" s="1">
        <f>W121*(1+X30)</f>
        <v>-6122.9856686218673</v>
      </c>
      <c r="Y121" s="1">
        <f>X121*(1+Y30)</f>
        <v>-7415.8970743108566</v>
      </c>
      <c r="AA121" s="3" t="s">
        <v>17</v>
      </c>
      <c r="AB121" s="3">
        <f>AB77+AB48+AB70</f>
        <v>486871.47789864219</v>
      </c>
    </row>
    <row r="122" spans="1:28" x14ac:dyDescent="0.2">
      <c r="B122" s="14" t="s">
        <v>114</v>
      </c>
      <c r="C122" s="1">
        <v>-2697</v>
      </c>
      <c r="G122" s="1">
        <v>-1704</v>
      </c>
      <c r="M122" s="1">
        <v>-6465</v>
      </c>
      <c r="N122" s="1">
        <v>-1195</v>
      </c>
      <c r="O122" s="1">
        <v>937</v>
      </c>
      <c r="P122" s="1">
        <f>O122*(1+P30)</f>
        <v>1199.5659186420553</v>
      </c>
      <c r="Q122" s="1">
        <f>P122*(1+Q30)</f>
        <v>1612.4148558054928</v>
      </c>
      <c r="R122" s="1">
        <f>Q122*(1+R30)</f>
        <v>2032.7314476949446</v>
      </c>
      <c r="S122" s="1">
        <f>R122*(1+S30)</f>
        <v>2393.7554241483658</v>
      </c>
      <c r="T122" s="1">
        <f>S122*(1+T30)</f>
        <v>2752.3990048467244</v>
      </c>
      <c r="U122" s="1">
        <f>T122*(1+U30)</f>
        <v>3192.6994402849941</v>
      </c>
      <c r="V122" s="1">
        <f>U122*(1+V30)</f>
        <v>3739.3998501676037</v>
      </c>
      <c r="W122" s="1">
        <f>V122*(1+W30)</f>
        <v>4425.9025184851253</v>
      </c>
      <c r="X122" s="1">
        <f>W122*(1+X30)</f>
        <v>5297.5416172656423</v>
      </c>
      <c r="Y122" s="1">
        <f>X122*(1+Y30)</f>
        <v>6416.1547171092097</v>
      </c>
    </row>
    <row r="123" spans="1:28" x14ac:dyDescent="0.2">
      <c r="B123" s="1" t="s">
        <v>73</v>
      </c>
      <c r="C123" s="1">
        <v>-12</v>
      </c>
      <c r="G123" s="1">
        <v>-76</v>
      </c>
      <c r="M123" s="1">
        <v>-1570</v>
      </c>
      <c r="N123" s="1">
        <v>-1952</v>
      </c>
      <c r="O123" s="1">
        <v>-590</v>
      </c>
      <c r="P123" s="1">
        <f>O123*(1+P30)</f>
        <v>-755.32966061772959</v>
      </c>
      <c r="Q123" s="1">
        <f>P123*(1+Q30)</f>
        <v>-1015.2879028017511</v>
      </c>
      <c r="R123" s="1">
        <f>Q123*(1+R30)</f>
        <v>-1279.9482968410002</v>
      </c>
      <c r="S123" s="1">
        <f>R123*(1+S30)</f>
        <v>-1507.2739597092163</v>
      </c>
      <c r="T123" s="1">
        <f>S123*(1+T30)</f>
        <v>-1733.1007607892927</v>
      </c>
      <c r="U123" s="1">
        <f>T123*(1+U30)</f>
        <v>-2010.3443647472213</v>
      </c>
      <c r="V123" s="1">
        <f>U123*(1+V30)</f>
        <v>-2354.5847509059613</v>
      </c>
      <c r="W123" s="1">
        <f>V123*(1+W30)</f>
        <v>-2786.8543072638458</v>
      </c>
      <c r="X123" s="1">
        <f>W123*(1+X30)</f>
        <v>-3335.698563699817</v>
      </c>
      <c r="Y123" s="1">
        <f>X123*(1+Y30)</f>
        <v>-4040.0547311573459</v>
      </c>
      <c r="AA123" s="1" t="s">
        <v>69</v>
      </c>
      <c r="AB123" s="5">
        <v>0.02</v>
      </c>
    </row>
    <row r="124" spans="1:28" x14ac:dyDescent="0.2">
      <c r="B124" s="14" t="s">
        <v>115</v>
      </c>
      <c r="C124" s="1">
        <v>-972</v>
      </c>
      <c r="G124" s="1">
        <v>-419</v>
      </c>
      <c r="M124" s="1">
        <v>-3713</v>
      </c>
      <c r="N124" s="1">
        <v>-2652</v>
      </c>
      <c r="O124" s="1">
        <v>-3273</v>
      </c>
      <c r="P124" s="1">
        <f>O124*(1+P30)</f>
        <v>-4190.1592867827612</v>
      </c>
      <c r="Q124" s="1">
        <f>P124*(1+Q30)</f>
        <v>-5632.2666201188667</v>
      </c>
      <c r="R124" s="1">
        <f>Q124*(1+R30)</f>
        <v>-7100.4589416281251</v>
      </c>
      <c r="S124" s="1">
        <f>R124*(1+S30)</f>
        <v>-8361.5384239462128</v>
      </c>
      <c r="T124" s="1">
        <f>S124*(1+T30)</f>
        <v>-9614.3030340056885</v>
      </c>
      <c r="U124" s="1">
        <f>T124*(1+U30)</f>
        <v>-11152.30017935196</v>
      </c>
      <c r="V124" s="1">
        <f>U124*(1+V30)</f>
        <v>-13061.95913511053</v>
      </c>
      <c r="W124" s="1">
        <f>V124*(1+W30)</f>
        <v>-15459.956182499271</v>
      </c>
      <c r="X124" s="1">
        <f>W124*(1+X30)</f>
        <v>-18504.646438965261</v>
      </c>
      <c r="Y124" s="1">
        <f>X124*(1+Y30)</f>
        <v>-22412.032432335589</v>
      </c>
      <c r="AA124" s="1" t="s">
        <v>15</v>
      </c>
      <c r="AB124" s="5">
        <v>0.01</v>
      </c>
    </row>
    <row r="125" spans="1:28" x14ac:dyDescent="0.2">
      <c r="B125" s="1" t="s">
        <v>81</v>
      </c>
      <c r="C125" s="1">
        <v>1247</v>
      </c>
      <c r="G125" s="1">
        <v>706</v>
      </c>
      <c r="M125" s="1">
        <v>8029</v>
      </c>
      <c r="N125" s="1">
        <v>2605</v>
      </c>
      <c r="O125" s="1">
        <v>3588</v>
      </c>
      <c r="P125" s="1">
        <f>O125*(1+P30)</f>
        <v>4593.4285123668033</v>
      </c>
      <c r="Q125" s="1">
        <f>P125*(1+Q30)</f>
        <v>6174.3271105977683</v>
      </c>
      <c r="R125" s="1">
        <f>Q125*(1+R30)</f>
        <v>7783.821167907643</v>
      </c>
      <c r="S125" s="1">
        <f>R125*(1+S30)</f>
        <v>9166.2694363333376</v>
      </c>
      <c r="T125" s="1">
        <f>S125*(1+T30)</f>
        <v>10539.602592732175</v>
      </c>
      <c r="U125" s="1">
        <f>T125*(1+U30)</f>
        <v>12225.619628327171</v>
      </c>
      <c r="V125" s="1">
        <f>U125*(1+V30)</f>
        <v>14319.067942797612</v>
      </c>
      <c r="W125" s="1">
        <f>V125*(1+W30)</f>
        <v>16947.852973665562</v>
      </c>
      <c r="X125" s="1">
        <f>W125*(1+X30)</f>
        <v>20285.570248398213</v>
      </c>
      <c r="Y125" s="1">
        <f>X125*(1+Y30)</f>
        <v>24569.010805750102</v>
      </c>
      <c r="AA125" s="1" t="s">
        <v>16</v>
      </c>
      <c r="AB125" s="5">
        <v>0.1</v>
      </c>
    </row>
    <row r="126" spans="1:28" x14ac:dyDescent="0.2">
      <c r="B126" s="1" t="s">
        <v>83</v>
      </c>
      <c r="C126" s="1">
        <v>195</v>
      </c>
      <c r="G126" s="1">
        <v>309</v>
      </c>
      <c r="M126" s="1">
        <v>1131</v>
      </c>
      <c r="N126" s="1">
        <v>1532</v>
      </c>
      <c r="O126" s="1">
        <v>502</v>
      </c>
      <c r="P126" s="1">
        <f>O126*(1+P30)</f>
        <v>642.6703214069496</v>
      </c>
      <c r="Q126" s="1">
        <f>P126*(1+Q30)</f>
        <v>863.85513085843911</v>
      </c>
      <c r="R126" s="1">
        <f>Q126*(1+R30)</f>
        <v>1089.0407542613257</v>
      </c>
      <c r="S126" s="1">
        <f>R126*(1+S30)</f>
        <v>1282.4602165661468</v>
      </c>
      <c r="T126" s="1">
        <f>S126*(1+T30)</f>
        <v>1474.6043761291949</v>
      </c>
      <c r="U126" s="1">
        <f>T126*(1+U30)</f>
        <v>1710.4963917001783</v>
      </c>
      <c r="V126" s="1">
        <f>U126*(1+V30)</f>
        <v>2003.39244907592</v>
      </c>
      <c r="W126" s="1">
        <f>V126*(1+W30)</f>
        <v>2371.1879021126288</v>
      </c>
      <c r="X126" s="1">
        <f>W126*(1+X30)</f>
        <v>2838.1706423344212</v>
      </c>
      <c r="Y126" s="1">
        <f>X126*(1+Y30)</f>
        <v>3437.4702966796408</v>
      </c>
      <c r="AA126" s="3" t="s">
        <v>17</v>
      </c>
      <c r="AB126" s="3">
        <f>NPV(AB125,P131:DZ131)+Main!K5-Main!K6+AB121</f>
        <v>1148867.6762630809</v>
      </c>
    </row>
    <row r="127" spans="1:28" s="3" customFormat="1" x14ac:dyDescent="0.2">
      <c r="A127" s="1"/>
      <c r="B127" s="3" t="s">
        <v>53</v>
      </c>
      <c r="C127" s="3">
        <f>SUM(C113:C126)</f>
        <v>242</v>
      </c>
      <c r="D127" s="3">
        <f t="shared" ref="D127:L127" si="201">SUM(D113:D126)</f>
        <v>0</v>
      </c>
      <c r="E127" s="3">
        <f t="shared" si="201"/>
        <v>0</v>
      </c>
      <c r="F127" s="3">
        <f t="shared" si="201"/>
        <v>0</v>
      </c>
      <c r="G127" s="3">
        <f t="shared" si="201"/>
        <v>2156</v>
      </c>
      <c r="H127" s="3">
        <f t="shared" si="201"/>
        <v>0</v>
      </c>
      <c r="I127" s="3">
        <f t="shared" si="201"/>
        <v>0</v>
      </c>
      <c r="J127" s="3">
        <f t="shared" si="201"/>
        <v>0</v>
      </c>
      <c r="L127" s="3">
        <f t="shared" si="201"/>
        <v>0</v>
      </c>
      <c r="M127" s="3">
        <f t="shared" ref="M127" si="202">SUM(M113:M126)</f>
        <v>14724</v>
      </c>
      <c r="N127" s="3">
        <f t="shared" ref="N127" si="203">SUM(N113:N126)</f>
        <v>13256</v>
      </c>
      <c r="O127" s="3">
        <f t="shared" ref="O127" si="204">SUM(O113:O126)</f>
        <v>14923</v>
      </c>
      <c r="P127" s="3">
        <f t="shared" ref="P127:U127" si="205">SUM(P114:P126,P112)</f>
        <v>18488.694998735507</v>
      </c>
      <c r="Q127" s="3">
        <f t="shared" si="205"/>
        <v>27309.921095193538</v>
      </c>
      <c r="R127" s="3">
        <f t="shared" si="205"/>
        <v>38104.755773189194</v>
      </c>
      <c r="S127" s="3">
        <f t="shared" si="205"/>
        <v>49649.552401274515</v>
      </c>
      <c r="T127" s="3">
        <f t="shared" si="205"/>
        <v>62784.563828228027</v>
      </c>
      <c r="U127" s="3">
        <f t="shared" si="205"/>
        <v>79309.222994380645</v>
      </c>
      <c r="V127" s="3">
        <f t="shared" ref="V127:Y127" si="206">SUM(V114:V126,V112)</f>
        <v>92613.65540961863</v>
      </c>
      <c r="W127" s="3">
        <f t="shared" si="206"/>
        <v>109024.2054431609</v>
      </c>
      <c r="X127" s="3">
        <f t="shared" si="206"/>
        <v>129563.4726612509</v>
      </c>
      <c r="Y127" s="3">
        <f t="shared" si="206"/>
        <v>155659.67395619978</v>
      </c>
      <c r="AA127" s="12" t="s">
        <v>110</v>
      </c>
      <c r="AB127" s="1">
        <f>AB126/Main!K3</f>
        <v>356.68530593497115</v>
      </c>
    </row>
    <row r="128" spans="1:28" x14ac:dyDescent="0.2">
      <c r="B128" s="1" t="s">
        <v>106</v>
      </c>
      <c r="C128" s="1">
        <v>-2777</v>
      </c>
      <c r="G128" s="1">
        <v>-1492</v>
      </c>
      <c r="M128" s="1">
        <v>-7158</v>
      </c>
      <c r="N128" s="1">
        <v>-8898</v>
      </c>
      <c r="O128" s="1">
        <v>-11339</v>
      </c>
      <c r="AB128" s="5">
        <f>AB127/Main!K2-1</f>
        <v>8.0864563439306592E-2</v>
      </c>
    </row>
    <row r="129" spans="1:130" x14ac:dyDescent="0.2">
      <c r="B129" s="14" t="s">
        <v>121</v>
      </c>
      <c r="C129" s="1">
        <f>-6622+4315</f>
        <v>-2307</v>
      </c>
      <c r="G129" s="1">
        <f>-6015+5856</f>
        <v>-159</v>
      </c>
      <c r="M129" s="1">
        <f>-5835+22+76+936</f>
        <v>-4801</v>
      </c>
      <c r="N129" s="1">
        <f>-19112+12491</f>
        <v>-6621</v>
      </c>
      <c r="O129" s="1">
        <f>-35955+28510</f>
        <v>-7445</v>
      </c>
    </row>
    <row r="130" spans="1:130" s="3" customFormat="1" x14ac:dyDescent="0.2">
      <c r="A130" s="1"/>
      <c r="B130" s="14" t="s">
        <v>112</v>
      </c>
      <c r="C130" s="14">
        <f>C128</f>
        <v>-2777</v>
      </c>
      <c r="D130" s="14">
        <f>D128</f>
        <v>0</v>
      </c>
      <c r="E130" s="14">
        <f>E128</f>
        <v>0</v>
      </c>
      <c r="F130" s="14">
        <f>F128</f>
        <v>0</v>
      </c>
      <c r="G130" s="14">
        <f>G128</f>
        <v>-1492</v>
      </c>
      <c r="H130" s="14">
        <f>H128</f>
        <v>0</v>
      </c>
      <c r="I130" s="14">
        <f>I128</f>
        <v>0</v>
      </c>
      <c r="J130" s="14">
        <f>J128</f>
        <v>0</v>
      </c>
      <c r="K130" s="14"/>
      <c r="L130" s="14">
        <f>L128</f>
        <v>0</v>
      </c>
      <c r="M130" s="14">
        <f>M128</f>
        <v>-7158</v>
      </c>
      <c r="N130" s="14">
        <f>N128</f>
        <v>-8898</v>
      </c>
      <c r="O130" s="14">
        <f>O128</f>
        <v>-11339</v>
      </c>
      <c r="P130" s="14">
        <f>P6*-0.09</f>
        <v>-11255.820184944305</v>
      </c>
      <c r="Q130" s="14">
        <f>Q6*-0.09</f>
        <v>-15129.682661395382</v>
      </c>
      <c r="R130" s="14">
        <f>R6*-0.09</f>
        <v>-19073.615967213151</v>
      </c>
      <c r="S130" s="14">
        <f>S6*-0.09</f>
        <v>-22461.192171456609</v>
      </c>
      <c r="T130" s="14">
        <f>T6*-0.09</f>
        <v>-25826.432540568709</v>
      </c>
      <c r="U130" s="14">
        <f>U6*-0.09</f>
        <v>-29957.87913439668</v>
      </c>
      <c r="V130" s="14">
        <f>V6*-0.09</f>
        <v>-35087.702692271698</v>
      </c>
      <c r="W130" s="14">
        <f>W6*-0.09</f>
        <v>-41529.325008295695</v>
      </c>
      <c r="X130" s="14">
        <f>X6*-0.09</f>
        <v>-49708.127698144344</v>
      </c>
      <c r="Y130" s="14">
        <f>Y6*-0.09</f>
        <v>-60204.34779967543</v>
      </c>
    </row>
    <row r="131" spans="1:130" s="3" customFormat="1" x14ac:dyDescent="0.2">
      <c r="A131" s="1"/>
      <c r="B131" s="3" t="s">
        <v>52</v>
      </c>
      <c r="C131" s="3">
        <f>C127+C130</f>
        <v>-2535</v>
      </c>
      <c r="D131" s="3">
        <f>D127+D130</f>
        <v>0</v>
      </c>
      <c r="E131" s="3">
        <f>E127+E130</f>
        <v>0</v>
      </c>
      <c r="F131" s="3">
        <f>F127+F130</f>
        <v>0</v>
      </c>
      <c r="G131" s="3">
        <f>G127+G130</f>
        <v>664</v>
      </c>
      <c r="H131" s="3">
        <f>H127+H130</f>
        <v>0</v>
      </c>
      <c r="I131" s="3">
        <f>I127+I130</f>
        <v>0</v>
      </c>
      <c r="J131" s="3">
        <f>J127+J130</f>
        <v>0</v>
      </c>
      <c r="L131" s="3">
        <f>L127+L130</f>
        <v>0</v>
      </c>
      <c r="M131" s="3">
        <f>M127+M130</f>
        <v>7566</v>
      </c>
      <c r="N131" s="3">
        <f>N127+N130</f>
        <v>4358</v>
      </c>
      <c r="O131" s="3">
        <f>O127+O130</f>
        <v>3584</v>
      </c>
      <c r="P131" s="3">
        <f>P127+P130</f>
        <v>7232.8748137912025</v>
      </c>
      <c r="Q131" s="3">
        <f>Q127+Q130</f>
        <v>12180.238433798157</v>
      </c>
      <c r="R131" s="3">
        <f>R127+R130</f>
        <v>19031.139805976043</v>
      </c>
      <c r="S131" s="3">
        <f>S127+S130</f>
        <v>27188.360229817907</v>
      </c>
      <c r="T131" s="3">
        <f>T127+T130</f>
        <v>36958.131287659315</v>
      </c>
      <c r="U131" s="3">
        <f>U127+U130</f>
        <v>49351.343859983965</v>
      </c>
      <c r="V131" s="3">
        <f>V127+V130</f>
        <v>57525.952717346932</v>
      </c>
      <c r="W131" s="3">
        <f>W127+W130</f>
        <v>67494.880434865205</v>
      </c>
      <c r="X131" s="3">
        <f>X127+X130</f>
        <v>79855.34496310656</v>
      </c>
      <c r="Y131" s="3">
        <f>Y127+Y130</f>
        <v>95455.326156524359</v>
      </c>
      <c r="Z131" s="3">
        <f>Y131*(1+$AB$124)</f>
        <v>96409.879418089607</v>
      </c>
      <c r="AA131" s="3">
        <f>Z131*(1+$AB$124)</f>
        <v>97373.978212270507</v>
      </c>
      <c r="AB131" s="3">
        <f>AA131*(1+$AB$124)</f>
        <v>98347.717994393213</v>
      </c>
      <c r="AC131" s="3">
        <f>AB131*(1+$AB$124)</f>
        <v>99331.195174337146</v>
      </c>
      <c r="AD131" s="3">
        <f>AC131*(1+$AB$124)</f>
        <v>100324.50712608051</v>
      </c>
      <c r="AE131" s="3">
        <f>AD131*(1+$AB$124)</f>
        <v>101327.75219734132</v>
      </c>
      <c r="AF131" s="3">
        <f>AE131*(1+$AB$124)</f>
        <v>102341.02971931474</v>
      </c>
      <c r="AG131" s="3">
        <f>AF131*(1+$AB$124)</f>
        <v>103364.44001650788</v>
      </c>
      <c r="AH131" s="3">
        <f>AG131*(1+$AB$124)</f>
        <v>104398.08441667297</v>
      </c>
      <c r="AI131" s="3">
        <f>AH131*(1+$AB$124)</f>
        <v>105442.06526083969</v>
      </c>
      <c r="AJ131" s="3">
        <f>AI131*(1+$AB$124)</f>
        <v>106496.48591344809</v>
      </c>
      <c r="AK131" s="3">
        <f>AJ131*(1+$AB$124)</f>
        <v>107561.45077258258</v>
      </c>
      <c r="AL131" s="3">
        <f>AK131*(1+$AB$124)</f>
        <v>108637.06528030841</v>
      </c>
      <c r="AM131" s="3">
        <f>AL131*(1+$AB$124)</f>
        <v>109723.4359331115</v>
      </c>
      <c r="AN131" s="3">
        <f>AM131*(1+$AB$124)</f>
        <v>110820.67029244261</v>
      </c>
      <c r="AO131" s="3">
        <f>AN131*(1+$AB$124)</f>
        <v>111928.87699536703</v>
      </c>
      <c r="AP131" s="3">
        <f>AO131*(1+$AB$124)</f>
        <v>113048.16576532069</v>
      </c>
      <c r="AQ131" s="3">
        <f>AP131*(1+$AB$124)</f>
        <v>114178.6474229739</v>
      </c>
      <c r="AR131" s="3">
        <f>AQ131*(1+$AB$124)</f>
        <v>115320.43389720363</v>
      </c>
      <c r="AS131" s="3">
        <f>AR131*(1+$AB$124)</f>
        <v>116473.63823617567</v>
      </c>
      <c r="AT131" s="3">
        <f>AS131*(1+$AB$124)</f>
        <v>117638.37461853743</v>
      </c>
      <c r="AU131" s="3">
        <f>AT131*(1+$AB$124)</f>
        <v>118814.7583647228</v>
      </c>
      <c r="AV131" s="3">
        <f>AU131*(1+$AB$124)</f>
        <v>120002.90594837003</v>
      </c>
      <c r="AW131" s="3">
        <f>AV131*(1+$AB$124)</f>
        <v>121202.93500785372</v>
      </c>
      <c r="AX131" s="3">
        <f>AW131*(1+$AB$124)</f>
        <v>122414.96435793226</v>
      </c>
      <c r="AY131" s="3">
        <f>AX131*(1+$AB$124)</f>
        <v>123639.11400151158</v>
      </c>
      <c r="AZ131" s="3">
        <f>AY131*(1+$AB$124)</f>
        <v>124875.50514152669</v>
      </c>
      <c r="BA131" s="3">
        <f>AZ131*(1+$AB$124)</f>
        <v>126124.26019294196</v>
      </c>
      <c r="BB131" s="3">
        <f>BA131*(1+$AB$124)</f>
        <v>127385.50279487138</v>
      </c>
      <c r="BC131" s="3">
        <f>BB131*(1+$AB$124)</f>
        <v>128659.35782282009</v>
      </c>
      <c r="BD131" s="3">
        <f>BC131*(1+$AB$124)</f>
        <v>129945.9514010483</v>
      </c>
      <c r="BE131" s="3">
        <f>BD131*(1+$AB$124)</f>
        <v>131245.41091505878</v>
      </c>
      <c r="BF131" s="3">
        <f>BE131*(1+$AB$124)</f>
        <v>132557.86502420937</v>
      </c>
      <c r="BG131" s="3">
        <f>BF131*(1+$AB$124)</f>
        <v>133883.44367445147</v>
      </c>
      <c r="BH131" s="3">
        <f>BG131*(1+$AB$124)</f>
        <v>135222.27811119598</v>
      </c>
      <c r="BI131" s="3">
        <f>BH131*(1+$AB$124)</f>
        <v>136574.50089230793</v>
      </c>
      <c r="BJ131" s="3">
        <f>BI131*(1+$AB$124)</f>
        <v>137940.24590123101</v>
      </c>
      <c r="BK131" s="3">
        <f>BJ131*(1+$AB$124)</f>
        <v>139319.64836024333</v>
      </c>
      <c r="BL131" s="3">
        <f>BK131*(1+$AB$124)</f>
        <v>140712.84484384576</v>
      </c>
      <c r="BM131" s="3">
        <f>BL131*(1+$AB$124)</f>
        <v>142119.97329228421</v>
      </c>
      <c r="BN131" s="3">
        <f>BM131*(1+$AB$124)</f>
        <v>143541.17302520704</v>
      </c>
      <c r="BO131" s="3">
        <f>BN131*(1+$AB$124)</f>
        <v>144976.5847554591</v>
      </c>
      <c r="BP131" s="3">
        <f>BO131*(1+$AB$124)</f>
        <v>146426.35060301371</v>
      </c>
      <c r="BQ131" s="3">
        <f>BP131*(1+$AB$124)</f>
        <v>147890.61410904385</v>
      </c>
      <c r="BR131" s="3">
        <f>BQ131*(1+$AB$124)</f>
        <v>149369.52025013429</v>
      </c>
      <c r="BS131" s="3">
        <f>BR131*(1+$AB$124)</f>
        <v>150863.21545263563</v>
      </c>
      <c r="BT131" s="3">
        <f>BS131*(1+$AB$124)</f>
        <v>152371.847607162</v>
      </c>
      <c r="BU131" s="3">
        <f>BT131*(1+$AB$124)</f>
        <v>153895.56608323363</v>
      </c>
      <c r="BV131" s="3">
        <f>BU131*(1+$AB$124)</f>
        <v>155434.52174406598</v>
      </c>
      <c r="BW131" s="3">
        <f>BV131*(1+$AB$124)</f>
        <v>156988.86696150663</v>
      </c>
      <c r="BX131" s="3">
        <f>BW131*(1+$AB$124)</f>
        <v>158558.75563112169</v>
      </c>
      <c r="BY131" s="3">
        <f>BX131*(1+$AB$124)</f>
        <v>160144.34318743291</v>
      </c>
      <c r="BZ131" s="3">
        <f>BY131*(1+$AB$124)</f>
        <v>161745.78661930724</v>
      </c>
      <c r="CA131" s="3">
        <f>BZ131*(1+$AB$124)</f>
        <v>163363.24448550033</v>
      </c>
      <c r="CB131" s="3">
        <f>CA131*(1+$AB$124)</f>
        <v>164996.87693035533</v>
      </c>
      <c r="CC131" s="3">
        <f>CB131*(1+$AB$124)</f>
        <v>166646.84569965888</v>
      </c>
      <c r="CD131" s="3">
        <f>CC131*(1+$AB$124)</f>
        <v>168313.31415665548</v>
      </c>
      <c r="CE131" s="3">
        <f>CD131*(1+$AB$124)</f>
        <v>169996.44729822205</v>
      </c>
      <c r="CF131" s="3">
        <f>CE131*(1+$AB$124)</f>
        <v>171696.41177120426</v>
      </c>
      <c r="CG131" s="3">
        <f>CF131*(1+$AB$124)</f>
        <v>173413.37588891631</v>
      </c>
      <c r="CH131" s="3">
        <f>CG131*(1+$AB$124)</f>
        <v>175147.50964780548</v>
      </c>
      <c r="CI131" s="3">
        <f>CH131*(1+$AB$124)</f>
        <v>176898.98474428355</v>
      </c>
      <c r="CJ131" s="3">
        <f>CI131*(1+$AB$124)</f>
        <v>178667.97459172638</v>
      </c>
      <c r="CK131" s="3">
        <f>CJ131*(1+$AB$124)</f>
        <v>180454.65433764365</v>
      </c>
      <c r="CL131" s="3">
        <f>CK131*(1+$AB$124)</f>
        <v>182259.20088102008</v>
      </c>
      <c r="CM131" s="3">
        <f>CL131*(1+$AB$124)</f>
        <v>184081.79288983028</v>
      </c>
      <c r="CN131" s="3">
        <f>CM131*(1+$AB$124)</f>
        <v>185922.61081872857</v>
      </c>
      <c r="CO131" s="3">
        <f>CN131*(1+$AB$124)</f>
        <v>187781.83692691586</v>
      </c>
      <c r="CP131" s="3">
        <f>CO131*(1+$AB$124)</f>
        <v>189659.65529618502</v>
      </c>
      <c r="CQ131" s="3">
        <f>CP131*(1+$AB$124)</f>
        <v>191556.25184914688</v>
      </c>
      <c r="CR131" s="3">
        <f>CQ131*(1+$AB$124)</f>
        <v>193471.81436763835</v>
      </c>
      <c r="CS131" s="3">
        <f>CR131*(1+$AB$124)</f>
        <v>195406.53251131473</v>
      </c>
      <c r="CT131" s="3">
        <f>CS131*(1+$AB$124)</f>
        <v>197360.59783642789</v>
      </c>
      <c r="CU131" s="3">
        <f>CT131*(1+$AB$124)</f>
        <v>199334.20381479216</v>
      </c>
      <c r="CV131" s="3">
        <f>CU131*(1+$AB$124)</f>
        <v>201327.54585294009</v>
      </c>
      <c r="CW131" s="3">
        <f>CV131*(1+$AB$124)</f>
        <v>203340.82131146951</v>
      </c>
      <c r="CX131" s="3">
        <f>CW131*(1+$AB$124)</f>
        <v>205374.2295245842</v>
      </c>
      <c r="CY131" s="3">
        <f>CX131*(1+$AB$124)</f>
        <v>207427.97181983004</v>
      </c>
      <c r="CZ131" s="3">
        <f>CY131*(1+$AB$124)</f>
        <v>209502.25153802833</v>
      </c>
      <c r="DA131" s="3">
        <f>CZ131*(1+$AB$124)</f>
        <v>211597.27405340862</v>
      </c>
      <c r="DB131" s="3">
        <f>DA131*(1+$AB$124)</f>
        <v>213713.2467939427</v>
      </c>
      <c r="DC131" s="3">
        <f>DB131*(1+$AB$124)</f>
        <v>215850.37926188213</v>
      </c>
      <c r="DD131" s="3">
        <f>DC131*(1+$AB$124)</f>
        <v>218008.88305450094</v>
      </c>
      <c r="DE131" s="3">
        <f>DD131*(1+$AB$124)</f>
        <v>220188.97188504596</v>
      </c>
      <c r="DF131" s="3">
        <f>DE131*(1+$AB$124)</f>
        <v>222390.86160389642</v>
      </c>
      <c r="DG131" s="3">
        <f>DF131*(1+$AB$124)</f>
        <v>224614.7702199354</v>
      </c>
      <c r="DH131" s="3">
        <f>DG131*(1+$AB$124)</f>
        <v>226860.91792213474</v>
      </c>
      <c r="DI131" s="3">
        <f>DH131*(1+$AB$124)</f>
        <v>229129.5271013561</v>
      </c>
      <c r="DJ131" s="3">
        <f>DI131*(1+$AB$124)</f>
        <v>231420.82237236967</v>
      </c>
      <c r="DK131" s="3">
        <f>DJ131*(1+$AB$124)</f>
        <v>233735.03059609336</v>
      </c>
      <c r="DL131" s="3">
        <f>DK131*(1+$AB$124)</f>
        <v>236072.38090205431</v>
      </c>
      <c r="DM131" s="3">
        <f>DL131*(1+$AB$124)</f>
        <v>238433.10471107485</v>
      </c>
      <c r="DN131" s="3">
        <f>DM131*(1+$AB$124)</f>
        <v>240817.4357581856</v>
      </c>
      <c r="DO131" s="3">
        <f>DN131*(1+$AB$124)</f>
        <v>243225.61011576746</v>
      </c>
      <c r="DP131" s="3">
        <f>DO131*(1+$AB$124)</f>
        <v>245657.86621692515</v>
      </c>
      <c r="DQ131" s="3">
        <f>DP131*(1+$AB$124)</f>
        <v>248114.4448790944</v>
      </c>
      <c r="DR131" s="3">
        <f>DQ131*(1+$AB$124)</f>
        <v>250595.58932788533</v>
      </c>
      <c r="DS131" s="3">
        <f>DR131*(1+$AB$124)</f>
        <v>253101.54522116418</v>
      </c>
      <c r="DT131" s="3">
        <f>DS131*(1+$AB$124)</f>
        <v>255632.56067337582</v>
      </c>
      <c r="DU131" s="3">
        <f>DT131*(1+$AB$124)</f>
        <v>258188.88628010958</v>
      </c>
      <c r="DV131" s="3">
        <f>DU131*(1+$AB$124)</f>
        <v>260770.77514291069</v>
      </c>
      <c r="DW131" s="3">
        <f>DV131*(1+$AB$124)</f>
        <v>263378.48289433977</v>
      </c>
      <c r="DX131" s="3">
        <f>DW131*(1+$AB$124)</f>
        <v>266012.26772328315</v>
      </c>
      <c r="DY131" s="3">
        <f>DX131*(1+$AB$124)</f>
        <v>268672.39040051599</v>
      </c>
      <c r="DZ131" s="3">
        <f>DY131*(1+$AB$124)</f>
        <v>271359.11430452112</v>
      </c>
    </row>
  </sheetData>
  <hyperlinks>
    <hyperlink ref="A1" location="Sheet1!A1" display="Main" xr:uid="{6409B257-EA51-4608-87CC-1DFA30B667DB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2025-03-19T23:40:28Z</dcterms:created>
  <dcterms:modified xsi:type="dcterms:W3CDTF">2025-08-16T02:44:19Z</dcterms:modified>
</cp:coreProperties>
</file>