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金融数学编书\利息函数表\"/>
    </mc:Choice>
  </mc:AlternateContent>
  <xr:revisionPtr revIDLastSave="0" documentId="13_ncr:1_{F24AE0E6-74FF-4839-9F0E-3C26298E3758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Calculation" sheetId="1" r:id="rId1"/>
    <sheet name="LaTeX_Generation" sheetId="2" r:id="rId2"/>
  </sheets>
  <definedNames>
    <definedName name="d">Calculation!$F$13</definedName>
    <definedName name="i">Calculation!$C$5</definedName>
    <definedName name="v">Calculation!$F$19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3" i="2" l="1"/>
  <c r="F63" i="2" s="1"/>
  <c r="E12" i="2"/>
  <c r="F12" i="2" s="1"/>
  <c r="F10" i="2"/>
  <c r="F11" i="2"/>
  <c r="E43" i="2"/>
  <c r="F43" i="2" s="1"/>
  <c r="F62" i="2"/>
  <c r="F64" i="2"/>
  <c r="E42" i="2"/>
  <c r="F42" i="2" s="1"/>
  <c r="E41" i="2"/>
  <c r="F41" i="2" s="1"/>
  <c r="E40" i="2"/>
  <c r="F40" i="2" s="1"/>
  <c r="E39" i="2"/>
  <c r="F39" i="2" s="1"/>
  <c r="E37" i="2"/>
  <c r="F37" i="2" s="1"/>
  <c r="E36" i="2"/>
  <c r="F36" i="2" s="1"/>
  <c r="E35" i="2"/>
  <c r="F35" i="2" s="1"/>
  <c r="E34" i="2"/>
  <c r="F34" i="2" s="1"/>
  <c r="E32" i="2"/>
  <c r="F32" i="2" s="1"/>
  <c r="E31" i="2"/>
  <c r="F31" i="2" s="1"/>
  <c r="E30" i="2"/>
  <c r="F30" i="2" s="1"/>
  <c r="E29" i="2"/>
  <c r="F29" i="2" s="1"/>
  <c r="E27" i="2"/>
  <c r="F27" i="2" s="1"/>
  <c r="E26" i="2"/>
  <c r="F26" i="2" s="1"/>
  <c r="E25" i="2"/>
  <c r="F25" i="2" s="1"/>
  <c r="E22" i="2"/>
  <c r="F22" i="2" s="1"/>
  <c r="E21" i="2"/>
  <c r="F21" i="2" s="1"/>
  <c r="E20" i="2"/>
  <c r="F20" i="2" s="1"/>
  <c r="E19" i="2"/>
  <c r="F19" i="2" s="1"/>
  <c r="E18" i="2"/>
  <c r="F18" i="2" s="1"/>
  <c r="E16" i="2"/>
  <c r="F16" i="2" s="1"/>
  <c r="E15" i="2"/>
  <c r="F15" i="2" s="1"/>
  <c r="E14" i="2"/>
  <c r="F14" i="2" s="1"/>
  <c r="E13" i="2"/>
  <c r="F13" i="2" s="1"/>
  <c r="F6" i="2"/>
  <c r="F7" i="2"/>
  <c r="F9" i="2"/>
  <c r="F17" i="2"/>
  <c r="F23" i="2"/>
  <c r="F24" i="2"/>
  <c r="F28" i="2"/>
  <c r="F33" i="2"/>
  <c r="F38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E5" i="2"/>
  <c r="F5" i="2" s="1"/>
  <c r="F8" i="2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7" i="1"/>
  <c r="M7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7" i="1"/>
  <c r="F27" i="1"/>
  <c r="F26" i="1"/>
  <c r="F25" i="1"/>
  <c r="F24" i="1"/>
  <c r="F19" i="1"/>
  <c r="I8" i="1" s="1"/>
  <c r="K8" i="1" s="1"/>
  <c r="F17" i="1"/>
  <c r="F11" i="1"/>
  <c r="F13" i="1"/>
  <c r="F16" i="1" s="1"/>
  <c r="F10" i="1"/>
  <c r="F9" i="1"/>
  <c r="F8" i="1"/>
  <c r="F7" i="1"/>
  <c r="F30" i="1" l="1"/>
  <c r="I37" i="1"/>
  <c r="K37" i="1" s="1"/>
  <c r="I44" i="1"/>
  <c r="K44" i="1" s="1"/>
  <c r="I12" i="1"/>
  <c r="K12" i="1" s="1"/>
  <c r="I36" i="1"/>
  <c r="K36" i="1" s="1"/>
  <c r="I29" i="1"/>
  <c r="K29" i="1" s="1"/>
  <c r="F29" i="1"/>
  <c r="I28" i="1"/>
  <c r="K28" i="1" s="1"/>
  <c r="I53" i="1"/>
  <c r="K53" i="1" s="1"/>
  <c r="I21" i="1"/>
  <c r="K21" i="1" s="1"/>
  <c r="I52" i="1"/>
  <c r="K52" i="1" s="1"/>
  <c r="I20" i="1"/>
  <c r="K20" i="1" s="1"/>
  <c r="I45" i="1"/>
  <c r="K45" i="1" s="1"/>
  <c r="I13" i="1"/>
  <c r="K13" i="1" s="1"/>
  <c r="I41" i="1"/>
  <c r="K41" i="1" s="1"/>
  <c r="I17" i="1"/>
  <c r="K17" i="1" s="1"/>
  <c r="F21" i="1"/>
  <c r="F31" i="1"/>
  <c r="I55" i="1"/>
  <c r="K55" i="1" s="1"/>
  <c r="I47" i="1"/>
  <c r="K47" i="1" s="1"/>
  <c r="I39" i="1"/>
  <c r="K39" i="1" s="1"/>
  <c r="I31" i="1"/>
  <c r="K31" i="1" s="1"/>
  <c r="I23" i="1"/>
  <c r="K23" i="1" s="1"/>
  <c r="I15" i="1"/>
  <c r="K15" i="1" s="1"/>
  <c r="I49" i="1"/>
  <c r="K49" i="1" s="1"/>
  <c r="I33" i="1"/>
  <c r="K33" i="1" s="1"/>
  <c r="F14" i="1"/>
  <c r="F34" i="1" s="1"/>
  <c r="F22" i="1"/>
  <c r="F32" i="1"/>
  <c r="I54" i="1"/>
  <c r="K54" i="1" s="1"/>
  <c r="I46" i="1"/>
  <c r="K46" i="1" s="1"/>
  <c r="I38" i="1"/>
  <c r="K38" i="1" s="1"/>
  <c r="I30" i="1"/>
  <c r="K30" i="1" s="1"/>
  <c r="I22" i="1"/>
  <c r="K22" i="1" s="1"/>
  <c r="I14" i="1"/>
  <c r="K14" i="1" s="1"/>
  <c r="F15" i="1"/>
  <c r="F35" i="1" s="1"/>
  <c r="F36" i="1"/>
  <c r="I51" i="1"/>
  <c r="K51" i="1" s="1"/>
  <c r="I43" i="1"/>
  <c r="K43" i="1" s="1"/>
  <c r="I35" i="1"/>
  <c r="K35" i="1" s="1"/>
  <c r="I27" i="1"/>
  <c r="K27" i="1" s="1"/>
  <c r="I19" i="1"/>
  <c r="K19" i="1" s="1"/>
  <c r="I11" i="1"/>
  <c r="K11" i="1" s="1"/>
  <c r="F37" i="1"/>
  <c r="I50" i="1"/>
  <c r="K50" i="1" s="1"/>
  <c r="I42" i="1"/>
  <c r="K42" i="1" s="1"/>
  <c r="I34" i="1"/>
  <c r="K34" i="1" s="1"/>
  <c r="I26" i="1"/>
  <c r="K26" i="1" s="1"/>
  <c r="I18" i="1"/>
  <c r="K18" i="1" s="1"/>
  <c r="I10" i="1"/>
  <c r="K10" i="1" s="1"/>
  <c r="I7" i="1"/>
  <c r="K7" i="1" s="1"/>
  <c r="I9" i="1"/>
  <c r="K9" i="1" s="1"/>
  <c r="I25" i="1"/>
  <c r="K25" i="1" s="1"/>
  <c r="F20" i="1"/>
  <c r="I56" i="1"/>
  <c r="K56" i="1" s="1"/>
  <c r="I48" i="1"/>
  <c r="K48" i="1" s="1"/>
  <c r="I40" i="1"/>
  <c r="K40" i="1" s="1"/>
  <c r="I32" i="1"/>
  <c r="K32" i="1" s="1"/>
  <c r="I24" i="1"/>
  <c r="K24" i="1" s="1"/>
  <c r="I16" i="1"/>
  <c r="K16" i="1" s="1"/>
</calcChain>
</file>

<file path=xl/sharedStrings.xml><?xml version="1.0" encoding="utf-8"?>
<sst xmlns="http://schemas.openxmlformats.org/spreadsheetml/2006/main" count="108" uniqueCount="105">
  <si>
    <t>i</t>
    <phoneticPr fontId="1" type="noConversion"/>
  </si>
  <si>
    <t>函数</t>
    <phoneticPr fontId="1" type="noConversion"/>
  </si>
  <si>
    <t>值</t>
    <phoneticPr fontId="1" type="noConversion"/>
  </si>
  <si>
    <t>常量</t>
    <phoneticPr fontId="1" type="noConversion"/>
  </si>
  <si>
    <t>i(2)</t>
    <phoneticPr fontId="1" type="noConversion"/>
  </si>
  <si>
    <t>i(4)</t>
    <phoneticPr fontId="1" type="noConversion"/>
  </si>
  <si>
    <t>i(12)</t>
    <phoneticPr fontId="1" type="noConversion"/>
  </si>
  <si>
    <t>delta</t>
    <phoneticPr fontId="1" type="noConversion"/>
  </si>
  <si>
    <t>d</t>
    <phoneticPr fontId="1" type="noConversion"/>
  </si>
  <si>
    <t>d(2)</t>
    <phoneticPr fontId="1" type="noConversion"/>
  </si>
  <si>
    <t>d(4)</t>
    <phoneticPr fontId="1" type="noConversion"/>
  </si>
  <si>
    <t>d(12)</t>
    <phoneticPr fontId="1" type="noConversion"/>
  </si>
  <si>
    <t>v</t>
    <phoneticPr fontId="1" type="noConversion"/>
  </si>
  <si>
    <t>v1/2</t>
    <phoneticPr fontId="1" type="noConversion"/>
  </si>
  <si>
    <t>v1/4</t>
    <phoneticPr fontId="1" type="noConversion"/>
  </si>
  <si>
    <t>v1/12</t>
    <phoneticPr fontId="1" type="noConversion"/>
  </si>
  <si>
    <t>1+i</t>
    <phoneticPr fontId="1" type="noConversion"/>
  </si>
  <si>
    <t>(1+i)1/2</t>
    <phoneticPr fontId="1" type="noConversion"/>
  </si>
  <si>
    <t>(1+i)1/4</t>
    <phoneticPr fontId="1" type="noConversion"/>
  </si>
  <si>
    <t>(1+i)1/12</t>
    <phoneticPr fontId="1" type="noConversion"/>
  </si>
  <si>
    <t>i/i(2)</t>
    <phoneticPr fontId="1" type="noConversion"/>
  </si>
  <si>
    <t>i/i(4)</t>
    <phoneticPr fontId="1" type="noConversion"/>
  </si>
  <si>
    <t>i/i(12)</t>
    <phoneticPr fontId="1" type="noConversion"/>
  </si>
  <si>
    <t>i/delta</t>
    <phoneticPr fontId="1" type="noConversion"/>
  </si>
  <si>
    <t>i/d(2)</t>
    <phoneticPr fontId="1" type="noConversion"/>
  </si>
  <si>
    <t>i/d(4)</t>
    <phoneticPr fontId="1" type="noConversion"/>
  </si>
  <si>
    <t>i/d(12)</t>
    <phoneticPr fontId="1" type="noConversion"/>
  </si>
  <si>
    <t>n</t>
    <phoneticPr fontId="1" type="noConversion"/>
  </si>
  <si>
    <t>(1+i)^n</t>
    <phoneticPr fontId="1" type="noConversion"/>
  </si>
  <si>
    <t>v^n</t>
    <phoneticPr fontId="1" type="noConversion"/>
  </si>
  <si>
    <t>an</t>
    <phoneticPr fontId="1" type="noConversion"/>
  </si>
  <si>
    <t>sn</t>
    <phoneticPr fontId="1" type="noConversion"/>
  </si>
  <si>
    <t>1/sn</t>
    <phoneticPr fontId="1" type="noConversion"/>
  </si>
  <si>
    <t>使用方式：改变i中的值，即可直接算出其它所有的利息函数值。</t>
    <phoneticPr fontId="1" type="noConversion"/>
  </si>
  <si>
    <t>注意：1. v^n、1/sn和常量保留6位小数，(1+i)^n、an和sn保留5位小数
2. 本sheet只负责计算，相关的LaTeX代码需要使用excel2latex插件转换，并在下一个sheet中进行相应的细节处理</t>
    <phoneticPr fontId="1" type="noConversion"/>
  </si>
  <si>
    <t>% Table generated by Excel2LaTeX from sheet 'Calculation'</t>
  </si>
  <si>
    <t>\begin{table}[htbp]</t>
  </si>
  <si>
    <t xml:space="preserve">  \centering</t>
  </si>
  <si>
    <t xml:space="preserve">  \caption{Add caption}</t>
  </si>
  <si>
    <t>\cmidrule{4-9}    \end{tabular}%</t>
  </si>
  <si>
    <t xml:space="preserve">  \label{tab:addlabel}%</t>
  </si>
  <si>
    <t>\end{table}%</t>
  </si>
  <si>
    <t>序号</t>
    <phoneticPr fontId="1" type="noConversion"/>
  </si>
  <si>
    <t>代码（旧）</t>
    <phoneticPr fontId="1" type="noConversion"/>
  </si>
  <si>
    <t>使用方法：1. 把excel2latex生成的代码放在“代码（旧）”列，开头与序号的“1”对齐；
2. 把所有旧的代码选中，右键→单元格格式→对齐→水平对齐→选择“填充”，这样代码就不会超出边界了；
3.复制代码（新）中的代码即可</t>
    <phoneticPr fontId="1" type="noConversion"/>
  </si>
  <si>
    <t>是否需要修改</t>
    <phoneticPr fontId="1" type="noConversion"/>
  </si>
  <si>
    <t>修改过的内容</t>
    <phoneticPr fontId="1" type="noConversion"/>
  </si>
  <si>
    <t>\end{table}</t>
  </si>
  <si>
    <t xml:space="preserve">    \begin{tabular}{rrrcrrrrr}</t>
  </si>
  <si>
    <t>折现因子、积累因子、标准型年金现值及积累值</t>
    <phoneticPr fontId="1" type="noConversion"/>
  </si>
  <si>
    <t>\cmidrule{1-2}\cmidrule{4-9}    \multicolumn{2}{c}{常量} &amp;   &amp; \multicolumn{6}{c}{折现因子、积累因子、标准型年金现值及积累值} \\</t>
  </si>
  <si>
    <t>\cmidrule{1-2}\cmidrule{4-9}    \multicolumn{1}{c}{函数} &amp; \multicolumn{1}{c}{值} &amp;   &amp; n &amp; \multicolumn{1}{c}{v\^n} &amp; \multicolumn{1}{c}{(1+i)\^n} &amp; \multicolumn{1}{c}{an} &amp; \multicolumn{1}{c}{sn} &amp; \multicolumn{1}{c}{1/sn} \\</t>
  </si>
  <si>
    <t>\cmidrule{1-2}\cmidrule{4-9}    \multicolumn{1}{c}{函数} &amp; \multicolumn{1}{c}{值} &amp;   &amp;$ n $&amp; \multicolumn{1}{c}{$v^n$} &amp; \multicolumn{1}{c}{$(1+i)^n$} &amp; \multicolumn{1}{c}{$\an$} &amp; \multicolumn{1}{c}{$\sn$} &amp; \multicolumn{1}{c}{$1/\sn$} \\</t>
    <phoneticPr fontId="1" type="noConversion"/>
  </si>
  <si>
    <t>\renewcommand{\arraystretch}{0.9}</t>
  </si>
  <si>
    <t>代码（新）</t>
    <phoneticPr fontId="1" type="noConversion"/>
  </si>
  <si>
    <t>\cmidrule{1-2}\cmidrule{4-9}    \multicolumn{1}{l}{i} &amp; 0.200000  &amp;   &amp; 1 &amp; 0.833333  &amp; 1.20000  &amp; 0.83333  &amp; 1.00000  &amp; 1.000000  \\</t>
  </si>
  <si>
    <t xml:space="preserve">    \multicolumn{1}{l}{i(2)} &amp; 0.190890  &amp;   &amp; 2 &amp; 0.694444  &amp; 1.44000  &amp; 1.52778  &amp; 2.20000  &amp; 0.454545  \\</t>
  </si>
  <si>
    <t xml:space="preserve">    \multicolumn{1}{l}{i(4)} &amp; 0.186541  &amp;   &amp; 3 &amp; 0.578704  &amp; 1.72800  &amp; 2.10648  &amp; 3.64000  &amp; 0.274725  \\</t>
  </si>
  <si>
    <t xml:space="preserve">    \multicolumn{1}{l}{i(12)} &amp; 0.183714  &amp;   &amp; 4 &amp; 0.482253  &amp; 2.07360  &amp; 2.58873  &amp; 5.36800  &amp; 0.186289  \\</t>
  </si>
  <si>
    <t xml:space="preserve">    \multicolumn{1}{l}{delta} &amp; 0.182322  &amp;   &amp; 5 &amp; 0.401878  &amp; 2.48832  &amp; 2.99061  &amp; 7.44160  &amp; 0.134380  \\</t>
  </si>
  <si>
    <t xml:space="preserve">      &amp;   &amp;   &amp; 6 &amp; 0.334898  &amp; 2.98598  &amp; 3.32551  &amp; 9.92992  &amp; 0.100706  \\</t>
  </si>
  <si>
    <t xml:space="preserve">    \multicolumn{1}{l}{d} &amp; 0.166667  &amp;   &amp; 7 &amp; 0.279082  &amp; 3.58318  &amp; 3.60459  &amp; 12.91590  &amp; 0.077424  \\</t>
  </si>
  <si>
    <t xml:space="preserve">    \multicolumn{1}{l}{d(2)} &amp; 0.174258  &amp;   &amp; 8 &amp; 0.232568  &amp; 4.29982  &amp; 3.83716  &amp; 16.49908  &amp; 0.060609  \\</t>
  </si>
  <si>
    <t xml:space="preserve">    \multicolumn{1}{l}{d(4)} &amp; 0.178229  &amp;   &amp; 9 &amp; 0.193807  &amp; 5.15978  &amp; 4.03097  &amp; 20.79890  &amp; 0.048079  \\</t>
  </si>
  <si>
    <t xml:space="preserve">    \multicolumn{1}{l}{d(12)} &amp; 0.180943  &amp;   &amp; 10 &amp; 0.161506  &amp; 6.19174  &amp; 4.19247  &amp; 25.95868  &amp; 0.038523  \\</t>
  </si>
  <si>
    <t xml:space="preserve">    \multicolumn{1}{l}{delta} &amp; 0.182322  &amp;   &amp; 11 &amp; 0.134588  &amp; 7.43008  &amp; 4.32706  &amp; 32.15042  &amp; 0.031104  \\</t>
  </si>
  <si>
    <t xml:space="preserve">      &amp;   &amp;   &amp; 12 &amp; 0.112157  &amp; 8.91610  &amp; 4.43922  &amp; 39.58050  &amp; 0.025265  \\</t>
  </si>
  <si>
    <t xml:space="preserve">    \multicolumn{1}{l}{v} &amp; 0.833333  &amp;   &amp; 13 &amp; 0.093464  &amp; 10.69932  &amp; 4.53268  &amp; 48.49660  &amp; 0.020620  \\</t>
  </si>
  <si>
    <t xml:space="preserve">    \multicolumn{1}{l}{v1/2} &amp; 0.912871  &amp;   &amp; 14 &amp; 0.077887  &amp; 12.83918  &amp; 4.61057  &amp; 59.19592  &amp; 0.016893  \\</t>
  </si>
  <si>
    <t xml:space="preserve">    \multicolumn{1}{l}{v1/4} &amp; 0.955443  &amp;   &amp; 15 &amp; 0.064905  &amp; 15.40702  &amp; 4.67547  &amp; 72.03511  &amp; 0.013882  \\</t>
  </si>
  <si>
    <t xml:space="preserve">    \multicolumn{1}{l}{v1/12} &amp; 0.984921  &amp;   &amp; 16 &amp; 0.054088  &amp; 18.48843  &amp; 4.72956  &amp; 87.44213  &amp; 0.011436  \\</t>
  </si>
  <si>
    <t xml:space="preserve">      &amp;   &amp;   &amp; 17 &amp; 0.045073  &amp; 22.18611  &amp; 4.77463  &amp; 105.93056  &amp; 0.009440  \\</t>
  </si>
  <si>
    <t xml:space="preserve">    \multicolumn{1}{l}{1+i} &amp; 1.200000  &amp;   &amp; 18 &amp; 0.037561  &amp; 26.62333  &amp; 4.81219  &amp; 128.11667  &amp; 0.007805  \\</t>
  </si>
  <si>
    <t xml:space="preserve">    \multicolumn{1}{l}{(1+i)1/2} &amp; 1.095445  &amp;   &amp; 19 &amp; 0.031301  &amp; 31.94800  &amp; 4.84350  &amp; 154.74000  &amp; 0.006462  \\</t>
  </si>
  <si>
    <t xml:space="preserve">    \multicolumn{1}{l}{(1+i)1/4} &amp; 1.046635  &amp;   &amp; 20 &amp; 0.026084  &amp; 38.33760  &amp; 4.86958  &amp; 186.68800  &amp; 0.005357  \\</t>
  </si>
  <si>
    <t xml:space="preserve">    \multicolumn{1}{l}{(1+i)1/12} &amp; 1.015309  &amp;   &amp; 21 &amp; 0.021737  &amp; 46.00512  &amp; 4.89132  &amp; 225.02560  &amp; 0.004444  \\</t>
  </si>
  <si>
    <t xml:space="preserve">      &amp;   &amp;   &amp; 22 &amp; 0.018114  &amp; 55.20614  &amp; 4.90943  &amp; 271.03072  &amp; 0.003690  \\</t>
  </si>
  <si>
    <t xml:space="preserve">    \multicolumn{1}{l}{i/i(2)} &amp; 1.047723  &amp;   &amp; 23 &amp; 0.015095  &amp; 66.24737  &amp; 4.92453  &amp; 326.23686  &amp; 0.003065  \\</t>
  </si>
  <si>
    <t xml:space="preserve">    \multicolumn{1}{l}{i/i(4)} &amp; 1.072153  &amp;   &amp; 24 &amp; 0.012579  &amp; 79.49685  &amp; 4.93710  &amp; 392.48424  &amp; 0.002548  \\</t>
  </si>
  <si>
    <t xml:space="preserve">    \multicolumn{1}{l}{i/i(12)} &amp; 1.088651  &amp;   &amp; 25 &amp; 0.010483  &amp; 95.39622  &amp; 4.94759  &amp; 471.98108  &amp; 0.002119  \\</t>
  </si>
  <si>
    <t xml:space="preserve">    \multicolumn{1}{l}{i/delta} &amp; 1.096963  &amp;   &amp; 26 &amp; 0.008735  &amp; 114.47546  &amp; 4.95632  &amp; 567.37730  &amp; 0.001762  \\</t>
  </si>
  <si>
    <t xml:space="preserve">      &amp;   &amp;   &amp; 27 &amp; 0.007280  &amp; 137.37055  &amp; 4.96360  &amp; 681.85276  &amp; 0.001467  \\</t>
  </si>
  <si>
    <t xml:space="preserve">    \multicolumn{1}{l}{i/d(2)} &amp; 1.147723  &amp;   &amp; 28 &amp; 0.006066  &amp; 164.84466  &amp; 4.96967  &amp; 819.22331  &amp; 0.001221  \\</t>
  </si>
  <si>
    <t xml:space="preserve">    \multicolumn{1}{l}{i/d(4)} &amp; 1.122153  &amp;   &amp; 29 &amp; 0.005055  &amp; 197.81359  &amp; 4.97472  &amp; 984.06797  &amp; 0.001016  \\</t>
  </si>
  <si>
    <t xml:space="preserve">    \multicolumn{1}{l}{i/d(12)} &amp; 1.105317  &amp;   &amp; 30 &amp; 0.004213  &amp; 237.37631  &amp; 4.97894  &amp; 1181.88157  &amp; 0.000846  \\</t>
  </si>
  <si>
    <t xml:space="preserve">    \multicolumn{1}{l}{i/delta} &amp; 1.096963  &amp;   &amp; 31 &amp; 0.003511  &amp; 284.85158  &amp; 4.98245  &amp; 1419.25788  &amp; 0.000705  \\</t>
  </si>
  <si>
    <t>\cmidrule{1-2}      &amp;   &amp;   &amp; 32 &amp; 0.002926  &amp; 341.82189  &amp; 4.98537  &amp; 1704.10946  &amp; 0.000587  \\</t>
  </si>
  <si>
    <t xml:space="preserve">      &amp;   &amp;   &amp; 33 &amp; 0.002438  &amp; 410.18627  &amp; 4.98781  &amp; 2045.93135  &amp; 0.000489  \\</t>
  </si>
  <si>
    <t xml:space="preserve">      &amp;   &amp;   &amp; 34 &amp; 0.002032  &amp; 492.22352  &amp; 4.98984  &amp; 2456.11762  &amp; 0.000407  \\</t>
  </si>
  <si>
    <t xml:space="preserve">      &amp;   &amp;   &amp; 35 &amp; 0.001693  &amp; 590.66823  &amp; 4.99154  &amp; 2948.34115  &amp; 0.000339  \\</t>
  </si>
  <si>
    <t xml:space="preserve">      &amp;   &amp;   &amp; 36 &amp; 0.001411  &amp; 708.80187  &amp; 4.99295  &amp; 3539.00937  &amp; 0.000283  \\</t>
  </si>
  <si>
    <t xml:space="preserve">      &amp;   &amp;   &amp; 37 &amp; 0.001176  &amp; 850.56225  &amp; 4.99412  &amp; 4247.81125  &amp; 0.000235  \\</t>
  </si>
  <si>
    <t xml:space="preserve">      &amp;   &amp;   &amp; 38 &amp; 0.000980  &amp; 1020.67470  &amp; 4.99510  &amp; 5098.37350  &amp; 0.000196  \\</t>
  </si>
  <si>
    <t xml:space="preserve">      &amp;   &amp;   &amp; 39 &amp; 0.000816  &amp; 1224.80964  &amp; 4.99592  &amp; 6119.04820  &amp; 0.000163  \\</t>
  </si>
  <si>
    <t xml:space="preserve">      &amp;   &amp;   &amp; 40 &amp; 0.000680  &amp; 1469.77157  &amp; 4.99660  &amp; 7343.85784  &amp; 0.000136  \\</t>
  </si>
  <si>
    <t xml:space="preserve">      &amp;   &amp;   &amp; 41 &amp; 0.000567  &amp; 1763.72588  &amp; 4.99717  &amp; 8813.62941  &amp; 0.000113  \\</t>
  </si>
  <si>
    <t xml:space="preserve">      &amp;   &amp;   &amp; 42 &amp; 0.000472  &amp; 2116.47106  &amp; 4.99764  &amp; 10577.35529  &amp; 0.000095  \\</t>
  </si>
  <si>
    <t xml:space="preserve">      &amp;   &amp;   &amp; 43 &amp; 0.000394  &amp; 2539.76527  &amp; 4.99803  &amp; 12693.82635  &amp; 0.000079  \\</t>
  </si>
  <si>
    <t xml:space="preserve">      &amp;   &amp;   &amp; 44 &amp; 0.000328  &amp; 3047.71832  &amp; 4.99836  &amp; 15233.59162  &amp; 0.000066  \\</t>
  </si>
  <si>
    <t xml:space="preserve">      &amp;   &amp;   &amp; 45 &amp; 0.000273  &amp; 3657.26199  &amp; 4.99863  &amp; 18281.30994  &amp; 0.000055  \\</t>
  </si>
  <si>
    <t xml:space="preserve">      &amp;   &amp;   &amp; 46 &amp; 0.000228  &amp; 4388.71439  &amp; 4.99886  &amp; 21938.57193  &amp; 0.000046  \\</t>
  </si>
  <si>
    <t xml:space="preserve">      &amp;   &amp;   &amp; 47 &amp; 0.000190  &amp; 5266.45726  &amp; 4.99905  &amp; 26327.28631  &amp; 0.000038  \\</t>
  </si>
  <si>
    <t xml:space="preserve">      &amp;   &amp;   &amp; 48 &amp; 0.000158  &amp; 6319.74872  &amp; 4.99921  &amp; 31593.74358  &amp; 0.000032  \\</t>
  </si>
  <si>
    <t xml:space="preserve">      &amp;   &amp;   &amp; 49 &amp; 0.000132  &amp; 7583.69846  &amp; 4.99934  &amp; 37913.49229  &amp; 0.000026  \\</t>
  </si>
  <si>
    <t xml:space="preserve">      &amp;   &amp;   &amp; 50 &amp; 0.000110  &amp; 9100.43815  &amp; 4.99945  &amp; 45497.19075  &amp; 0.000022 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</si>
</sst>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_ ;[Red]\-0.000000\ "/>
    <numFmt numFmtId="177" formatCode="0.00000_ "/>
    <numFmt numFmtId="178" formatCode="0.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176" fontId="0" fillId="0" borderId="2" xfId="0" applyNumberFormat="1" applyBorder="1"/>
    <xf numFmtId="176" fontId="0" fillId="0" borderId="0" xfId="0" applyNumberFormat="1"/>
    <xf numFmtId="176" fontId="0" fillId="0" borderId="3" xfId="0" applyNumberFormat="1" applyBorder="1"/>
    <xf numFmtId="177" fontId="0" fillId="0" borderId="2" xfId="0" applyNumberFormat="1" applyBorder="1"/>
    <xf numFmtId="177" fontId="0" fillId="0" borderId="0" xfId="0" applyNumberFormat="1"/>
    <xf numFmtId="177" fontId="0" fillId="0" borderId="3" xfId="0" applyNumberFormat="1" applyBorder="1"/>
    <xf numFmtId="0" fontId="0" fillId="0" borderId="2" xfId="0" applyBorder="1" applyAlignment="1">
      <alignment horizont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fill"/>
    </xf>
    <xf numFmtId="49" fontId="0" fillId="0" borderId="0" xfId="0" applyNumberFormat="1" applyAlignment="1">
      <alignment horizontal="fill"/>
    </xf>
    <xf numFmtId="0" fontId="0" fillId="0" borderId="0" xfId="0" applyAlignment="1">
      <alignment horizontal="fill" vertical="center"/>
    </xf>
    <xf numFmtId="49" fontId="0" fillId="0" borderId="0" xfId="0" applyNumberFormat="1" applyAlignment="1">
      <alignment horizontal="fill" vertical="center"/>
    </xf>
    <xf numFmtId="178" fontId="0" fillId="0" borderId="2" xfId="0" applyNumberFormat="1" applyBorder="1"/>
    <xf numFmtId="178" fontId="0" fillId="0" borderId="0" xfId="0" applyNumberFormat="1"/>
    <xf numFmtId="178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6"/>
  <sheetViews>
    <sheetView tabSelected="1" zoomScaleNormal="100" workbookViewId="0"/>
  </sheetViews>
  <sheetFormatPr defaultRowHeight="13.8" x14ac:dyDescent="0.25"/>
  <cols>
    <col min="6" max="6" width="9.5546875" bestFit="1" customWidth="1"/>
    <col min="9" max="9" width="9.5546875" bestFit="1" customWidth="1"/>
    <col min="10" max="10" width="11.6640625" bestFit="1" customWidth="1"/>
    <col min="11" max="11" width="8.5546875" bestFit="1" customWidth="1"/>
    <col min="12" max="12" width="12.77734375" bestFit="1" customWidth="1"/>
    <col min="13" max="13" width="9.5546875" bestFit="1" customWidth="1"/>
  </cols>
  <sheetData>
    <row r="2" spans="2:15" ht="27" customHeight="1" x14ac:dyDescent="0.25">
      <c r="B2" s="12"/>
      <c r="C2" s="13"/>
      <c r="E2" s="14" t="s">
        <v>33</v>
      </c>
    </row>
    <row r="3" spans="2:15" ht="27" customHeight="1" x14ac:dyDescent="0.25">
      <c r="B3" s="13"/>
      <c r="C3" s="13"/>
      <c r="E3" s="27" t="s">
        <v>34</v>
      </c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5" ht="27" customHeight="1" x14ac:dyDescent="0.25">
      <c r="B4" s="13"/>
      <c r="C4" s="13"/>
      <c r="H4" s="4"/>
      <c r="I4" s="4"/>
      <c r="J4" s="4"/>
      <c r="K4" s="4"/>
      <c r="L4" s="4"/>
      <c r="M4" s="4"/>
    </row>
    <row r="5" spans="2:15" ht="16.2" customHeight="1" x14ac:dyDescent="0.25">
      <c r="B5" s="2" t="s">
        <v>0</v>
      </c>
      <c r="C5" s="2">
        <v>0.2</v>
      </c>
      <c r="E5" s="26" t="s">
        <v>3</v>
      </c>
      <c r="F5" s="26"/>
      <c r="H5" s="26" t="s">
        <v>49</v>
      </c>
      <c r="I5" s="26"/>
      <c r="J5" s="26"/>
      <c r="K5" s="26"/>
      <c r="L5" s="26"/>
      <c r="M5" s="26"/>
    </row>
    <row r="6" spans="2:15" x14ac:dyDescent="0.25">
      <c r="E6" s="15" t="s">
        <v>1</v>
      </c>
      <c r="F6" s="15" t="s">
        <v>2</v>
      </c>
      <c r="H6" s="24" t="s">
        <v>27</v>
      </c>
      <c r="I6" s="24" t="s">
        <v>29</v>
      </c>
      <c r="J6" s="24" t="s">
        <v>28</v>
      </c>
      <c r="K6" s="24" t="s">
        <v>30</v>
      </c>
      <c r="L6" s="24" t="s">
        <v>31</v>
      </c>
      <c r="M6" s="24" t="s">
        <v>32</v>
      </c>
    </row>
    <row r="7" spans="2:15" x14ac:dyDescent="0.25">
      <c r="E7" s="3" t="s">
        <v>0</v>
      </c>
      <c r="F7" s="20">
        <f>i</f>
        <v>0.2</v>
      </c>
      <c r="H7" s="11">
        <v>1</v>
      </c>
      <c r="I7" s="5">
        <f t="shared" ref="I7:I38" si="0">v^H7</f>
        <v>0.83333333333333337</v>
      </c>
      <c r="J7" s="8">
        <f t="shared" ref="J7:J38" si="1">(1+i)^H7</f>
        <v>1.2</v>
      </c>
      <c r="K7" s="8">
        <f t="shared" ref="K7:K38" si="2">(1-I7)/i</f>
        <v>0.83333333333333315</v>
      </c>
      <c r="L7" s="8">
        <f t="shared" ref="L7:L38" si="3">((1+i)^H7-1)/i</f>
        <v>0.99999999999999978</v>
      </c>
      <c r="M7" s="20">
        <f>1/L7</f>
        <v>1.0000000000000002</v>
      </c>
    </row>
    <row r="8" spans="2:15" x14ac:dyDescent="0.25">
      <c r="E8" t="s">
        <v>4</v>
      </c>
      <c r="F8" s="21">
        <f>((1+i)^(1/2)-1)*2</f>
        <v>0.1908902300206643</v>
      </c>
      <c r="H8" s="1">
        <v>2</v>
      </c>
      <c r="I8" s="6">
        <f t="shared" si="0"/>
        <v>0.69444444444444453</v>
      </c>
      <c r="J8" s="9">
        <f t="shared" si="1"/>
        <v>1.44</v>
      </c>
      <c r="K8" s="9">
        <f t="shared" si="2"/>
        <v>1.5277777777777772</v>
      </c>
      <c r="L8" s="9">
        <f t="shared" si="3"/>
        <v>2.1999999999999997</v>
      </c>
      <c r="M8" s="21">
        <f t="shared" ref="M8:M56" si="4">1/L8</f>
        <v>0.45454545454545459</v>
      </c>
    </row>
    <row r="9" spans="2:15" x14ac:dyDescent="0.25">
      <c r="E9" t="s">
        <v>5</v>
      </c>
      <c r="F9" s="21">
        <f>((1+i)^(1/4)-1)*4</f>
        <v>0.18654055756842247</v>
      </c>
      <c r="H9" s="1">
        <v>3</v>
      </c>
      <c r="I9" s="6">
        <f t="shared" si="0"/>
        <v>0.57870370370370383</v>
      </c>
      <c r="J9" s="9">
        <f t="shared" si="1"/>
        <v>1.728</v>
      </c>
      <c r="K9" s="9">
        <f t="shared" si="2"/>
        <v>2.1064814814814805</v>
      </c>
      <c r="L9" s="9">
        <f t="shared" si="3"/>
        <v>3.6399999999999997</v>
      </c>
      <c r="M9" s="21">
        <f t="shared" si="4"/>
        <v>0.27472527472527475</v>
      </c>
    </row>
    <row r="10" spans="2:15" x14ac:dyDescent="0.25">
      <c r="E10" t="s">
        <v>6</v>
      </c>
      <c r="F10" s="21">
        <f>((1+i)^(1/12)-1)*12</f>
        <v>0.18371364599677431</v>
      </c>
      <c r="H10" s="1">
        <v>4</v>
      </c>
      <c r="I10" s="6">
        <f t="shared" si="0"/>
        <v>0.48225308641975323</v>
      </c>
      <c r="J10" s="9">
        <f t="shared" si="1"/>
        <v>2.0735999999999999</v>
      </c>
      <c r="K10" s="9">
        <f t="shared" si="2"/>
        <v>2.5887345679012341</v>
      </c>
      <c r="L10" s="9">
        <f t="shared" si="3"/>
        <v>5.3679999999999994</v>
      </c>
      <c r="M10" s="21">
        <f t="shared" si="4"/>
        <v>0.18628912071535025</v>
      </c>
    </row>
    <row r="11" spans="2:15" x14ac:dyDescent="0.25">
      <c r="E11" t="s">
        <v>7</v>
      </c>
      <c r="F11" s="21">
        <f>LN(1+i)</f>
        <v>0.18232155679395459</v>
      </c>
      <c r="H11" s="1">
        <v>5</v>
      </c>
      <c r="I11" s="6">
        <f t="shared" si="0"/>
        <v>0.40187757201646102</v>
      </c>
      <c r="J11" s="9">
        <f t="shared" si="1"/>
        <v>2.4883199999999999</v>
      </c>
      <c r="K11" s="9">
        <f t="shared" si="2"/>
        <v>2.9906121399176948</v>
      </c>
      <c r="L11" s="9">
        <f t="shared" si="3"/>
        <v>7.4415999999999993</v>
      </c>
      <c r="M11" s="21">
        <f t="shared" si="4"/>
        <v>0.13437970328961515</v>
      </c>
    </row>
    <row r="12" spans="2:15" x14ac:dyDescent="0.25">
      <c r="F12" s="21"/>
      <c r="H12" s="1">
        <v>6</v>
      </c>
      <c r="I12" s="6">
        <f t="shared" si="0"/>
        <v>0.33489797668038424</v>
      </c>
      <c r="J12" s="9">
        <f t="shared" si="1"/>
        <v>2.9859839999999997</v>
      </c>
      <c r="K12" s="9">
        <f t="shared" si="2"/>
        <v>3.3255101165980787</v>
      </c>
      <c r="L12" s="9">
        <f t="shared" si="3"/>
        <v>9.9299199999999974</v>
      </c>
      <c r="M12" s="21">
        <f t="shared" si="4"/>
        <v>0.10070574586703622</v>
      </c>
    </row>
    <row r="13" spans="2:15" x14ac:dyDescent="0.25">
      <c r="E13" t="s">
        <v>8</v>
      </c>
      <c r="F13" s="21">
        <f>1-(1+i)^(-1)</f>
        <v>0.16666666666666663</v>
      </c>
      <c r="H13" s="1">
        <v>7</v>
      </c>
      <c r="I13" s="6">
        <f t="shared" si="0"/>
        <v>0.27908164723365353</v>
      </c>
      <c r="J13" s="9">
        <f t="shared" si="1"/>
        <v>3.5831807999999996</v>
      </c>
      <c r="K13" s="9">
        <f t="shared" si="2"/>
        <v>3.6045917638317326</v>
      </c>
      <c r="L13" s="9">
        <f t="shared" si="3"/>
        <v>12.915903999999998</v>
      </c>
      <c r="M13" s="21">
        <f t="shared" si="4"/>
        <v>7.7423926346928573E-2</v>
      </c>
    </row>
    <row r="14" spans="2:15" x14ac:dyDescent="0.25">
      <c r="E14" t="s">
        <v>9</v>
      </c>
      <c r="F14" s="21">
        <f>(1-(1-d)^(1/2))*2</f>
        <v>0.1742581416494462</v>
      </c>
      <c r="H14" s="1">
        <v>8</v>
      </c>
      <c r="I14" s="6">
        <f t="shared" si="0"/>
        <v>0.23256803936137799</v>
      </c>
      <c r="J14" s="9">
        <f t="shared" si="1"/>
        <v>4.2998169599999994</v>
      </c>
      <c r="K14" s="9">
        <f t="shared" si="2"/>
        <v>3.8371598031931096</v>
      </c>
      <c r="L14" s="9">
        <f t="shared" si="3"/>
        <v>16.499084799999995</v>
      </c>
      <c r="M14" s="21">
        <f t="shared" si="4"/>
        <v>6.0609422408690224E-2</v>
      </c>
    </row>
    <row r="15" spans="2:15" x14ac:dyDescent="0.25">
      <c r="E15" t="s">
        <v>10</v>
      </c>
      <c r="F15" s="21">
        <f>(1-(1-d)^(1/4))*4</f>
        <v>0.17822883118253285</v>
      </c>
      <c r="H15" s="1">
        <v>9</v>
      </c>
      <c r="I15" s="6">
        <f t="shared" si="0"/>
        <v>0.19380669946781501</v>
      </c>
      <c r="J15" s="9">
        <f t="shared" si="1"/>
        <v>5.1597803519999994</v>
      </c>
      <c r="K15" s="9">
        <f t="shared" si="2"/>
        <v>4.0309665026609247</v>
      </c>
      <c r="L15" s="9">
        <f t="shared" si="3"/>
        <v>20.798901759999996</v>
      </c>
      <c r="M15" s="21">
        <f t="shared" si="4"/>
        <v>4.8079461672499393E-2</v>
      </c>
    </row>
    <row r="16" spans="2:15" x14ac:dyDescent="0.25">
      <c r="E16" t="s">
        <v>11</v>
      </c>
      <c r="F16" s="21">
        <f>(1-(1-d)^(1/12))*12</f>
        <v>0.18094349686933509</v>
      </c>
      <c r="H16" s="1">
        <v>10</v>
      </c>
      <c r="I16" s="6">
        <f t="shared" si="0"/>
        <v>0.16150558288984584</v>
      </c>
      <c r="J16" s="9">
        <f t="shared" si="1"/>
        <v>6.1917364223999991</v>
      </c>
      <c r="K16" s="9">
        <f t="shared" si="2"/>
        <v>4.1924720855507704</v>
      </c>
      <c r="L16" s="9">
        <f t="shared" si="3"/>
        <v>25.958682111999995</v>
      </c>
      <c r="M16" s="21">
        <f t="shared" si="4"/>
        <v>3.8522756882859131E-2</v>
      </c>
    </row>
    <row r="17" spans="5:13" x14ac:dyDescent="0.25">
      <c r="E17" t="s">
        <v>7</v>
      </c>
      <c r="F17" s="21">
        <f>LN(1+i)</f>
        <v>0.18232155679395459</v>
      </c>
      <c r="H17" s="1">
        <v>11</v>
      </c>
      <c r="I17" s="6">
        <f t="shared" si="0"/>
        <v>0.13458798574153821</v>
      </c>
      <c r="J17" s="9">
        <f t="shared" si="1"/>
        <v>7.4300837068799988</v>
      </c>
      <c r="K17" s="9">
        <f t="shared" si="2"/>
        <v>4.3270600712923084</v>
      </c>
      <c r="L17" s="9">
        <f t="shared" si="3"/>
        <v>32.150418534399989</v>
      </c>
      <c r="M17" s="21">
        <f t="shared" si="4"/>
        <v>3.1103794152167252E-2</v>
      </c>
    </row>
    <row r="18" spans="5:13" x14ac:dyDescent="0.25">
      <c r="F18" s="21"/>
      <c r="H18" s="1">
        <v>12</v>
      </c>
      <c r="I18" s="6">
        <f t="shared" si="0"/>
        <v>0.11215665478461519</v>
      </c>
      <c r="J18" s="9">
        <f t="shared" si="1"/>
        <v>8.9161004482559978</v>
      </c>
      <c r="K18" s="9">
        <f t="shared" si="2"/>
        <v>4.439216726076924</v>
      </c>
      <c r="L18" s="9">
        <f t="shared" si="3"/>
        <v>39.580502241279987</v>
      </c>
      <c r="M18" s="21">
        <f t="shared" si="4"/>
        <v>2.5264964903781908E-2</v>
      </c>
    </row>
    <row r="19" spans="5:13" x14ac:dyDescent="0.25">
      <c r="E19" t="s">
        <v>12</v>
      </c>
      <c r="F19" s="21">
        <f>(1+i)^(-1)</f>
        <v>0.83333333333333337</v>
      </c>
      <c r="H19" s="1">
        <v>13</v>
      </c>
      <c r="I19" s="6">
        <f t="shared" si="0"/>
        <v>9.3463878987179325E-2</v>
      </c>
      <c r="J19" s="9">
        <f t="shared" si="1"/>
        <v>10.699320537907198</v>
      </c>
      <c r="K19" s="9">
        <f t="shared" si="2"/>
        <v>4.5326806050641029</v>
      </c>
      <c r="L19" s="9">
        <f t="shared" si="3"/>
        <v>48.49660268953599</v>
      </c>
      <c r="M19" s="21">
        <f t="shared" si="4"/>
        <v>2.0620001083411311E-2</v>
      </c>
    </row>
    <row r="20" spans="5:13" x14ac:dyDescent="0.25">
      <c r="E20" t="s">
        <v>13</v>
      </c>
      <c r="F20" s="21">
        <f>v^(1/2)</f>
        <v>0.9128709291752769</v>
      </c>
      <c r="H20" s="1">
        <v>14</v>
      </c>
      <c r="I20" s="6">
        <f t="shared" si="0"/>
        <v>7.7886565822649453E-2</v>
      </c>
      <c r="J20" s="9">
        <f t="shared" si="1"/>
        <v>12.839184645488636</v>
      </c>
      <c r="K20" s="9">
        <f t="shared" si="2"/>
        <v>4.6105671708867524</v>
      </c>
      <c r="L20" s="9">
        <f t="shared" si="3"/>
        <v>59.195923227443181</v>
      </c>
      <c r="M20" s="21">
        <f t="shared" si="4"/>
        <v>1.6893055222025843E-2</v>
      </c>
    </row>
    <row r="21" spans="5:13" x14ac:dyDescent="0.25">
      <c r="E21" t="s">
        <v>14</v>
      </c>
      <c r="F21" s="21">
        <f>v^(1/4)</f>
        <v>0.95544279220436679</v>
      </c>
      <c r="H21" s="1">
        <v>15</v>
      </c>
      <c r="I21" s="6">
        <f t="shared" si="0"/>
        <v>6.4905471518874547E-2</v>
      </c>
      <c r="J21" s="9">
        <f t="shared" si="1"/>
        <v>15.407021574586365</v>
      </c>
      <c r="K21" s="9">
        <f t="shared" si="2"/>
        <v>4.6754726424056265</v>
      </c>
      <c r="L21" s="9">
        <f t="shared" si="3"/>
        <v>72.035107872931817</v>
      </c>
      <c r="M21" s="21">
        <f t="shared" si="4"/>
        <v>1.3882119837510006E-2</v>
      </c>
    </row>
    <row r="22" spans="5:13" x14ac:dyDescent="0.25">
      <c r="E22" t="s">
        <v>15</v>
      </c>
      <c r="F22" s="21">
        <f>v^(1/12)</f>
        <v>0.98492137526088874</v>
      </c>
      <c r="H22" s="1">
        <v>16</v>
      </c>
      <c r="I22" s="6">
        <f t="shared" si="0"/>
        <v>5.4087892932395458E-2</v>
      </c>
      <c r="J22" s="9">
        <f t="shared" si="1"/>
        <v>18.488425889503635</v>
      </c>
      <c r="K22" s="9">
        <f t="shared" si="2"/>
        <v>4.7295605353380221</v>
      </c>
      <c r="L22" s="9">
        <f t="shared" si="3"/>
        <v>87.44212944751817</v>
      </c>
      <c r="M22" s="21">
        <f t="shared" si="4"/>
        <v>1.1436135033744681E-2</v>
      </c>
    </row>
    <row r="23" spans="5:13" x14ac:dyDescent="0.25">
      <c r="F23" s="21"/>
      <c r="H23" s="1">
        <v>17</v>
      </c>
      <c r="I23" s="6">
        <f t="shared" si="0"/>
        <v>4.5073244110329549E-2</v>
      </c>
      <c r="J23" s="9">
        <f t="shared" si="1"/>
        <v>22.186111067404362</v>
      </c>
      <c r="K23" s="9">
        <f t="shared" si="2"/>
        <v>4.7746337794483518</v>
      </c>
      <c r="L23" s="9">
        <f t="shared" si="3"/>
        <v>105.9305553370218</v>
      </c>
      <c r="M23" s="21">
        <f t="shared" si="4"/>
        <v>9.4401468662036626E-3</v>
      </c>
    </row>
    <row r="24" spans="5:13" x14ac:dyDescent="0.25">
      <c r="E24" t="s">
        <v>16</v>
      </c>
      <c r="F24" s="21">
        <f>1+i</f>
        <v>1.2</v>
      </c>
      <c r="H24" s="1">
        <v>18</v>
      </c>
      <c r="I24" s="6">
        <f t="shared" si="0"/>
        <v>3.756103675860796E-2</v>
      </c>
      <c r="J24" s="9">
        <f t="shared" si="1"/>
        <v>26.623333280885234</v>
      </c>
      <c r="K24" s="9">
        <f t="shared" si="2"/>
        <v>4.8121948162069597</v>
      </c>
      <c r="L24" s="9">
        <f t="shared" si="3"/>
        <v>128.11666640442616</v>
      </c>
      <c r="M24" s="21">
        <f t="shared" si="4"/>
        <v>7.8053857321208923E-3</v>
      </c>
    </row>
    <row r="25" spans="5:13" x14ac:dyDescent="0.25">
      <c r="E25" t="s">
        <v>17</v>
      </c>
      <c r="F25" s="21">
        <f>(1+i)^(1/2)</f>
        <v>1.0954451150103321</v>
      </c>
      <c r="H25" s="1">
        <v>19</v>
      </c>
      <c r="I25" s="6">
        <f t="shared" si="0"/>
        <v>3.1300863965506638E-2</v>
      </c>
      <c r="J25" s="9">
        <f t="shared" si="1"/>
        <v>31.947999937062281</v>
      </c>
      <c r="K25" s="9">
        <f t="shared" si="2"/>
        <v>4.8434956801724667</v>
      </c>
      <c r="L25" s="9">
        <f t="shared" si="3"/>
        <v>154.7399996853114</v>
      </c>
      <c r="M25" s="21">
        <f t="shared" si="4"/>
        <v>6.4624531603571173E-3</v>
      </c>
    </row>
    <row r="26" spans="5:13" x14ac:dyDescent="0.25">
      <c r="E26" t="s">
        <v>18</v>
      </c>
      <c r="F26" s="21">
        <f>(1+i)^(1/4)</f>
        <v>1.0466351393921056</v>
      </c>
      <c r="H26" s="1">
        <v>20</v>
      </c>
      <c r="I26" s="6">
        <f t="shared" si="0"/>
        <v>2.6084053304588867E-2</v>
      </c>
      <c r="J26" s="9">
        <f t="shared" si="1"/>
        <v>38.337599924474738</v>
      </c>
      <c r="K26" s="9">
        <f t="shared" si="2"/>
        <v>4.8695797334770559</v>
      </c>
      <c r="L26" s="9">
        <f t="shared" si="3"/>
        <v>186.68799962237367</v>
      </c>
      <c r="M26" s="21">
        <f t="shared" si="4"/>
        <v>5.3565306930427612E-3</v>
      </c>
    </row>
    <row r="27" spans="5:13" x14ac:dyDescent="0.25">
      <c r="E27" t="s">
        <v>19</v>
      </c>
      <c r="F27" s="21">
        <f>(1+i)^(1/12)</f>
        <v>1.0153094704997312</v>
      </c>
      <c r="H27" s="1">
        <v>21</v>
      </c>
      <c r="I27" s="6">
        <f t="shared" si="0"/>
        <v>2.1736711087157388E-2</v>
      </c>
      <c r="J27" s="9">
        <f t="shared" si="1"/>
        <v>46.005119909369682</v>
      </c>
      <c r="K27" s="9">
        <f t="shared" si="2"/>
        <v>4.8913164445642128</v>
      </c>
      <c r="L27" s="9">
        <f t="shared" si="3"/>
        <v>225.02559954684841</v>
      </c>
      <c r="M27" s="21">
        <f t="shared" si="4"/>
        <v>4.4439388319096936E-3</v>
      </c>
    </row>
    <row r="28" spans="5:13" x14ac:dyDescent="0.25">
      <c r="F28" s="21"/>
      <c r="H28" s="1">
        <v>22</v>
      </c>
      <c r="I28" s="6">
        <f t="shared" si="0"/>
        <v>1.8113925905964494E-2</v>
      </c>
      <c r="J28" s="9">
        <f t="shared" si="1"/>
        <v>55.206143891243613</v>
      </c>
      <c r="K28" s="9">
        <f t="shared" si="2"/>
        <v>4.9094303704701776</v>
      </c>
      <c r="L28" s="9">
        <f t="shared" si="3"/>
        <v>271.03071945621804</v>
      </c>
      <c r="M28" s="21">
        <f t="shared" si="4"/>
        <v>3.6896186602254832E-3</v>
      </c>
    </row>
    <row r="29" spans="5:13" x14ac:dyDescent="0.25">
      <c r="E29" t="s">
        <v>20</v>
      </c>
      <c r="F29" s="21">
        <f>F7/F8</f>
        <v>1.047722557505167</v>
      </c>
      <c r="H29" s="1">
        <v>23</v>
      </c>
      <c r="I29" s="6">
        <f t="shared" si="0"/>
        <v>1.5094938254970412E-2</v>
      </c>
      <c r="J29" s="9">
        <f t="shared" si="1"/>
        <v>66.247372669492336</v>
      </c>
      <c r="K29" s="9">
        <f t="shared" si="2"/>
        <v>4.9245253087251477</v>
      </c>
      <c r="L29" s="9">
        <f t="shared" si="3"/>
        <v>326.23686334746168</v>
      </c>
      <c r="M29" s="21">
        <f t="shared" si="4"/>
        <v>3.0652575240552767E-3</v>
      </c>
    </row>
    <row r="30" spans="5:13" x14ac:dyDescent="0.25">
      <c r="E30" t="s">
        <v>21</v>
      </c>
      <c r="F30" s="21">
        <f>F7/F9</f>
        <v>1.0721529012619182</v>
      </c>
      <c r="H30" s="1">
        <v>24</v>
      </c>
      <c r="I30" s="6">
        <f t="shared" si="0"/>
        <v>1.2579115212475345E-2</v>
      </c>
      <c r="J30" s="9">
        <f t="shared" si="1"/>
        <v>79.4968472033908</v>
      </c>
      <c r="K30" s="9">
        <f t="shared" si="2"/>
        <v>4.9371044239376234</v>
      </c>
      <c r="L30" s="9">
        <f t="shared" si="3"/>
        <v>392.48423601695396</v>
      </c>
      <c r="M30" s="21">
        <f t="shared" si="4"/>
        <v>2.5478730308974842E-3</v>
      </c>
    </row>
    <row r="31" spans="5:13" x14ac:dyDescent="0.25">
      <c r="E31" t="s">
        <v>22</v>
      </c>
      <c r="F31" s="21">
        <f>F7/F10</f>
        <v>1.0886507581669336</v>
      </c>
      <c r="H31" s="1">
        <v>25</v>
      </c>
      <c r="I31" s="6">
        <f t="shared" si="0"/>
        <v>1.0482596010396122E-2</v>
      </c>
      <c r="J31" s="9">
        <f t="shared" si="1"/>
        <v>95.396216644068971</v>
      </c>
      <c r="K31" s="9">
        <f t="shared" si="2"/>
        <v>4.9475870199480187</v>
      </c>
      <c r="L31" s="9">
        <f t="shared" si="3"/>
        <v>471.98108322034483</v>
      </c>
      <c r="M31" s="21">
        <f t="shared" si="4"/>
        <v>2.1187289820536071E-3</v>
      </c>
    </row>
    <row r="32" spans="5:13" x14ac:dyDescent="0.25">
      <c r="E32" t="s">
        <v>23</v>
      </c>
      <c r="F32" s="21">
        <f>F7/F11</f>
        <v>1.0969629895494157</v>
      </c>
      <c r="H32" s="1">
        <v>26</v>
      </c>
      <c r="I32" s="6">
        <f t="shared" si="0"/>
        <v>8.7354966753301014E-3</v>
      </c>
      <c r="J32" s="9">
        <f t="shared" si="1"/>
        <v>114.47545997288276</v>
      </c>
      <c r="K32" s="9">
        <f t="shared" si="2"/>
        <v>4.9563225166233487</v>
      </c>
      <c r="L32" s="9">
        <f t="shared" si="3"/>
        <v>567.37729986441377</v>
      </c>
      <c r="M32" s="21">
        <f t="shared" si="4"/>
        <v>1.7624956096039975E-3</v>
      </c>
    </row>
    <row r="33" spans="5:13" x14ac:dyDescent="0.25">
      <c r="F33" s="21"/>
      <c r="H33" s="1">
        <v>27</v>
      </c>
      <c r="I33" s="6">
        <f t="shared" si="0"/>
        <v>7.2795805627750851E-3</v>
      </c>
      <c r="J33" s="9">
        <f t="shared" si="1"/>
        <v>137.37055196745931</v>
      </c>
      <c r="K33" s="9">
        <f t="shared" si="2"/>
        <v>4.9636020971861239</v>
      </c>
      <c r="L33" s="9">
        <f t="shared" si="3"/>
        <v>681.8527598372965</v>
      </c>
      <c r="M33" s="21">
        <f t="shared" si="4"/>
        <v>1.4665922892775555E-3</v>
      </c>
    </row>
    <row r="34" spans="5:13" x14ac:dyDescent="0.25">
      <c r="E34" t="s">
        <v>24</v>
      </c>
      <c r="F34" s="21">
        <f>F7/F14</f>
        <v>1.1477225575051668</v>
      </c>
      <c r="H34" s="1">
        <v>28</v>
      </c>
      <c r="I34" s="6">
        <f t="shared" si="0"/>
        <v>6.066317135645905E-3</v>
      </c>
      <c r="J34" s="9">
        <f t="shared" si="1"/>
        <v>164.84466236095116</v>
      </c>
      <c r="K34" s="9">
        <f t="shared" si="2"/>
        <v>4.9696684143217702</v>
      </c>
      <c r="L34" s="9">
        <f t="shared" si="3"/>
        <v>819.22331180475578</v>
      </c>
      <c r="M34" s="21">
        <f t="shared" si="4"/>
        <v>1.2206683886924455E-3</v>
      </c>
    </row>
    <row r="35" spans="5:13" x14ac:dyDescent="0.25">
      <c r="E35" t="s">
        <v>25</v>
      </c>
      <c r="F35" s="21">
        <f>F7/F15</f>
        <v>1.1221529012619189</v>
      </c>
      <c r="H35" s="1">
        <v>29</v>
      </c>
      <c r="I35" s="6">
        <f t="shared" si="0"/>
        <v>5.055264279704921E-3</v>
      </c>
      <c r="J35" s="9">
        <f t="shared" si="1"/>
        <v>197.81359483314139</v>
      </c>
      <c r="K35" s="9">
        <f t="shared" si="2"/>
        <v>4.9747236786014755</v>
      </c>
      <c r="L35" s="9">
        <f t="shared" si="3"/>
        <v>984.06797416570691</v>
      </c>
      <c r="M35" s="21">
        <f t="shared" si="4"/>
        <v>1.0161899647712855E-3</v>
      </c>
    </row>
    <row r="36" spans="5:13" x14ac:dyDescent="0.25">
      <c r="E36" t="s">
        <v>26</v>
      </c>
      <c r="F36" s="21">
        <f>F7/F16</f>
        <v>1.1053174248336</v>
      </c>
      <c r="H36" s="1">
        <v>30</v>
      </c>
      <c r="I36" s="6">
        <f t="shared" si="0"/>
        <v>4.2127202330874353E-3</v>
      </c>
      <c r="J36" s="9">
        <f t="shared" si="1"/>
        <v>237.37631379976966</v>
      </c>
      <c r="K36" s="9">
        <f t="shared" si="2"/>
        <v>4.9789363988345627</v>
      </c>
      <c r="L36" s="9">
        <f t="shared" si="3"/>
        <v>1181.8815689988483</v>
      </c>
      <c r="M36" s="21">
        <f t="shared" si="4"/>
        <v>8.4610846486681652E-4</v>
      </c>
    </row>
    <row r="37" spans="5:13" x14ac:dyDescent="0.25">
      <c r="E37" s="4" t="s">
        <v>23</v>
      </c>
      <c r="F37" s="22">
        <f>F7/F11</f>
        <v>1.0969629895494157</v>
      </c>
      <c r="H37" s="1">
        <v>31</v>
      </c>
      <c r="I37" s="6">
        <f t="shared" si="0"/>
        <v>3.5106001942395294E-3</v>
      </c>
      <c r="J37" s="9">
        <f t="shared" si="1"/>
        <v>284.85157655972358</v>
      </c>
      <c r="K37" s="9">
        <f t="shared" si="2"/>
        <v>4.9824469990288023</v>
      </c>
      <c r="L37" s="9">
        <f t="shared" si="3"/>
        <v>1419.2578827986179</v>
      </c>
      <c r="M37" s="21">
        <f t="shared" si="4"/>
        <v>7.0459358522505569E-4</v>
      </c>
    </row>
    <row r="38" spans="5:13" x14ac:dyDescent="0.25">
      <c r="H38" s="1">
        <v>32</v>
      </c>
      <c r="I38" s="6">
        <f t="shared" si="0"/>
        <v>2.9255001618662744E-3</v>
      </c>
      <c r="J38" s="9">
        <f t="shared" si="1"/>
        <v>341.82189187166824</v>
      </c>
      <c r="K38" s="9">
        <f t="shared" si="2"/>
        <v>4.9853724991906683</v>
      </c>
      <c r="L38" s="9">
        <f t="shared" si="3"/>
        <v>1704.1094593583412</v>
      </c>
      <c r="M38" s="21">
        <f t="shared" si="4"/>
        <v>5.8681676491399574E-4</v>
      </c>
    </row>
    <row r="39" spans="5:13" x14ac:dyDescent="0.25">
      <c r="H39" s="1">
        <v>33</v>
      </c>
      <c r="I39" s="6">
        <f t="shared" ref="I39:I70" si="5">v^H39</f>
        <v>2.4379168015552289E-3</v>
      </c>
      <c r="J39" s="9">
        <f t="shared" ref="J39:J56" si="6">(1+i)^H39</f>
        <v>410.18627024600187</v>
      </c>
      <c r="K39" s="9">
        <f t="shared" ref="K39:K56" si="7">(1-I39)/i</f>
        <v>4.9878104159922234</v>
      </c>
      <c r="L39" s="9">
        <f t="shared" ref="L39:L56" si="8">((1+i)^H39-1)/i</f>
        <v>2045.9313512300093</v>
      </c>
      <c r="M39" s="21">
        <f t="shared" si="4"/>
        <v>4.8877495298109701E-4</v>
      </c>
    </row>
    <row r="40" spans="5:13" x14ac:dyDescent="0.25">
      <c r="H40" s="1">
        <v>34</v>
      </c>
      <c r="I40" s="6">
        <f t="shared" si="5"/>
        <v>2.0315973346293576E-3</v>
      </c>
      <c r="J40" s="9">
        <f t="shared" si="6"/>
        <v>492.22352429520225</v>
      </c>
      <c r="K40" s="9">
        <f t="shared" si="7"/>
        <v>4.9898420133268528</v>
      </c>
      <c r="L40" s="9">
        <f t="shared" si="8"/>
        <v>2456.1176214760112</v>
      </c>
      <c r="M40" s="21">
        <f t="shared" si="4"/>
        <v>4.0714662492386948E-4</v>
      </c>
    </row>
    <row r="41" spans="5:13" x14ac:dyDescent="0.25">
      <c r="H41" s="1">
        <v>35</v>
      </c>
      <c r="I41" s="6">
        <f t="shared" si="5"/>
        <v>1.692997778857798E-3</v>
      </c>
      <c r="J41" s="9">
        <f t="shared" si="6"/>
        <v>590.66822915424268</v>
      </c>
      <c r="K41" s="9">
        <f t="shared" si="7"/>
        <v>4.9915350111057109</v>
      </c>
      <c r="L41" s="9">
        <f t="shared" si="8"/>
        <v>2948.3411457712132</v>
      </c>
      <c r="M41" s="21">
        <f t="shared" si="4"/>
        <v>3.391737762213486E-4</v>
      </c>
    </row>
    <row r="42" spans="5:13" x14ac:dyDescent="0.25">
      <c r="H42" s="1">
        <v>36</v>
      </c>
      <c r="I42" s="6">
        <f t="shared" si="5"/>
        <v>1.4108314823814984E-3</v>
      </c>
      <c r="J42" s="9">
        <f t="shared" si="6"/>
        <v>708.80187498509122</v>
      </c>
      <c r="K42" s="9">
        <f t="shared" si="7"/>
        <v>4.9929458425880924</v>
      </c>
      <c r="L42" s="9">
        <f t="shared" si="8"/>
        <v>3539.0093749254561</v>
      </c>
      <c r="M42" s="21">
        <f t="shared" si="4"/>
        <v>2.8256494800075614E-4</v>
      </c>
    </row>
    <row r="43" spans="5:13" x14ac:dyDescent="0.25">
      <c r="H43" s="1">
        <v>37</v>
      </c>
      <c r="I43" s="6">
        <f t="shared" si="5"/>
        <v>1.175692901984582E-3</v>
      </c>
      <c r="J43" s="9">
        <f t="shared" si="6"/>
        <v>850.56224998210951</v>
      </c>
      <c r="K43" s="9">
        <f t="shared" si="7"/>
        <v>4.994121535490077</v>
      </c>
      <c r="L43" s="9">
        <f t="shared" si="8"/>
        <v>4247.8112499105473</v>
      </c>
      <c r="M43" s="21">
        <f t="shared" si="4"/>
        <v>2.354153565606425E-4</v>
      </c>
    </row>
    <row r="44" spans="5:13" x14ac:dyDescent="0.25">
      <c r="H44" s="1">
        <v>38</v>
      </c>
      <c r="I44" s="6">
        <f t="shared" si="5"/>
        <v>9.7974408498715192E-4</v>
      </c>
      <c r="J44" s="9">
        <f t="shared" si="6"/>
        <v>1020.6746999785313</v>
      </c>
      <c r="K44" s="9">
        <f t="shared" si="7"/>
        <v>4.9951012795750644</v>
      </c>
      <c r="L44" s="9">
        <f t="shared" si="8"/>
        <v>5098.3734998926566</v>
      </c>
      <c r="M44" s="21">
        <f t="shared" si="4"/>
        <v>1.9614098496727525E-4</v>
      </c>
    </row>
    <row r="45" spans="5:13" x14ac:dyDescent="0.25">
      <c r="H45" s="1">
        <v>39</v>
      </c>
      <c r="I45" s="6">
        <f t="shared" si="5"/>
        <v>8.1645340415595986E-4</v>
      </c>
      <c r="J45" s="9">
        <f t="shared" si="6"/>
        <v>1224.8096399742376</v>
      </c>
      <c r="K45" s="9">
        <f t="shared" si="7"/>
        <v>4.9959177329792199</v>
      </c>
      <c r="L45" s="9">
        <f t="shared" si="8"/>
        <v>6119.0481998711875</v>
      </c>
      <c r="M45" s="21">
        <f t="shared" si="4"/>
        <v>1.6342410900130694E-4</v>
      </c>
    </row>
    <row r="46" spans="5:13" x14ac:dyDescent="0.25">
      <c r="H46" s="1">
        <v>40</v>
      </c>
      <c r="I46" s="6">
        <f t="shared" si="5"/>
        <v>6.8037783679663342E-4</v>
      </c>
      <c r="J46" s="9">
        <f t="shared" si="6"/>
        <v>1469.771567969085</v>
      </c>
      <c r="K46" s="9">
        <f t="shared" si="7"/>
        <v>4.9965981108160165</v>
      </c>
      <c r="L46" s="9">
        <f t="shared" si="8"/>
        <v>7343.8578398454247</v>
      </c>
      <c r="M46" s="21">
        <f t="shared" si="4"/>
        <v>1.3616821319365957E-4</v>
      </c>
    </row>
    <row r="47" spans="5:13" x14ac:dyDescent="0.25">
      <c r="H47" s="1">
        <v>41</v>
      </c>
      <c r="I47" s="6">
        <f t="shared" si="5"/>
        <v>5.669815306638612E-4</v>
      </c>
      <c r="J47" s="9">
        <f t="shared" si="6"/>
        <v>1763.725881562902</v>
      </c>
      <c r="K47" s="9">
        <f t="shared" si="7"/>
        <v>4.9971650923466804</v>
      </c>
      <c r="L47" s="9">
        <f t="shared" si="8"/>
        <v>8813.6294078145092</v>
      </c>
      <c r="M47" s="21">
        <f t="shared" si="4"/>
        <v>1.1346063621796496E-4</v>
      </c>
    </row>
    <row r="48" spans="5:13" x14ac:dyDescent="0.25">
      <c r="H48" s="1">
        <v>42</v>
      </c>
      <c r="I48" s="6">
        <f t="shared" si="5"/>
        <v>4.72484608886551E-4</v>
      </c>
      <c r="J48" s="9">
        <f t="shared" si="6"/>
        <v>2116.4710578754825</v>
      </c>
      <c r="K48" s="9">
        <f t="shared" si="7"/>
        <v>4.997637576955567</v>
      </c>
      <c r="L48" s="9">
        <f t="shared" si="8"/>
        <v>10577.355289377412</v>
      </c>
      <c r="M48" s="21">
        <f t="shared" si="4"/>
        <v>9.4541591224063008E-5</v>
      </c>
    </row>
    <row r="49" spans="8:13" x14ac:dyDescent="0.25">
      <c r="H49" s="1">
        <v>43</v>
      </c>
      <c r="I49" s="6">
        <f t="shared" si="5"/>
        <v>3.9373717407212587E-4</v>
      </c>
      <c r="J49" s="9">
        <f t="shared" si="6"/>
        <v>2539.7652694505787</v>
      </c>
      <c r="K49" s="9">
        <f t="shared" si="7"/>
        <v>4.9980313141296389</v>
      </c>
      <c r="L49" s="9">
        <f t="shared" si="8"/>
        <v>12693.826347252892</v>
      </c>
      <c r="M49" s="21">
        <f t="shared" si="4"/>
        <v>7.8778452819816064E-5</v>
      </c>
    </row>
    <row r="50" spans="8:13" x14ac:dyDescent="0.25">
      <c r="H50" s="1">
        <v>44</v>
      </c>
      <c r="I50" s="6">
        <f t="shared" si="5"/>
        <v>3.2811431172677158E-4</v>
      </c>
      <c r="J50" s="9">
        <f t="shared" si="6"/>
        <v>3047.7183233406945</v>
      </c>
      <c r="K50" s="9">
        <f t="shared" si="7"/>
        <v>4.9983594284413657</v>
      </c>
      <c r="L50" s="9">
        <f t="shared" si="8"/>
        <v>15233.591616703472</v>
      </c>
      <c r="M50" s="21">
        <f t="shared" si="4"/>
        <v>6.5644401212876843E-5</v>
      </c>
    </row>
    <row r="51" spans="8:13" x14ac:dyDescent="0.25">
      <c r="H51" s="1">
        <v>45</v>
      </c>
      <c r="I51" s="6">
        <f t="shared" si="5"/>
        <v>2.7342859310564298E-4</v>
      </c>
      <c r="J51" s="9">
        <f t="shared" si="6"/>
        <v>3657.2619880088337</v>
      </c>
      <c r="K51" s="9">
        <f t="shared" si="7"/>
        <v>4.9986328570344716</v>
      </c>
      <c r="L51" s="9">
        <f t="shared" si="8"/>
        <v>18281.309940044168</v>
      </c>
      <c r="M51" s="21">
        <f t="shared" si="4"/>
        <v>5.4700675349831303E-5</v>
      </c>
    </row>
    <row r="52" spans="8:13" x14ac:dyDescent="0.25">
      <c r="H52" s="1">
        <v>46</v>
      </c>
      <c r="I52" s="6">
        <f t="shared" si="5"/>
        <v>2.278571609213692E-4</v>
      </c>
      <c r="J52" s="9">
        <f t="shared" si="6"/>
        <v>4388.7143856105995</v>
      </c>
      <c r="K52" s="9">
        <f t="shared" si="7"/>
        <v>4.9988607141953931</v>
      </c>
      <c r="L52" s="9">
        <f t="shared" si="8"/>
        <v>21938.571928052996</v>
      </c>
      <c r="M52" s="21">
        <f t="shared" si="4"/>
        <v>4.5581818327987583E-5</v>
      </c>
    </row>
    <row r="53" spans="8:13" x14ac:dyDescent="0.25">
      <c r="H53" s="1">
        <v>47</v>
      </c>
      <c r="I53" s="6">
        <f t="shared" si="5"/>
        <v>1.8988096743447435E-4</v>
      </c>
      <c r="J53" s="9">
        <f t="shared" si="6"/>
        <v>5266.4572627327198</v>
      </c>
      <c r="K53" s="9">
        <f t="shared" si="7"/>
        <v>4.9990505951628279</v>
      </c>
      <c r="L53" s="9">
        <f t="shared" si="8"/>
        <v>26327.286313663597</v>
      </c>
      <c r="M53" s="21">
        <f t="shared" si="4"/>
        <v>3.7983405812736956E-5</v>
      </c>
    </row>
    <row r="54" spans="8:13" x14ac:dyDescent="0.25">
      <c r="H54" s="1">
        <v>48</v>
      </c>
      <c r="I54" s="6">
        <f t="shared" si="5"/>
        <v>1.5823413952872862E-4</v>
      </c>
      <c r="J54" s="9">
        <f t="shared" si="6"/>
        <v>6319.7487152792628</v>
      </c>
      <c r="K54" s="9">
        <f t="shared" si="7"/>
        <v>4.999208829302356</v>
      </c>
      <c r="L54" s="9">
        <f t="shared" si="8"/>
        <v>31593.743576396311</v>
      </c>
      <c r="M54" s="21">
        <f t="shared" si="4"/>
        <v>3.165183630682817E-5</v>
      </c>
    </row>
    <row r="55" spans="8:13" x14ac:dyDescent="0.25">
      <c r="H55" s="1">
        <v>49</v>
      </c>
      <c r="I55" s="6">
        <f t="shared" si="5"/>
        <v>1.3186178294060719E-4</v>
      </c>
      <c r="J55" s="9">
        <f t="shared" si="6"/>
        <v>7583.6984583351159</v>
      </c>
      <c r="K55" s="9">
        <f t="shared" si="7"/>
        <v>4.9993406910852967</v>
      </c>
      <c r="L55" s="9">
        <f t="shared" si="8"/>
        <v>37913.492291675575</v>
      </c>
      <c r="M55" s="21">
        <f t="shared" si="4"/>
        <v>2.6375834552692043E-5</v>
      </c>
    </row>
    <row r="56" spans="8:13" x14ac:dyDescent="0.25">
      <c r="H56" s="23">
        <v>50</v>
      </c>
      <c r="I56" s="7">
        <f t="shared" si="5"/>
        <v>1.0988481911717267E-4</v>
      </c>
      <c r="J56" s="10">
        <f t="shared" si="6"/>
        <v>9100.4381500021391</v>
      </c>
      <c r="K56" s="10">
        <f t="shared" si="7"/>
        <v>4.9994505759044134</v>
      </c>
      <c r="L56" s="10">
        <f t="shared" si="8"/>
        <v>45497.19075001069</v>
      </c>
      <c r="M56" s="22">
        <f t="shared" si="4"/>
        <v>2.1979379023522787E-5</v>
      </c>
    </row>
  </sheetData>
  <mergeCells count="3">
    <mergeCell ref="E5:F5"/>
    <mergeCell ref="E3:O3"/>
    <mergeCell ref="H5:M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C222-FE01-4E46-A841-4A06BF605ED9}">
  <dimension ref="B2:K64"/>
  <sheetViews>
    <sheetView zoomScale="85" zoomScaleNormal="85" workbookViewId="0"/>
  </sheetViews>
  <sheetFormatPr defaultRowHeight="13.8" x14ac:dyDescent="0.25"/>
  <cols>
    <col min="3" max="3" width="104.5546875" customWidth="1"/>
    <col min="4" max="4" width="13.88671875" hidden="1" customWidth="1"/>
    <col min="5" max="5" width="120.88671875" customWidth="1"/>
    <col min="6" max="6" width="53.5546875" customWidth="1"/>
  </cols>
  <sheetData>
    <row r="2" spans="2:11" ht="41.4" customHeight="1" x14ac:dyDescent="0.25">
      <c r="C2" s="27" t="s">
        <v>44</v>
      </c>
      <c r="D2" s="27"/>
      <c r="E2" s="27"/>
      <c r="F2" s="27"/>
      <c r="G2" s="27"/>
      <c r="H2" s="27"/>
      <c r="I2" s="27"/>
      <c r="J2" s="27"/>
      <c r="K2" s="27"/>
    </row>
    <row r="4" spans="2:11" x14ac:dyDescent="0.25">
      <c r="B4" t="s">
        <v>42</v>
      </c>
      <c r="C4" t="s">
        <v>43</v>
      </c>
      <c r="D4" s="1" t="s">
        <v>45</v>
      </c>
      <c r="E4" t="s">
        <v>46</v>
      </c>
      <c r="F4" t="s">
        <v>54</v>
      </c>
    </row>
    <row r="5" spans="2:11" x14ac:dyDescent="0.25">
      <c r="B5">
        <v>1</v>
      </c>
      <c r="C5" s="17" t="s">
        <v>35</v>
      </c>
      <c r="D5">
        <v>1</v>
      </c>
      <c r="E5" s="19" t="str">
        <f>""</f>
        <v/>
      </c>
      <c r="F5" s="16" t="str">
        <f>IF(D5=1,E5,C5)</f>
        <v/>
      </c>
    </row>
    <row r="6" spans="2:11" x14ac:dyDescent="0.25">
      <c r="B6">
        <v>2</v>
      </c>
      <c r="C6" s="17" t="s">
        <v>36</v>
      </c>
      <c r="D6">
        <v>0</v>
      </c>
      <c r="E6" s="18"/>
      <c r="F6" s="16" t="str">
        <f t="shared" ref="F6:F11" si="0">IF(D6=1,E6,C6)</f>
        <v>\begin{table}[htbp]</v>
      </c>
    </row>
    <row r="7" spans="2:11" x14ac:dyDescent="0.25">
      <c r="B7">
        <v>3</v>
      </c>
      <c r="C7" s="17" t="s">
        <v>37</v>
      </c>
      <c r="D7">
        <v>0</v>
      </c>
      <c r="E7" s="18"/>
      <c r="F7" s="16" t="str">
        <f t="shared" si="0"/>
        <v xml:space="preserve">  \centering</v>
      </c>
    </row>
    <row r="8" spans="2:11" x14ac:dyDescent="0.25">
      <c r="B8">
        <v>4</v>
      </c>
      <c r="C8" s="17" t="s">
        <v>38</v>
      </c>
      <c r="D8">
        <v>1</v>
      </c>
      <c r="E8" s="19" t="s">
        <v>53</v>
      </c>
      <c r="F8" s="16" t="str">
        <f t="shared" si="0"/>
        <v>\renewcommand{\arraystretch}{0.9}</v>
      </c>
    </row>
    <row r="9" spans="2:11" x14ac:dyDescent="0.25">
      <c r="B9">
        <v>5</v>
      </c>
      <c r="C9" s="17" t="s">
        <v>48</v>
      </c>
      <c r="D9">
        <v>0</v>
      </c>
      <c r="E9" s="18"/>
      <c r="F9" s="16" t="str">
        <f t="shared" si="0"/>
        <v xml:space="preserve">    \begin{tabular}{rrrcrrrrr}</v>
      </c>
    </row>
    <row r="10" spans="2:11" x14ac:dyDescent="0.25">
      <c r="B10">
        <v>6</v>
      </c>
      <c r="C10" s="17" t="s">
        <v>50</v>
      </c>
      <c r="D10">
        <v>0</v>
      </c>
      <c r="F10" s="16" t="str">
        <f t="shared" si="0"/>
        <v>\cmidrule{1-2}\cmidrule{4-9}    \multicolumn{2}{c}{常量} &amp;   &amp; \multicolumn{6}{c}{折现因子、积累因子、标准型年金现值及积累值} \\</v>
      </c>
    </row>
    <row r="11" spans="2:11" x14ac:dyDescent="0.25">
      <c r="B11">
        <v>7</v>
      </c>
      <c r="C11" s="17" t="s">
        <v>51</v>
      </c>
      <c r="D11">
        <v>1</v>
      </c>
      <c r="E11" s="18" t="s">
        <v>52</v>
      </c>
      <c r="F11" s="16" t="str">
        <f t="shared" si="0"/>
        <v>\cmidrule{1-2}\cmidrule{4-9}    \multicolumn{1}{c}{函数} &amp; \multicolumn{1}{c}{值} &amp;   &amp;$ n $&amp; \multicolumn{1}{c}{$v^n$} &amp; \multicolumn{1}{c}{$(1+i)^n$} &amp; \multicolumn{1}{c}{$\an$} &amp; \multicolumn{1}{c}{$\sn$} &amp; \multicolumn{1}{c}{$1/\sn$} \\</v>
      </c>
    </row>
    <row r="12" spans="2:11" x14ac:dyDescent="0.25">
      <c r="B12">
        <v>8</v>
      </c>
      <c r="C12" s="17" t="s">
        <v>55</v>
      </c>
      <c r="D12">
        <v>1</v>
      </c>
      <c r="E12" s="18" t="str">
        <f>" \cmidrule{1-2} \cmidrule{4-9}   \multicolumn{1}{l}{$i$}" &amp; MID(C12,55,LEN(C12)-54)</f>
        <v xml:space="preserve"> \cmidrule{1-2} \cmidrule{4-9}   \multicolumn{1}{l}{$i$}&amp; 0.200000  &amp;   &amp; 1 &amp; 0.833333  &amp; 1.20000  &amp; 0.83333  &amp; 1.00000  &amp; 1.000000  \\</v>
      </c>
      <c r="F12" s="16" t="str">
        <f t="shared" ref="F12:F43" si="1">IF(D12=1,E12,C12)</f>
        <v xml:space="preserve"> \cmidrule{1-2} \cmidrule{4-9}   \multicolumn{1}{l}{$i$}&amp; 0.200000  &amp;   &amp; 1 &amp; 0.833333  &amp; 1.20000  &amp; 0.83333  &amp; 1.00000  &amp; 1.000000  \\</v>
      </c>
    </row>
    <row r="13" spans="2:11" x14ac:dyDescent="0.25">
      <c r="B13">
        <v>9</v>
      </c>
      <c r="C13" s="17" t="s">
        <v>56</v>
      </c>
      <c r="D13">
        <v>1</v>
      </c>
      <c r="E13" s="18" t="str">
        <f>"    \multicolumn{1}{l}{$i^{(2)}$}" &amp; MID(C13,30,LEN(C13)-29)</f>
        <v xml:space="preserve">    \multicolumn{1}{l}{$i^{(2)}$}&amp; 0.190890  &amp;   &amp; 2 &amp; 0.694444  &amp; 1.44000  &amp; 1.52778  &amp; 2.20000  &amp; 0.454545  \\</v>
      </c>
      <c r="F13" s="16" t="str">
        <f t="shared" si="1"/>
        <v xml:space="preserve">    \multicolumn{1}{l}{$i^{(2)}$}&amp; 0.190890  &amp;   &amp; 2 &amp; 0.694444  &amp; 1.44000  &amp; 1.52778  &amp; 2.20000  &amp; 0.454545  \\</v>
      </c>
    </row>
    <row r="14" spans="2:11" x14ac:dyDescent="0.25">
      <c r="B14">
        <v>10</v>
      </c>
      <c r="C14" s="17" t="s">
        <v>57</v>
      </c>
      <c r="D14">
        <v>1</v>
      </c>
      <c r="E14" s="18" t="str">
        <f>"    \multicolumn{1}{l}{$i^{(4)}$}" &amp; MID(C14,30,LEN(C14)-29)</f>
        <v xml:space="preserve">    \multicolumn{1}{l}{$i^{(4)}$}&amp; 0.186541  &amp;   &amp; 3 &amp; 0.578704  &amp; 1.72800  &amp; 2.10648  &amp; 3.64000  &amp; 0.274725  \\</v>
      </c>
      <c r="F14" s="16" t="str">
        <f t="shared" si="1"/>
        <v xml:space="preserve">    \multicolumn{1}{l}{$i^{(4)}$}&amp; 0.186541  &amp;   &amp; 3 &amp; 0.578704  &amp; 1.72800  &amp; 2.10648  &amp; 3.64000  &amp; 0.274725  \\</v>
      </c>
    </row>
    <row r="15" spans="2:11" x14ac:dyDescent="0.25">
      <c r="B15">
        <v>11</v>
      </c>
      <c r="C15" s="17" t="s">
        <v>58</v>
      </c>
      <c r="D15">
        <v>1</v>
      </c>
      <c r="E15" s="18" t="str">
        <f>"    \multicolumn{1}{l}{$i^{(12)}$}" &amp; MID(C15,31,LEN(C15)-30)</f>
        <v xml:space="preserve">    \multicolumn{1}{l}{$i^{(12)}$}&amp; 0.183714  &amp;   &amp; 4 &amp; 0.482253  &amp; 2.07360  &amp; 2.58873  &amp; 5.36800  &amp; 0.186289  \\</v>
      </c>
      <c r="F15" s="16" t="str">
        <f t="shared" si="1"/>
        <v xml:space="preserve">    \multicolumn{1}{l}{$i^{(12)}$}&amp; 0.183714  &amp;   &amp; 4 &amp; 0.482253  &amp; 2.07360  &amp; 2.58873  &amp; 5.36800  &amp; 0.186289  \\</v>
      </c>
    </row>
    <row r="16" spans="2:11" x14ac:dyDescent="0.25">
      <c r="B16">
        <v>12</v>
      </c>
      <c r="C16" s="17" t="s">
        <v>59</v>
      </c>
      <c r="D16">
        <v>1</v>
      </c>
      <c r="E16" s="18" t="str">
        <f>"    \multicolumn{1}{l}{$\delta$}" &amp; MID(C16,31,LEN(C16)-30)</f>
        <v xml:space="preserve">    \multicolumn{1}{l}{$\delta$}&amp; 0.182322  &amp;   &amp; 5 &amp; 0.401878  &amp; 2.48832  &amp; 2.99061  &amp; 7.44160  &amp; 0.134380  \\</v>
      </c>
      <c r="F16" s="16" t="str">
        <f t="shared" si="1"/>
        <v xml:space="preserve">    \multicolumn{1}{l}{$\delta$}&amp; 0.182322  &amp;   &amp; 5 &amp; 0.401878  &amp; 2.48832  &amp; 2.99061  &amp; 7.44160  &amp; 0.134380  \\</v>
      </c>
    </row>
    <row r="17" spans="2:6" x14ac:dyDescent="0.25">
      <c r="B17">
        <v>13</v>
      </c>
      <c r="C17" s="17" t="s">
        <v>60</v>
      </c>
      <c r="D17">
        <v>0</v>
      </c>
      <c r="E17" s="18"/>
      <c r="F17" s="16" t="str">
        <f t="shared" si="1"/>
        <v xml:space="preserve">      &amp;   &amp;   &amp; 6 &amp; 0.334898  &amp; 2.98598  &amp; 3.32551  &amp; 9.92992  &amp; 0.100706  \\</v>
      </c>
    </row>
    <row r="18" spans="2:6" x14ac:dyDescent="0.25">
      <c r="B18">
        <v>14</v>
      </c>
      <c r="C18" s="17" t="s">
        <v>61</v>
      </c>
      <c r="D18">
        <v>1</v>
      </c>
      <c r="E18" s="18" t="str">
        <f>"    \multicolumn{1}{l}{$d$}" &amp; MID(C18,27,LEN(C18)-26)</f>
        <v xml:space="preserve">    \multicolumn{1}{l}{$d$}&amp; 0.166667  &amp;   &amp; 7 &amp; 0.279082  &amp; 3.58318  &amp; 3.60459  &amp; 12.91590  &amp; 0.077424  \\</v>
      </c>
      <c r="F18" s="16" t="str">
        <f t="shared" si="1"/>
        <v xml:space="preserve">    \multicolumn{1}{l}{$d$}&amp; 0.166667  &amp;   &amp; 7 &amp; 0.279082  &amp; 3.58318  &amp; 3.60459  &amp; 12.91590  &amp; 0.077424  \\</v>
      </c>
    </row>
    <row r="19" spans="2:6" x14ac:dyDescent="0.25">
      <c r="B19">
        <v>15</v>
      </c>
      <c r="C19" s="17" t="s">
        <v>62</v>
      </c>
      <c r="D19">
        <v>1</v>
      </c>
      <c r="E19" s="18" t="str">
        <f>"    \multicolumn{1}{l}{$d^{(2)}$}" &amp; MID(C19,30,LEN(C19)-29)</f>
        <v xml:space="preserve">    \multicolumn{1}{l}{$d^{(2)}$}&amp; 0.174258  &amp;   &amp; 8 &amp; 0.232568  &amp; 4.29982  &amp; 3.83716  &amp; 16.49908  &amp; 0.060609  \\</v>
      </c>
      <c r="F19" s="16" t="str">
        <f t="shared" si="1"/>
        <v xml:space="preserve">    \multicolumn{1}{l}{$d^{(2)}$}&amp; 0.174258  &amp;   &amp; 8 &amp; 0.232568  &amp; 4.29982  &amp; 3.83716  &amp; 16.49908  &amp; 0.060609  \\</v>
      </c>
    </row>
    <row r="20" spans="2:6" x14ac:dyDescent="0.25">
      <c r="B20">
        <v>16</v>
      </c>
      <c r="C20" s="17" t="s">
        <v>63</v>
      </c>
      <c r="D20">
        <v>1</v>
      </c>
      <c r="E20" s="18" t="str">
        <f>"    \multicolumn{1}{l}{$d^{(4)}$}" &amp; MID(C20,30,LEN(C20)-29)</f>
        <v xml:space="preserve">    \multicolumn{1}{l}{$d^{(4)}$}&amp; 0.178229  &amp;   &amp; 9 &amp; 0.193807  &amp; 5.15978  &amp; 4.03097  &amp; 20.79890  &amp; 0.048079  \\</v>
      </c>
      <c r="F20" s="16" t="str">
        <f t="shared" si="1"/>
        <v xml:space="preserve">    \multicolumn{1}{l}{$d^{(4)}$}&amp; 0.178229  &amp;   &amp; 9 &amp; 0.193807  &amp; 5.15978  &amp; 4.03097  &amp; 20.79890  &amp; 0.048079  \\</v>
      </c>
    </row>
    <row r="21" spans="2:6" x14ac:dyDescent="0.25">
      <c r="B21">
        <v>17</v>
      </c>
      <c r="C21" s="17" t="s">
        <v>64</v>
      </c>
      <c r="D21">
        <v>1</v>
      </c>
      <c r="E21" s="18" t="str">
        <f>"    \multicolumn{1}{l}{$d^{(12)}$}" &amp; MID(C21,31,LEN(C21)-30)</f>
        <v xml:space="preserve">    \multicolumn{1}{l}{$d^{(12)}$}&amp; 0.180943  &amp;   &amp; 10 &amp; 0.161506  &amp; 6.19174  &amp; 4.19247  &amp; 25.95868  &amp; 0.038523  \\</v>
      </c>
      <c r="F21" s="16" t="str">
        <f t="shared" si="1"/>
        <v xml:space="preserve">    \multicolumn{1}{l}{$d^{(12)}$}&amp; 0.180943  &amp;   &amp; 10 &amp; 0.161506  &amp; 6.19174  &amp; 4.19247  &amp; 25.95868  &amp; 0.038523  \\</v>
      </c>
    </row>
    <row r="22" spans="2:6" x14ac:dyDescent="0.25">
      <c r="B22">
        <v>18</v>
      </c>
      <c r="C22" s="17" t="s">
        <v>65</v>
      </c>
      <c r="D22">
        <v>1</v>
      </c>
      <c r="E22" s="18" t="str">
        <f>"    \multicolumn{1}{l}{$\delta$}" &amp; MID(C22,31,LEN(C22)-30)</f>
        <v xml:space="preserve">    \multicolumn{1}{l}{$\delta$}&amp; 0.182322  &amp;   &amp; 11 &amp; 0.134588  &amp; 7.43008  &amp; 4.32706  &amp; 32.15042  &amp; 0.031104  \\</v>
      </c>
      <c r="F22" s="16" t="str">
        <f t="shared" si="1"/>
        <v xml:space="preserve">    \multicolumn{1}{l}{$\delta$}&amp; 0.182322  &amp;   &amp; 11 &amp; 0.134588  &amp; 7.43008  &amp; 4.32706  &amp; 32.15042  &amp; 0.031104  \\</v>
      </c>
    </row>
    <row r="23" spans="2:6" x14ac:dyDescent="0.25">
      <c r="B23">
        <v>19</v>
      </c>
      <c r="C23" s="17" t="s">
        <v>66</v>
      </c>
      <c r="D23">
        <v>0</v>
      </c>
      <c r="E23" s="18"/>
      <c r="F23" s="16" t="str">
        <f t="shared" si="1"/>
        <v xml:space="preserve">      &amp;   &amp;   &amp; 12 &amp; 0.112157  &amp; 8.91610  &amp; 4.43922  &amp; 39.58050  &amp; 0.025265  \\</v>
      </c>
    </row>
    <row r="24" spans="2:6" x14ac:dyDescent="0.25">
      <c r="B24">
        <v>20</v>
      </c>
      <c r="C24" s="17" t="s">
        <v>67</v>
      </c>
      <c r="D24">
        <v>0</v>
      </c>
      <c r="E24" s="18"/>
      <c r="F24" s="16" t="str">
        <f t="shared" si="1"/>
        <v xml:space="preserve">    \multicolumn{1}{l}{v} &amp; 0.833333  &amp;   &amp; 13 &amp; 0.093464  &amp; 10.69932  &amp; 4.53268  &amp; 48.49660  &amp; 0.020620  \\</v>
      </c>
    </row>
    <row r="25" spans="2:6" x14ac:dyDescent="0.25">
      <c r="B25">
        <v>21</v>
      </c>
      <c r="C25" s="17" t="s">
        <v>68</v>
      </c>
      <c r="D25">
        <v>1</v>
      </c>
      <c r="E25" s="18" t="str">
        <f>"    \multicolumn{1}{l}{$v^{1/2}$}" &amp; MID(C25,30,LEN(C25)-29)</f>
        <v xml:space="preserve">    \multicolumn{1}{l}{$v^{1/2}$}&amp; 0.912871  &amp;   &amp; 14 &amp; 0.077887  &amp; 12.83918  &amp; 4.61057  &amp; 59.19592  &amp; 0.016893  \\</v>
      </c>
      <c r="F25" s="16" t="str">
        <f t="shared" si="1"/>
        <v xml:space="preserve">    \multicolumn{1}{l}{$v^{1/2}$}&amp; 0.912871  &amp;   &amp; 14 &amp; 0.077887  &amp; 12.83918  &amp; 4.61057  &amp; 59.19592  &amp; 0.016893  \\</v>
      </c>
    </row>
    <row r="26" spans="2:6" x14ac:dyDescent="0.25">
      <c r="B26">
        <v>22</v>
      </c>
      <c r="C26" s="17" t="s">
        <v>69</v>
      </c>
      <c r="D26">
        <v>1</v>
      </c>
      <c r="E26" s="18" t="str">
        <f>"    \multicolumn{1}{l}{$v^{1/4}$}" &amp; MID(C26,30,LEN(C26)-29)</f>
        <v xml:space="preserve">    \multicolumn{1}{l}{$v^{1/4}$}&amp; 0.955443  &amp;   &amp; 15 &amp; 0.064905  &amp; 15.40702  &amp; 4.67547  &amp; 72.03511  &amp; 0.013882  \\</v>
      </c>
      <c r="F26" s="16" t="str">
        <f t="shared" si="1"/>
        <v xml:space="preserve">    \multicolumn{1}{l}{$v^{1/4}$}&amp; 0.955443  &amp;   &amp; 15 &amp; 0.064905  &amp; 15.40702  &amp; 4.67547  &amp; 72.03511  &amp; 0.013882  \\</v>
      </c>
    </row>
    <row r="27" spans="2:6" x14ac:dyDescent="0.25">
      <c r="B27">
        <v>23</v>
      </c>
      <c r="C27" s="17" t="s">
        <v>70</v>
      </c>
      <c r="D27">
        <v>1</v>
      </c>
      <c r="E27" s="18" t="str">
        <f>"    \multicolumn{1}{l}{$v^{1/12}$}" &amp; MID(C27,31,LEN(C27)-30)</f>
        <v xml:space="preserve">    \multicolumn{1}{l}{$v^{1/12}$}&amp; 0.984921  &amp;   &amp; 16 &amp; 0.054088  &amp; 18.48843  &amp; 4.72956  &amp; 87.44213  &amp; 0.011436  \\</v>
      </c>
      <c r="F27" s="16" t="str">
        <f t="shared" si="1"/>
        <v xml:space="preserve">    \multicolumn{1}{l}{$v^{1/12}$}&amp; 0.984921  &amp;   &amp; 16 &amp; 0.054088  &amp; 18.48843  &amp; 4.72956  &amp; 87.44213  &amp; 0.011436  \\</v>
      </c>
    </row>
    <row r="28" spans="2:6" x14ac:dyDescent="0.25">
      <c r="B28">
        <v>24</v>
      </c>
      <c r="C28" s="17" t="s">
        <v>71</v>
      </c>
      <c r="D28">
        <v>0</v>
      </c>
      <c r="E28" s="18"/>
      <c r="F28" s="16" t="str">
        <f t="shared" si="1"/>
        <v xml:space="preserve">      &amp;   &amp;   &amp; 17 &amp; 0.045073  &amp; 22.18611  &amp; 4.77463  &amp; 105.93056  &amp; 0.009440  \\</v>
      </c>
    </row>
    <row r="29" spans="2:6" x14ac:dyDescent="0.25">
      <c r="B29">
        <v>25</v>
      </c>
      <c r="C29" s="17" t="s">
        <v>72</v>
      </c>
      <c r="D29">
        <v>1</v>
      </c>
      <c r="E29" s="18" t="str">
        <f>"    \multicolumn{1}{l}{$1+i$}" &amp; MID(C29,29,LEN(C29)-28)</f>
        <v xml:space="preserve">    \multicolumn{1}{l}{$1+i$}&amp; 1.200000  &amp;   &amp; 18 &amp; 0.037561  &amp; 26.62333  &amp; 4.81219  &amp; 128.11667  &amp; 0.007805  \\</v>
      </c>
      <c r="F29" s="16" t="str">
        <f t="shared" si="1"/>
        <v xml:space="preserve">    \multicolumn{1}{l}{$1+i$}&amp; 1.200000  &amp;   &amp; 18 &amp; 0.037561  &amp; 26.62333  &amp; 4.81219  &amp; 128.11667  &amp; 0.007805  \\</v>
      </c>
    </row>
    <row r="30" spans="2:6" x14ac:dyDescent="0.25">
      <c r="B30">
        <v>26</v>
      </c>
      <c r="C30" s="17" t="s">
        <v>73</v>
      </c>
      <c r="D30">
        <v>1</v>
      </c>
      <c r="E30" s="18" t="str">
        <f>"    \multicolumn{1}{l}{$(1+i)^{1/2}$}" &amp; MID(C30,34,LEN(C30)-33)</f>
        <v xml:space="preserve">    \multicolumn{1}{l}{$(1+i)^{1/2}$}&amp; 1.095445  &amp;   &amp; 19 &amp; 0.031301  &amp; 31.94800  &amp; 4.84350  &amp; 154.74000  &amp; 0.006462  \\</v>
      </c>
      <c r="F30" s="16" t="str">
        <f t="shared" si="1"/>
        <v xml:space="preserve">    \multicolumn{1}{l}{$(1+i)^{1/2}$}&amp; 1.095445  &amp;   &amp; 19 &amp; 0.031301  &amp; 31.94800  &amp; 4.84350  &amp; 154.74000  &amp; 0.006462  \\</v>
      </c>
    </row>
    <row r="31" spans="2:6" x14ac:dyDescent="0.25">
      <c r="B31">
        <v>27</v>
      </c>
      <c r="C31" s="17" t="s">
        <v>74</v>
      </c>
      <c r="D31">
        <v>1</v>
      </c>
      <c r="E31" s="18" t="str">
        <f>"    \multicolumn{1}{l}{$(1+i)^{1/4}$}" &amp; MID(C31,34,LEN(C31)-33)</f>
        <v xml:space="preserve">    \multicolumn{1}{l}{$(1+i)^{1/4}$}&amp; 1.046635  &amp;   &amp; 20 &amp; 0.026084  &amp; 38.33760  &amp; 4.86958  &amp; 186.68800  &amp; 0.005357  \\</v>
      </c>
      <c r="F31" s="16" t="str">
        <f t="shared" si="1"/>
        <v xml:space="preserve">    \multicolumn{1}{l}{$(1+i)^{1/4}$}&amp; 1.046635  &amp;   &amp; 20 &amp; 0.026084  &amp; 38.33760  &amp; 4.86958  &amp; 186.68800  &amp; 0.005357  \\</v>
      </c>
    </row>
    <row r="32" spans="2:6" x14ac:dyDescent="0.25">
      <c r="B32">
        <v>28</v>
      </c>
      <c r="C32" s="17" t="s">
        <v>75</v>
      </c>
      <c r="D32">
        <v>1</v>
      </c>
      <c r="E32" s="18" t="str">
        <f>"    \multicolumn{1}{l}{$(1+i)^{1/12}$}" &amp; MID(C32,35,LEN(C32)-34)</f>
        <v xml:space="preserve">    \multicolumn{1}{l}{$(1+i)^{1/12}$}&amp; 1.015309  &amp;   &amp; 21 &amp; 0.021737  &amp; 46.00512  &amp; 4.89132  &amp; 225.02560  &amp; 0.004444  \\</v>
      </c>
      <c r="F32" s="16" t="str">
        <f t="shared" si="1"/>
        <v xml:space="preserve">    \multicolumn{1}{l}{$(1+i)^{1/12}$}&amp; 1.015309  &amp;   &amp; 21 &amp; 0.021737  &amp; 46.00512  &amp; 4.89132  &amp; 225.02560  &amp; 0.004444  \\</v>
      </c>
    </row>
    <row r="33" spans="2:6" x14ac:dyDescent="0.25">
      <c r="B33">
        <v>29</v>
      </c>
      <c r="C33" s="17" t="s">
        <v>76</v>
      </c>
      <c r="D33">
        <v>0</v>
      </c>
      <c r="E33" s="18"/>
      <c r="F33" s="16" t="str">
        <f t="shared" si="1"/>
        <v xml:space="preserve">      &amp;   &amp;   &amp; 22 &amp; 0.018114  &amp; 55.20614  &amp; 4.90943  &amp; 271.03072  &amp; 0.003690  \\</v>
      </c>
    </row>
    <row r="34" spans="2:6" x14ac:dyDescent="0.25">
      <c r="B34">
        <v>30</v>
      </c>
      <c r="C34" s="17" t="s">
        <v>77</v>
      </c>
      <c r="D34">
        <v>1</v>
      </c>
      <c r="E34" s="18" t="str">
        <f>"    \multicolumn{1}{l}{$i/i^{(2)}$}" &amp; MID(C34,32,LEN(C34)-31)</f>
        <v xml:space="preserve">    \multicolumn{1}{l}{$i/i^{(2)}$}&amp; 1.047723  &amp;   &amp; 23 &amp; 0.015095  &amp; 66.24737  &amp; 4.92453  &amp; 326.23686  &amp; 0.003065  \\</v>
      </c>
      <c r="F34" s="16" t="str">
        <f t="shared" si="1"/>
        <v xml:space="preserve">    \multicolumn{1}{l}{$i/i^{(2)}$}&amp; 1.047723  &amp;   &amp; 23 &amp; 0.015095  &amp; 66.24737  &amp; 4.92453  &amp; 326.23686  &amp; 0.003065  \\</v>
      </c>
    </row>
    <row r="35" spans="2:6" x14ac:dyDescent="0.25">
      <c r="B35">
        <v>31</v>
      </c>
      <c r="C35" s="17" t="s">
        <v>78</v>
      </c>
      <c r="D35">
        <v>1</v>
      </c>
      <c r="E35" s="18" t="str">
        <f>"    \multicolumn{1}{l}{$i/i^{(4)}$}" &amp; MID(C35,32,LEN(C35)-31)</f>
        <v xml:space="preserve">    \multicolumn{1}{l}{$i/i^{(4)}$}&amp; 1.072153  &amp;   &amp; 24 &amp; 0.012579  &amp; 79.49685  &amp; 4.93710  &amp; 392.48424  &amp; 0.002548  \\</v>
      </c>
      <c r="F35" s="16" t="str">
        <f t="shared" si="1"/>
        <v xml:space="preserve">    \multicolumn{1}{l}{$i/i^{(4)}$}&amp; 1.072153  &amp;   &amp; 24 &amp; 0.012579  &amp; 79.49685  &amp; 4.93710  &amp; 392.48424  &amp; 0.002548  \\</v>
      </c>
    </row>
    <row r="36" spans="2:6" x14ac:dyDescent="0.25">
      <c r="B36">
        <v>32</v>
      </c>
      <c r="C36" s="17" t="s">
        <v>79</v>
      </c>
      <c r="D36">
        <v>1</v>
      </c>
      <c r="E36" s="18" t="str">
        <f>"    \multicolumn{1}{l}{$i/i^{(12)}$}" &amp; MID(C36,33,LEN(C36)-32)</f>
        <v xml:space="preserve">    \multicolumn{1}{l}{$i/i^{(12)}$}&amp; 1.088651  &amp;   &amp; 25 &amp; 0.010483  &amp; 95.39622  &amp; 4.94759  &amp; 471.98108  &amp; 0.002119  \\</v>
      </c>
      <c r="F36" s="16" t="str">
        <f t="shared" si="1"/>
        <v xml:space="preserve">    \multicolumn{1}{l}{$i/i^{(12)}$}&amp; 1.088651  &amp;   &amp; 25 &amp; 0.010483  &amp; 95.39622  &amp; 4.94759  &amp; 471.98108  &amp; 0.002119  \\</v>
      </c>
    </row>
    <row r="37" spans="2:6" x14ac:dyDescent="0.25">
      <c r="B37">
        <v>33</v>
      </c>
      <c r="C37" s="17" t="s">
        <v>80</v>
      </c>
      <c r="D37">
        <v>1</v>
      </c>
      <c r="E37" s="18" t="str">
        <f>"    \multicolumn{1}{l}{$i/\delta$}" &amp; MID(C37,33,LEN(C37)-32)</f>
        <v xml:space="preserve">    \multicolumn{1}{l}{$i/\delta$}&amp; 1.096963  &amp;   &amp; 26 &amp; 0.008735  &amp; 114.47546  &amp; 4.95632  &amp; 567.37730  &amp; 0.001762  \\</v>
      </c>
      <c r="F37" s="16" t="str">
        <f t="shared" si="1"/>
        <v xml:space="preserve">    \multicolumn{1}{l}{$i/\delta$}&amp; 1.096963  &amp;   &amp; 26 &amp; 0.008735  &amp; 114.47546  &amp; 4.95632  &amp; 567.37730  &amp; 0.001762  \\</v>
      </c>
    </row>
    <row r="38" spans="2:6" x14ac:dyDescent="0.25">
      <c r="B38">
        <v>34</v>
      </c>
      <c r="C38" s="17" t="s">
        <v>81</v>
      </c>
      <c r="D38">
        <v>0</v>
      </c>
      <c r="E38" s="18"/>
      <c r="F38" s="16" t="str">
        <f t="shared" si="1"/>
        <v xml:space="preserve">      &amp;   &amp;   &amp; 27 &amp; 0.007280  &amp; 137.37055  &amp; 4.96360  &amp; 681.85276  &amp; 0.001467  \\</v>
      </c>
    </row>
    <row r="39" spans="2:6" x14ac:dyDescent="0.25">
      <c r="B39">
        <v>35</v>
      </c>
      <c r="C39" s="17" t="s">
        <v>82</v>
      </c>
      <c r="D39">
        <v>1</v>
      </c>
      <c r="E39" s="18" t="str">
        <f>"    \multicolumn{1}{l}{$i/d^{(2)}$}" &amp; MID(C39,32,LEN(C39)-31)</f>
        <v xml:space="preserve">    \multicolumn{1}{l}{$i/d^{(2)}$}&amp; 1.147723  &amp;   &amp; 28 &amp; 0.006066  &amp; 164.84466  &amp; 4.96967  &amp; 819.22331  &amp; 0.001221  \\</v>
      </c>
      <c r="F39" s="16" t="str">
        <f t="shared" si="1"/>
        <v xml:space="preserve">    \multicolumn{1}{l}{$i/d^{(2)}$}&amp; 1.147723  &amp;   &amp; 28 &amp; 0.006066  &amp; 164.84466  &amp; 4.96967  &amp; 819.22331  &amp; 0.001221  \\</v>
      </c>
    </row>
    <row r="40" spans="2:6" x14ac:dyDescent="0.25">
      <c r="B40">
        <v>36</v>
      </c>
      <c r="C40" s="17" t="s">
        <v>83</v>
      </c>
      <c r="D40">
        <v>1</v>
      </c>
      <c r="E40" s="18" t="str">
        <f>"    \multicolumn{1}{l}{$i/d^{(4)}$}" &amp; MID(C40,32,LEN(C40)-31)</f>
        <v xml:space="preserve">    \multicolumn{1}{l}{$i/d^{(4)}$}&amp; 1.122153  &amp;   &amp; 29 &amp; 0.005055  &amp; 197.81359  &amp; 4.97472  &amp; 984.06797  &amp; 0.001016  \\</v>
      </c>
      <c r="F40" s="16" t="str">
        <f t="shared" si="1"/>
        <v xml:space="preserve">    \multicolumn{1}{l}{$i/d^{(4)}$}&amp; 1.122153  &amp;   &amp; 29 &amp; 0.005055  &amp; 197.81359  &amp; 4.97472  &amp; 984.06797  &amp; 0.001016  \\</v>
      </c>
    </row>
    <row r="41" spans="2:6" x14ac:dyDescent="0.25">
      <c r="B41">
        <v>37</v>
      </c>
      <c r="C41" s="17" t="s">
        <v>84</v>
      </c>
      <c r="D41">
        <v>1</v>
      </c>
      <c r="E41" s="18" t="str">
        <f>"    \multicolumn{1}{l}{$i/d^{(12)}$}" &amp; MID(C41,33,LEN(C41)-32)</f>
        <v xml:space="preserve">    \multicolumn{1}{l}{$i/d^{(12)}$}&amp; 1.105317  &amp;   &amp; 30 &amp; 0.004213  &amp; 237.37631  &amp; 4.97894  &amp; 1181.88157  &amp; 0.000846  \\</v>
      </c>
      <c r="F41" s="16" t="str">
        <f t="shared" si="1"/>
        <v xml:space="preserve">    \multicolumn{1}{l}{$i/d^{(12)}$}&amp; 1.105317  &amp;   &amp; 30 &amp; 0.004213  &amp; 237.37631  &amp; 4.97894  &amp; 1181.88157  &amp; 0.000846  \\</v>
      </c>
    </row>
    <row r="42" spans="2:6" x14ac:dyDescent="0.25">
      <c r="B42">
        <v>38</v>
      </c>
      <c r="C42" s="17" t="s">
        <v>85</v>
      </c>
      <c r="D42">
        <v>1</v>
      </c>
      <c r="E42" s="18" t="str">
        <f>"    \multicolumn{1}{l}{$i/\delta$}" &amp; MID(C42,33,LEN(C42)-32)</f>
        <v xml:space="preserve">    \multicolumn{1}{l}{$i/\delta$}&amp; 1.096963  &amp;   &amp; 31 &amp; 0.003511  &amp; 284.85158  &amp; 4.98245  &amp; 1419.25788  &amp; 0.000705  \\</v>
      </c>
      <c r="F42" s="16" t="str">
        <f t="shared" si="1"/>
        <v xml:space="preserve">    \multicolumn{1}{l}{$i/\delta$}&amp; 1.096963  &amp;   &amp; 31 &amp; 0.003511  &amp; 284.85158  &amp; 4.98245  &amp; 1419.25788  &amp; 0.000705  \\</v>
      </c>
    </row>
    <row r="43" spans="2:6" x14ac:dyDescent="0.25">
      <c r="B43">
        <v>39</v>
      </c>
      <c r="C43" s="17" t="s">
        <v>86</v>
      </c>
      <c r="D43">
        <v>1</v>
      </c>
      <c r="E43" s="18" t="str">
        <f>"\cline{1-2}" &amp; MID(C43,15,LEN(C43)-14)</f>
        <v>\cline{1-2}      &amp;   &amp;   &amp; 32 &amp; 0.002926  &amp; 341.82189  &amp; 4.98537  &amp; 1704.10946  &amp; 0.000587  \\</v>
      </c>
      <c r="F43" s="16" t="str">
        <f t="shared" si="1"/>
        <v>\cline{1-2}      &amp;   &amp;   &amp; 32 &amp; 0.002926  &amp; 341.82189  &amp; 4.98537  &amp; 1704.10946  &amp; 0.000587  \\</v>
      </c>
    </row>
    <row r="44" spans="2:6" x14ac:dyDescent="0.25">
      <c r="B44">
        <v>40</v>
      </c>
      <c r="C44" s="17" t="s">
        <v>87</v>
      </c>
      <c r="D44">
        <v>0</v>
      </c>
      <c r="E44" s="18"/>
      <c r="F44" s="16" t="str">
        <f t="shared" ref="F44:F75" si="2">IF(D44=1,E44,C44)</f>
        <v xml:space="preserve">      &amp;   &amp;   &amp; 33 &amp; 0.002438  &amp; 410.18627  &amp; 4.98781  &amp; 2045.93135  &amp; 0.000489  \\</v>
      </c>
    </row>
    <row r="45" spans="2:6" x14ac:dyDescent="0.25">
      <c r="B45">
        <v>41</v>
      </c>
      <c r="C45" s="17" t="s">
        <v>88</v>
      </c>
      <c r="D45">
        <v>0</v>
      </c>
      <c r="E45" s="18"/>
      <c r="F45" s="16" t="str">
        <f t="shared" si="2"/>
        <v xml:space="preserve">      &amp;   &amp;   &amp; 34 &amp; 0.002032  &amp; 492.22352  &amp; 4.98984  &amp; 2456.11762  &amp; 0.000407  \\</v>
      </c>
    </row>
    <row r="46" spans="2:6" x14ac:dyDescent="0.25">
      <c r="B46">
        <v>42</v>
      </c>
      <c r="C46" s="17" t="s">
        <v>89</v>
      </c>
      <c r="D46">
        <v>0</v>
      </c>
      <c r="E46" s="18"/>
      <c r="F46" s="16" t="str">
        <f t="shared" si="2"/>
        <v xml:space="preserve">      &amp;   &amp;   &amp; 35 &amp; 0.001693  &amp; 590.66823  &amp; 4.99154  &amp; 2948.34115  &amp; 0.000339  \\</v>
      </c>
    </row>
    <row r="47" spans="2:6" x14ac:dyDescent="0.25">
      <c r="B47">
        <v>43</v>
      </c>
      <c r="C47" s="17" t="s">
        <v>90</v>
      </c>
      <c r="D47">
        <v>0</v>
      </c>
      <c r="E47" s="18"/>
      <c r="F47" s="16" t="str">
        <f t="shared" si="2"/>
        <v xml:space="preserve">      &amp;   &amp;   &amp; 36 &amp; 0.001411  &amp; 708.80187  &amp; 4.99295  &amp; 3539.00937  &amp; 0.000283  \\</v>
      </c>
    </row>
    <row r="48" spans="2:6" x14ac:dyDescent="0.25">
      <c r="B48">
        <v>44</v>
      </c>
      <c r="C48" s="17" t="s">
        <v>91</v>
      </c>
      <c r="D48">
        <v>0</v>
      </c>
      <c r="E48" s="18"/>
      <c r="F48" s="16" t="str">
        <f t="shared" si="2"/>
        <v xml:space="preserve">      &amp;   &amp;   &amp; 37 &amp; 0.001176  &amp; 850.56225  &amp; 4.99412  &amp; 4247.81125  &amp; 0.000235  \\</v>
      </c>
    </row>
    <row r="49" spans="2:6" x14ac:dyDescent="0.25">
      <c r="B49">
        <v>45</v>
      </c>
      <c r="C49" s="17" t="s">
        <v>92</v>
      </c>
      <c r="D49">
        <v>0</v>
      </c>
      <c r="E49" s="18"/>
      <c r="F49" s="16" t="str">
        <f t="shared" si="2"/>
        <v xml:space="preserve">      &amp;   &amp;   &amp; 38 &amp; 0.000980  &amp; 1020.67470  &amp; 4.99510  &amp; 5098.37350  &amp; 0.000196  \\</v>
      </c>
    </row>
    <row r="50" spans="2:6" x14ac:dyDescent="0.25">
      <c r="B50">
        <v>46</v>
      </c>
      <c r="C50" s="17" t="s">
        <v>93</v>
      </c>
      <c r="D50">
        <v>0</v>
      </c>
      <c r="E50" s="18"/>
      <c r="F50" s="16" t="str">
        <f t="shared" si="2"/>
        <v xml:space="preserve">      &amp;   &amp;   &amp; 39 &amp; 0.000816  &amp; 1224.80964  &amp; 4.99592  &amp; 6119.04820  &amp; 0.000163  \\</v>
      </c>
    </row>
    <row r="51" spans="2:6" x14ac:dyDescent="0.25">
      <c r="B51">
        <v>47</v>
      </c>
      <c r="C51" s="17" t="s">
        <v>94</v>
      </c>
      <c r="D51">
        <v>0</v>
      </c>
      <c r="E51" s="18"/>
      <c r="F51" s="16" t="str">
        <f t="shared" si="2"/>
        <v xml:space="preserve">      &amp;   &amp;   &amp; 40 &amp; 0.000680  &amp; 1469.77157  &amp; 4.99660  &amp; 7343.85784  &amp; 0.000136  \\</v>
      </c>
    </row>
    <row r="52" spans="2:6" x14ac:dyDescent="0.25">
      <c r="B52">
        <v>48</v>
      </c>
      <c r="C52" s="17" t="s">
        <v>95</v>
      </c>
      <c r="D52">
        <v>0</v>
      </c>
      <c r="E52" s="18"/>
      <c r="F52" s="16" t="str">
        <f t="shared" si="2"/>
        <v xml:space="preserve">      &amp;   &amp;   &amp; 41 &amp; 0.000567  &amp; 1763.72588  &amp; 4.99717  &amp; 8813.62941  &amp; 0.000113  \\</v>
      </c>
    </row>
    <row r="53" spans="2:6" x14ac:dyDescent="0.25">
      <c r="B53">
        <v>49</v>
      </c>
      <c r="C53" s="17" t="s">
        <v>96</v>
      </c>
      <c r="D53">
        <v>0</v>
      </c>
      <c r="E53" s="18"/>
      <c r="F53" s="16" t="str">
        <f t="shared" si="2"/>
        <v xml:space="preserve">      &amp;   &amp;   &amp; 42 &amp; 0.000472  &amp; 2116.47106  &amp; 4.99764  &amp; 10577.35529  &amp; 0.000095  \\</v>
      </c>
    </row>
    <row r="54" spans="2:6" x14ac:dyDescent="0.25">
      <c r="B54">
        <v>50</v>
      </c>
      <c r="C54" s="17" t="s">
        <v>97</v>
      </c>
      <c r="D54">
        <v>0</v>
      </c>
      <c r="E54" s="18"/>
      <c r="F54" s="16" t="str">
        <f t="shared" si="2"/>
        <v xml:space="preserve">      &amp;   &amp;   &amp; 43 &amp; 0.000394  &amp; 2539.76527  &amp; 4.99803  &amp; 12693.82635  &amp; 0.000079  \\</v>
      </c>
    </row>
    <row r="55" spans="2:6" x14ac:dyDescent="0.25">
      <c r="B55">
        <v>51</v>
      </c>
      <c r="C55" s="17" t="s">
        <v>98</v>
      </c>
      <c r="D55">
        <v>0</v>
      </c>
      <c r="E55" s="18"/>
      <c r="F55" s="16" t="str">
        <f t="shared" si="2"/>
        <v xml:space="preserve">      &amp;   &amp;   &amp; 44 &amp; 0.000328  &amp; 3047.71832  &amp; 4.99836  &amp; 15233.59162  &amp; 0.000066  \\</v>
      </c>
    </row>
    <row r="56" spans="2:6" x14ac:dyDescent="0.25">
      <c r="B56">
        <v>52</v>
      </c>
      <c r="C56" s="17" t="s">
        <v>99</v>
      </c>
      <c r="D56">
        <v>0</v>
      </c>
      <c r="E56" s="18"/>
      <c r="F56" s="16" t="str">
        <f t="shared" si="2"/>
        <v xml:space="preserve">      &amp;   &amp;   &amp; 45 &amp; 0.000273  &amp; 3657.26199  &amp; 4.99863  &amp; 18281.30994  &amp; 0.000055  \\</v>
      </c>
    </row>
    <row r="57" spans="2:6" x14ac:dyDescent="0.25">
      <c r="B57">
        <v>53</v>
      </c>
      <c r="C57" s="17" t="s">
        <v>100</v>
      </c>
      <c r="D57">
        <v>0</v>
      </c>
      <c r="E57" s="18"/>
      <c r="F57" s="16" t="str">
        <f t="shared" si="2"/>
        <v xml:space="preserve">      &amp;   &amp;   &amp; 46 &amp; 0.000228  &amp; 4388.71439  &amp; 4.99886  &amp; 21938.57193  &amp; 0.000046  \\</v>
      </c>
    </row>
    <row r="58" spans="2:6" x14ac:dyDescent="0.25">
      <c r="B58">
        <v>54</v>
      </c>
      <c r="C58" s="17" t="s">
        <v>101</v>
      </c>
      <c r="D58">
        <v>0</v>
      </c>
      <c r="E58" s="18"/>
      <c r="F58" s="16" t="str">
        <f t="shared" si="2"/>
        <v xml:space="preserve">      &amp;   &amp;   &amp; 47 &amp; 0.000190  &amp; 5266.45726  &amp; 4.99905  &amp; 26327.28631  &amp; 0.000038  \\</v>
      </c>
    </row>
    <row r="59" spans="2:6" x14ac:dyDescent="0.25">
      <c r="B59">
        <v>55</v>
      </c>
      <c r="C59" s="17" t="s">
        <v>102</v>
      </c>
      <c r="D59">
        <v>0</v>
      </c>
      <c r="E59" s="18"/>
      <c r="F59" s="16" t="str">
        <f t="shared" si="2"/>
        <v xml:space="preserve">      &amp;   &amp;   &amp; 48 &amp; 0.000158  &amp; 6319.74872  &amp; 4.99921  &amp; 31593.74358  &amp; 0.000032  \\</v>
      </c>
    </row>
    <row r="60" spans="2:6" x14ac:dyDescent="0.25">
      <c r="B60">
        <v>56</v>
      </c>
      <c r="C60" s="17" t="s">
        <v>103</v>
      </c>
      <c r="D60">
        <v>0</v>
      </c>
      <c r="E60" s="18"/>
      <c r="F60" s="16" t="str">
        <f t="shared" si="2"/>
        <v xml:space="preserve">      &amp;   &amp;   &amp; 49 &amp; 0.000132  &amp; 7583.69846  &amp; 4.99934  &amp; 37913.49229  &amp; 0.000026  \\</v>
      </c>
    </row>
    <row r="61" spans="2:6" x14ac:dyDescent="0.25">
      <c r="B61">
        <v>57</v>
      </c>
      <c r="C61" s="17" t="s">
        <v>104</v>
      </c>
      <c r="D61">
        <v>0</v>
      </c>
      <c r="E61" s="18"/>
      <c r="F61" s="16" t="str">
        <f t="shared" si="2"/>
        <v xml:space="preserve">      &amp;   &amp;   &amp; 50 &amp; 0.000110  &amp; 9100.43815  &amp; 4.99945  &amp; 45497.19075  &amp; 0.000022  \\</v>
      </c>
    </row>
    <row r="62" spans="2:6" x14ac:dyDescent="0.25">
      <c r="B62">
        <v>58</v>
      </c>
      <c r="C62" s="17" t="s">
        <v>39</v>
      </c>
      <c r="D62">
        <v>0</v>
      </c>
      <c r="E62" s="25"/>
      <c r="F62" s="16" t="str">
        <f t="shared" si="2"/>
        <v>\cmidrule{4-9}    \end{tabular}%</v>
      </c>
    </row>
    <row r="63" spans="2:6" x14ac:dyDescent="0.25">
      <c r="B63">
        <v>59</v>
      </c>
      <c r="C63" s="17" t="s">
        <v>40</v>
      </c>
      <c r="D63">
        <v>1</v>
      </c>
      <c r="E63" s="18" t="str">
        <f>"\label{tab:"&amp;TEXT(i,"0.000")&amp;"}"</f>
        <v>\label{tab:0.200}</v>
      </c>
      <c r="F63" s="16" t="str">
        <f t="shared" si="2"/>
        <v>\label{tab:0.200}</v>
      </c>
    </row>
    <row r="64" spans="2:6" x14ac:dyDescent="0.25">
      <c r="B64">
        <v>60</v>
      </c>
      <c r="C64" t="s">
        <v>41</v>
      </c>
      <c r="D64">
        <v>1</v>
      </c>
      <c r="E64" s="18" t="s">
        <v>47</v>
      </c>
      <c r="F64" s="16" t="str">
        <f>IF(D63=1,E64,C64)</f>
        <v>\end{table}</v>
      </c>
    </row>
  </sheetData>
  <mergeCells count="1">
    <mergeCell ref="C2:K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Calculation</vt:lpstr>
      <vt:lpstr>LaTeX_Generation</vt:lpstr>
      <vt:lpstr>d</vt:lpstr>
      <vt:lpstr>i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庄源</dc:creator>
  <cp:lastModifiedBy>源 庄</cp:lastModifiedBy>
  <dcterms:created xsi:type="dcterms:W3CDTF">2015-06-05T18:19:34Z</dcterms:created>
  <dcterms:modified xsi:type="dcterms:W3CDTF">2023-12-12T01:26:17Z</dcterms:modified>
</cp:coreProperties>
</file>