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9143F91-502D-4C75-B71E-E95DF3E02F6F}" xr6:coauthVersionLast="47" xr6:coauthVersionMax="47" xr10:uidLastSave="{00000000-0000-0000-0000-000000000000}"/>
  <bookViews>
    <workbookView xWindow="840" yWindow="-108" windowWidth="22308" windowHeight="13176" firstSheet="1" activeTab="1" xr2:uid="{444529A1-29DC-4DFE-9CE2-DABAAAA95CD4}"/>
  </bookViews>
  <sheets>
    <sheet name="全局参数" sheetId="4" r:id="rId1"/>
    <sheet name="表8 累积赔款额流量三角形示例" sheetId="1" r:id="rId2"/>
    <sheet name="表10 累积赔款额的逐年进展因子" sheetId="2" r:id="rId3"/>
    <sheet name="表11 各方法下的累积赔款额流量三角形逐年进展因子" sheetId="3" r:id="rId4"/>
    <sheet name="表12 各方法下的累积赔款额流量三角形最终进展因子" sheetId="5" r:id="rId5"/>
    <sheet name="表13 赔款与最终赔款的估计值（以原始加权平均法为例）" sheetId="6" r:id="rId6"/>
    <sheet name="表14 多种方法下的未决赔款准备金（基于已付赔款数据）" sheetId="7" r:id="rId7"/>
    <sheet name="表15 已报案未决赔款准备金三角形" sheetId="40" r:id="rId8"/>
    <sheet name="表16 累积已报案赔款流量三角形" sheetId="8" r:id="rId9"/>
    <sheet name="表17 各方法下的累积已报案赔款流量三角形逐年进展因子" sheetId="9" r:id="rId10"/>
    <sheet name="表18 各方法下的累积已报案赔款流量三角形最终进展因子" sheetId="10" r:id="rId11"/>
    <sheet name="表19 赔款与最终赔款的估计值（基于已报案赔款数据）" sheetId="11" r:id="rId12"/>
    <sheet name="表20 多种方法下的未决赔款准备金（基于已报案赔款数据）" sheetId="13" r:id="rId13"/>
    <sheet name="表26 赔款次数估计" sheetId="14" r:id="rId14"/>
    <sheet name="表27 年内赔款流量三角形" sheetId="15" r:id="rId15"/>
    <sheet name="表28 年内平均每案赔款支付额流量三角形" sheetId="16" r:id="rId16"/>
    <sheet name="d_h和v_j的计算" sheetId="17" r:id="rId17"/>
    <sheet name="lambda和p的估计" sheetId="18" r:id="rId18"/>
    <sheet name="表29 表30 lambda的预测" sheetId="19" r:id="rId19"/>
    <sheet name="表31 2008年末估计的未决年内赔款支付额" sheetId="20" r:id="rId20"/>
    <sheet name="表32 累积已付赔款次数流量三角形" sheetId="21" r:id="rId21"/>
    <sheet name="表33 已付案均赔款" sheetId="22" r:id="rId22"/>
    <sheet name="表34 逐年进展因子及最终因子的估计" sheetId="23" r:id="rId23"/>
    <sheet name="表35 预测的最终已付案均赔款额" sheetId="25" r:id="rId24"/>
    <sheet name="表36 估计的进展因子及预测的最终已付赔款次数" sheetId="26" r:id="rId25"/>
    <sheet name="表37 最终赔款和未决赔款准备金的估计" sheetId="27" r:id="rId26"/>
    <sheet name="表38 累积已报案赔款次数流量三角形" sheetId="28" r:id="rId27"/>
    <sheet name="表39 已报案案均赔款" sheetId="29" r:id="rId28"/>
    <sheet name="表40 逐年进展因子及最终进展因子的估计" sheetId="30" r:id="rId29"/>
    <sheet name="表41 预测的最终已报案案均赔款" sheetId="31" r:id="rId30"/>
    <sheet name="表42 估计的进展因子及预测的最终已付赔款次数" sheetId="34" r:id="rId31"/>
    <sheet name="表43 最终赔款和未决赔款准备金的估计" sheetId="35" r:id="rId32"/>
    <sheet name="表44 基于已付案均赔款的IBNR准备金评估" sheetId="36" r:id="rId33"/>
    <sheet name="表45 基于已报案赔款数据的IBNR准备金评估" sheetId="37" r:id="rId34"/>
    <sheet name="表46 增量已付赔款流量三角形" sheetId="38" r:id="rId35"/>
    <sheet name="表47 准备金进展率" sheetId="39" r:id="rId36"/>
    <sheet name="表48 准备金支付率" sheetId="41" r:id="rId37"/>
    <sheet name="表49 已报案未决赔款准备金的估计" sheetId="42" r:id="rId38"/>
    <sheet name="表50 未来增量已付赔款额的估计" sheetId="43" r:id="rId39"/>
    <sheet name="表51 未来的累积已付赔款额流量三角形" sheetId="44" r:id="rId40"/>
    <sheet name="表52 准备金进展法下的 IBNR 准备金评估" sheetId="45" r:id="rId41"/>
    <sheet name="表53 已赚保费" sheetId="46" r:id="rId42"/>
    <sheet name="表54 p'的估计值" sheetId="47" r:id="rId43"/>
    <sheet name="表55 预算 IBNR 方法下的 IBNR 准备金的估计结果" sheetId="48" r:id="rId44"/>
    <sheet name="表56 未决赔款准备金和最终赔款的估计值" sheetId="49" r:id="rId45"/>
    <sheet name="表57 未决赔款准备金和最终赔款的估计值" sheetId="50" r:id="rId46"/>
    <sheet name="表58" sheetId="51" r:id="rId47"/>
    <sheet name="表59" sheetId="52" r:id="rId48"/>
    <sheet name="表60" sheetId="53" r:id="rId49"/>
    <sheet name="表61" sheetId="54" r:id="rId50"/>
    <sheet name="表62" sheetId="55" r:id="rId51"/>
    <sheet name="表63" sheetId="56" r:id="rId52"/>
    <sheet name="表65 累积直接理赔费用流量三角形（单位 千元）" sheetId="57" r:id="rId53"/>
    <sheet name="表66 已付 ALAE 逐年进展因子和最终累积进展因子" sheetId="58" r:id="rId54"/>
    <sheet name="表67 最终 ALAE 和 ALAE 准备金的估计值" sheetId="59" r:id="rId55"/>
    <sheet name="表68 最终赔款的估计值" sheetId="60" r:id="rId56"/>
    <sheet name="表69 已付 ALAE 与已付赔款比率三角形" sheetId="61" r:id="rId57"/>
    <sheet name="表70 已付 ALAE 与已付赔款最终比率的估计值" sheetId="62" r:id="rId58"/>
    <sheet name="表71 最终直接理赔费用及最终理赔费用准备金的估计值" sheetId="63" r:id="rId59"/>
    <sheet name="表73 基于报案年的已报案未决赔款准备金" sheetId="64" r:id="rId60"/>
    <sheet name="表74 基于报案年的增量已付赔款" sheetId="65" r:id="rId61"/>
    <sheet name="表75 基于报案年的准备金支付率" sheetId="66" r:id="rId62"/>
    <sheet name="表76 未来准备金支付率的估计值" sheetId="67" r:id="rId63"/>
    <sheet name="表77 基于报案年的已发生已报案未决赔款准备金结转率" sheetId="68" r:id="rId64"/>
    <sheet name="表78 未来准备金结转率的估计值" sheetId="69" r:id="rId65"/>
    <sheet name="表79 准备金进展比率的估计" sheetId="70" r:id="rId66"/>
    <sheet name="表80 各报案年已发生已报案未决赔款准备金的估计" sheetId="71" r:id="rId67"/>
    <sheet name="表81 各报案年已决赔款的估计值" sheetId="72" r:id="rId68"/>
    <sheet name="表82 各报案年未来累积已决赔款的估计值" sheetId="73" r:id="rId69"/>
    <sheet name="表83 已发生已报案未决赔款准备金充足率" sheetId="74" r:id="rId70"/>
    <sheet name="表84 各种评估方法下最终损失的估计值" sheetId="75" r:id="rId71"/>
    <sheet name="表85 各种评估方法下未决赔款准备金的估计值" sheetId="76" r:id="rId72"/>
    <sheet name="表86 已决赔款占最终损失的比例" sheetId="77" r:id="rId73"/>
    <sheet name="表87 已报案赔款占最终损失的比例" sheetId="78" r:id="rId74"/>
    <sheet name="表88 已发生已报案未决赔款准备金占最终损失的比例" sheetId="79" r:id="rId75"/>
    <sheet name="表89 未决赔款准备金占最终损失的比例" sheetId="81" r:id="rId76"/>
    <sheet name="表90 未决赔款准备金需求量与已发生已报案未决赔款准备金的比例" sheetId="82" r:id="rId77"/>
    <sheet name="表91 最终损失与已赚保费的分析" sheetId="80" r:id="rId78"/>
    <sheet name="表92 各事故年在 2009 年的预测已报案赔款" sheetId="83" r:id="rId79"/>
  </sheets>
  <definedNames>
    <definedName name="max_development_year">全局参数!$B$3</definedName>
    <definedName name="min_accident_year">全局参数!$B$4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83" l="1"/>
  <c r="C3" i="83"/>
  <c r="C4" i="83"/>
  <c r="C6" i="83"/>
  <c r="C5" i="83"/>
  <c r="B7" i="83"/>
  <c r="B3" i="83"/>
  <c r="B4" i="83"/>
  <c r="B5" i="83"/>
  <c r="B6" i="83"/>
  <c r="B2" i="83"/>
  <c r="B4" i="82"/>
  <c r="C4" i="82"/>
  <c r="D4" i="82"/>
  <c r="E4" i="82"/>
  <c r="F4" i="82"/>
  <c r="B5" i="82"/>
  <c r="C5" i="82"/>
  <c r="D5" i="82"/>
  <c r="E5" i="82"/>
  <c r="F5" i="82"/>
  <c r="B6" i="82"/>
  <c r="C6" i="82"/>
  <c r="D6" i="82"/>
  <c r="E6" i="82"/>
  <c r="F6" i="82"/>
  <c r="B7" i="82"/>
  <c r="C7" i="82"/>
  <c r="D7" i="82"/>
  <c r="E7" i="82"/>
  <c r="F7" i="82"/>
  <c r="C3" i="82"/>
  <c r="D3" i="82"/>
  <c r="E3" i="82"/>
  <c r="F3" i="82"/>
  <c r="B3" i="82"/>
  <c r="B4" i="81"/>
  <c r="C4" i="81"/>
  <c r="D4" i="81"/>
  <c r="E4" i="81"/>
  <c r="F4" i="81"/>
  <c r="B5" i="81"/>
  <c r="C5" i="81"/>
  <c r="D5" i="81"/>
  <c r="E5" i="81"/>
  <c r="F5" i="81"/>
  <c r="B6" i="81"/>
  <c r="C6" i="81"/>
  <c r="D6" i="81"/>
  <c r="E6" i="81"/>
  <c r="F6" i="81"/>
  <c r="B7" i="81"/>
  <c r="C7" i="81"/>
  <c r="D7" i="81"/>
  <c r="E7" i="81"/>
  <c r="F7" i="81"/>
  <c r="C3" i="81"/>
  <c r="D3" i="81"/>
  <c r="E3" i="81"/>
  <c r="F3" i="81"/>
  <c r="B3" i="81"/>
  <c r="D3" i="80"/>
  <c r="D4" i="80"/>
  <c r="D5" i="80"/>
  <c r="D6" i="80"/>
  <c r="D2" i="80"/>
  <c r="B3" i="80"/>
  <c r="B4" i="80"/>
  <c r="B5" i="80"/>
  <c r="B6" i="80"/>
  <c r="B2" i="80"/>
  <c r="B4" i="79"/>
  <c r="C4" i="79"/>
  <c r="D4" i="79"/>
  <c r="E4" i="79"/>
  <c r="F4" i="79"/>
  <c r="B5" i="79"/>
  <c r="C5" i="79"/>
  <c r="D5" i="79"/>
  <c r="E5" i="79"/>
  <c r="F5" i="79"/>
  <c r="B6" i="79"/>
  <c r="C6" i="79"/>
  <c r="D6" i="79"/>
  <c r="E6" i="79"/>
  <c r="F6" i="79"/>
  <c r="B7" i="79"/>
  <c r="C7" i="79"/>
  <c r="D7" i="79"/>
  <c r="E7" i="79"/>
  <c r="F7" i="79"/>
  <c r="C3" i="79"/>
  <c r="D3" i="79"/>
  <c r="E3" i="79"/>
  <c r="F3" i="79"/>
  <c r="B3" i="79"/>
  <c r="B4" i="78"/>
  <c r="C4" i="78"/>
  <c r="D4" i="78"/>
  <c r="E4" i="78"/>
  <c r="F4" i="78"/>
  <c r="B5" i="78"/>
  <c r="C5" i="78"/>
  <c r="D5" i="78"/>
  <c r="E5" i="78"/>
  <c r="F5" i="78"/>
  <c r="B6" i="78"/>
  <c r="C6" i="78"/>
  <c r="D6" i="78"/>
  <c r="E6" i="78"/>
  <c r="F6" i="78"/>
  <c r="B7" i="78"/>
  <c r="C7" i="78"/>
  <c r="D7" i="78"/>
  <c r="E7" i="78"/>
  <c r="F7" i="78"/>
  <c r="C3" i="78"/>
  <c r="D3" i="78"/>
  <c r="E3" i="78"/>
  <c r="F3" i="78"/>
  <c r="B3" i="78"/>
  <c r="B4" i="77"/>
  <c r="C4" i="77"/>
  <c r="D4" i="77"/>
  <c r="E4" i="77"/>
  <c r="F4" i="77"/>
  <c r="B5" i="77"/>
  <c r="C5" i="77"/>
  <c r="D5" i="77"/>
  <c r="E5" i="77"/>
  <c r="F5" i="77"/>
  <c r="B6" i="77"/>
  <c r="C6" i="77"/>
  <c r="D6" i="77"/>
  <c r="E6" i="77"/>
  <c r="F6" i="77"/>
  <c r="B7" i="77"/>
  <c r="C7" i="77"/>
  <c r="D7" i="77"/>
  <c r="E7" i="77"/>
  <c r="F7" i="77"/>
  <c r="C3" i="77"/>
  <c r="D3" i="77"/>
  <c r="E3" i="77"/>
  <c r="F3" i="77"/>
  <c r="B3" i="77"/>
  <c r="J6" i="76"/>
  <c r="F3" i="76"/>
  <c r="F4" i="76"/>
  <c r="F5" i="76"/>
  <c r="F6" i="76"/>
  <c r="F2" i="76"/>
  <c r="E3" i="76"/>
  <c r="E4" i="76"/>
  <c r="E5" i="76"/>
  <c r="E6" i="76"/>
  <c r="E2" i="76"/>
  <c r="D3" i="76"/>
  <c r="D4" i="76"/>
  <c r="D5" i="76"/>
  <c r="D6" i="76"/>
  <c r="D2" i="76"/>
  <c r="C6" i="76"/>
  <c r="C5" i="76"/>
  <c r="C4" i="76"/>
  <c r="C3" i="76"/>
  <c r="C2" i="76"/>
  <c r="B6" i="76"/>
  <c r="B5" i="76"/>
  <c r="B4" i="76"/>
  <c r="B3" i="76"/>
  <c r="B2" i="76"/>
  <c r="I6" i="76"/>
  <c r="J5" i="76"/>
  <c r="I5" i="76"/>
  <c r="J4" i="76"/>
  <c r="J3" i="76"/>
  <c r="J2" i="76"/>
  <c r="J6" i="75"/>
  <c r="J3" i="75"/>
  <c r="J4" i="75"/>
  <c r="J5" i="75"/>
  <c r="J2" i="75"/>
  <c r="I3" i="75"/>
  <c r="I4" i="75"/>
  <c r="I5" i="75"/>
  <c r="I6" i="75"/>
  <c r="I2" i="75"/>
  <c r="F3" i="75"/>
  <c r="F4" i="75"/>
  <c r="F5" i="75"/>
  <c r="F6" i="75"/>
  <c r="F2" i="75"/>
  <c r="E3" i="75"/>
  <c r="E4" i="75"/>
  <c r="E5" i="75"/>
  <c r="E6" i="75"/>
  <c r="E2" i="75"/>
  <c r="D3" i="75"/>
  <c r="D4" i="75"/>
  <c r="D5" i="75"/>
  <c r="D6" i="75"/>
  <c r="D2" i="75"/>
  <c r="C3" i="75"/>
  <c r="C4" i="75"/>
  <c r="C5" i="75"/>
  <c r="C6" i="75"/>
  <c r="C2" i="75"/>
  <c r="B3" i="75"/>
  <c r="B4" i="75"/>
  <c r="B5" i="75"/>
  <c r="B6" i="75"/>
  <c r="B2" i="75"/>
  <c r="F3" i="74"/>
  <c r="F4" i="74"/>
  <c r="F5" i="74"/>
  <c r="F6" i="74"/>
  <c r="F2" i="74"/>
  <c r="G3" i="74"/>
  <c r="G4" i="74"/>
  <c r="G5" i="74"/>
  <c r="G6" i="74"/>
  <c r="G2" i="74"/>
  <c r="E6" i="74"/>
  <c r="E5" i="74"/>
  <c r="E4" i="74"/>
  <c r="E3" i="74"/>
  <c r="E2" i="74"/>
  <c r="D3" i="74"/>
  <c r="D4" i="74"/>
  <c r="D5" i="74"/>
  <c r="D6" i="74"/>
  <c r="D2" i="74"/>
  <c r="B2" i="74"/>
  <c r="C6" i="74"/>
  <c r="C5" i="74"/>
  <c r="C4" i="74"/>
  <c r="C2" i="74"/>
  <c r="C3" i="74"/>
  <c r="B3" i="74"/>
  <c r="B4" i="74"/>
  <c r="B5" i="74"/>
  <c r="B6" i="74"/>
  <c r="B4" i="73"/>
  <c r="C4" i="73"/>
  <c r="D4" i="73" s="1"/>
  <c r="E4" i="73" s="1"/>
  <c r="F4" i="73" s="1"/>
  <c r="G4" i="73" s="1"/>
  <c r="B5" i="73"/>
  <c r="C5" i="73" s="1"/>
  <c r="D5" i="73" s="1"/>
  <c r="E5" i="73" s="1"/>
  <c r="F5" i="73" s="1"/>
  <c r="G5" i="73" s="1"/>
  <c r="B6" i="73"/>
  <c r="C6" i="73" s="1"/>
  <c r="D6" i="73" s="1"/>
  <c r="E6" i="73" s="1"/>
  <c r="F6" i="73" s="1"/>
  <c r="G6" i="73" s="1"/>
  <c r="B7" i="73"/>
  <c r="C7" i="73" s="1"/>
  <c r="D7" i="73" s="1"/>
  <c r="E7" i="73" s="1"/>
  <c r="F7" i="73" s="1"/>
  <c r="G7" i="73" s="1"/>
  <c r="C3" i="73"/>
  <c r="D3" i="73" s="1"/>
  <c r="E3" i="73" s="1"/>
  <c r="F3" i="73" s="1"/>
  <c r="G3" i="73" s="1"/>
  <c r="B3" i="73"/>
  <c r="G4" i="72"/>
  <c r="G5" i="72"/>
  <c r="G6" i="72"/>
  <c r="G7" i="72"/>
  <c r="G3" i="72"/>
  <c r="B3" i="71"/>
  <c r="F4" i="71"/>
  <c r="G4" i="71" s="1"/>
  <c r="B4" i="72"/>
  <c r="C4" i="72"/>
  <c r="D4" i="72"/>
  <c r="E4" i="72"/>
  <c r="F4" i="72"/>
  <c r="B5" i="72"/>
  <c r="C5" i="72"/>
  <c r="D5" i="72"/>
  <c r="E5" i="72"/>
  <c r="F5" i="72"/>
  <c r="B6" i="72"/>
  <c r="C6" i="72"/>
  <c r="D6" i="72"/>
  <c r="E6" i="72"/>
  <c r="F6" i="72"/>
  <c r="B7" i="72"/>
  <c r="C7" i="72"/>
  <c r="D7" i="72"/>
  <c r="E7" i="72"/>
  <c r="F7" i="72"/>
  <c r="C3" i="72"/>
  <c r="D3" i="72"/>
  <c r="E3" i="72"/>
  <c r="F3" i="72"/>
  <c r="B3" i="72"/>
  <c r="G5" i="71"/>
  <c r="G6" i="71"/>
  <c r="G7" i="71"/>
  <c r="G3" i="71"/>
  <c r="B4" i="71"/>
  <c r="C4" i="71"/>
  <c r="D4" i="71"/>
  <c r="E4" i="71"/>
  <c r="B5" i="71"/>
  <c r="C5" i="71"/>
  <c r="D5" i="71"/>
  <c r="E5" i="71"/>
  <c r="F5" i="71"/>
  <c r="B6" i="71"/>
  <c r="C6" i="71"/>
  <c r="D6" i="71"/>
  <c r="E6" i="71"/>
  <c r="F6" i="71" s="1"/>
  <c r="B7" i="71"/>
  <c r="C7" i="71"/>
  <c r="D7" i="71"/>
  <c r="E7" i="71" s="1"/>
  <c r="F7" i="71" s="1"/>
  <c r="C3" i="71"/>
  <c r="D3" i="71"/>
  <c r="E3" i="71"/>
  <c r="F3" i="71"/>
  <c r="B4" i="70"/>
  <c r="C4" i="70"/>
  <c r="D4" i="70"/>
  <c r="E4" i="70"/>
  <c r="F4" i="70"/>
  <c r="B5" i="70"/>
  <c r="C5" i="70"/>
  <c r="D5" i="70"/>
  <c r="E5" i="70"/>
  <c r="F5" i="70"/>
  <c r="B6" i="70"/>
  <c r="C6" i="70"/>
  <c r="D6" i="70"/>
  <c r="E6" i="70"/>
  <c r="F6" i="70"/>
  <c r="B7" i="70"/>
  <c r="C7" i="70"/>
  <c r="D7" i="70"/>
  <c r="E7" i="70"/>
  <c r="F7" i="70"/>
  <c r="C3" i="70"/>
  <c r="D3" i="70"/>
  <c r="E3" i="70"/>
  <c r="F3" i="70"/>
  <c r="B3" i="70"/>
  <c r="B4" i="68"/>
  <c r="C4" i="68"/>
  <c r="D4" i="68"/>
  <c r="E4" i="68"/>
  <c r="E7" i="68" s="1"/>
  <c r="B5" i="68"/>
  <c r="C5" i="68"/>
  <c r="C7" i="68" s="1"/>
  <c r="D5" i="68"/>
  <c r="D7" i="68" s="1"/>
  <c r="E5" i="68"/>
  <c r="B6" i="68"/>
  <c r="C6" i="68"/>
  <c r="D6" i="68"/>
  <c r="E6" i="68"/>
  <c r="C3" i="68"/>
  <c r="D3" i="68"/>
  <c r="E3" i="68"/>
  <c r="B3" i="68"/>
  <c r="B7" i="68"/>
  <c r="B7" i="67"/>
  <c r="B4" i="67"/>
  <c r="C4" i="67"/>
  <c r="D4" i="67"/>
  <c r="B5" i="67"/>
  <c r="C5" i="67"/>
  <c r="B6" i="67"/>
  <c r="C3" i="67"/>
  <c r="D3" i="67"/>
  <c r="E3" i="67"/>
  <c r="B3" i="67"/>
  <c r="C7" i="66"/>
  <c r="D7" i="66"/>
  <c r="E7" i="66"/>
  <c r="B7" i="66"/>
  <c r="B4" i="66"/>
  <c r="C4" i="66"/>
  <c r="D4" i="66"/>
  <c r="E4" i="66"/>
  <c r="B5" i="66"/>
  <c r="C5" i="66"/>
  <c r="D5" i="66"/>
  <c r="E5" i="66"/>
  <c r="B6" i="66"/>
  <c r="C6" i="66"/>
  <c r="D6" i="66"/>
  <c r="E6" i="66"/>
  <c r="C3" i="66"/>
  <c r="D3" i="66"/>
  <c r="E3" i="66"/>
  <c r="B3" i="66"/>
  <c r="G4" i="63"/>
  <c r="F4" i="63"/>
  <c r="E4" i="63"/>
  <c r="D4" i="63"/>
  <c r="C4" i="63"/>
  <c r="B4" i="63"/>
  <c r="F5" i="62"/>
  <c r="E5" i="62"/>
  <c r="D5" i="62"/>
  <c r="C5" i="62"/>
  <c r="B5" i="62"/>
  <c r="E3" i="62"/>
  <c r="D3" i="62"/>
  <c r="C3" i="62"/>
  <c r="B3" i="62"/>
  <c r="B4" i="61"/>
  <c r="C4" i="61"/>
  <c r="D4" i="61"/>
  <c r="E4" i="61"/>
  <c r="F4" i="61"/>
  <c r="G4" i="61"/>
  <c r="B5" i="61"/>
  <c r="C5" i="61"/>
  <c r="D5" i="61"/>
  <c r="E5" i="61"/>
  <c r="F5" i="61"/>
  <c r="G5" i="61"/>
  <c r="B6" i="61"/>
  <c r="C6" i="61"/>
  <c r="D6" i="61"/>
  <c r="E6" i="61"/>
  <c r="F6" i="61"/>
  <c r="G6" i="61"/>
  <c r="B7" i="61"/>
  <c r="C7" i="61"/>
  <c r="D7" i="61"/>
  <c r="E7" i="61"/>
  <c r="F7" i="61"/>
  <c r="G7" i="61"/>
  <c r="C3" i="61"/>
  <c r="D3" i="61"/>
  <c r="E3" i="61"/>
  <c r="F3" i="61"/>
  <c r="B3" i="61"/>
  <c r="F3" i="60"/>
  <c r="B4" i="60"/>
  <c r="C4" i="60"/>
  <c r="D4" i="60"/>
  <c r="E4" i="60"/>
  <c r="F4" i="60"/>
  <c r="B5" i="60"/>
  <c r="C5" i="60"/>
  <c r="D5" i="60"/>
  <c r="E5" i="60"/>
  <c r="F5" i="60"/>
  <c r="B6" i="60"/>
  <c r="C6" i="60"/>
  <c r="D6" i="60"/>
  <c r="E6" i="60"/>
  <c r="F6" i="60"/>
  <c r="B7" i="60"/>
  <c r="C7" i="60"/>
  <c r="D7" i="60"/>
  <c r="E7" i="60"/>
  <c r="F7" i="60"/>
  <c r="C3" i="60"/>
  <c r="D3" i="60"/>
  <c r="E3" i="60"/>
  <c r="B3" i="60"/>
  <c r="E7" i="59"/>
  <c r="E3" i="59"/>
  <c r="E4" i="59"/>
  <c r="E5" i="59"/>
  <c r="E6" i="59"/>
  <c r="E2" i="59"/>
  <c r="D7" i="59"/>
  <c r="D3" i="59"/>
  <c r="D4" i="59"/>
  <c r="D5" i="59"/>
  <c r="D6" i="59"/>
  <c r="D2" i="59"/>
  <c r="C6" i="59"/>
  <c r="C5" i="59"/>
  <c r="C4" i="59"/>
  <c r="C3" i="59"/>
  <c r="C2" i="59"/>
  <c r="C4" i="58"/>
  <c r="D4" i="58"/>
  <c r="E4" i="58"/>
  <c r="F4" i="58"/>
  <c r="B4" i="58"/>
  <c r="B7" i="59"/>
  <c r="B6" i="59"/>
  <c r="B5" i="59"/>
  <c r="B4" i="59"/>
  <c r="B3" i="59"/>
  <c r="B2" i="59"/>
  <c r="F3" i="58"/>
  <c r="E3" i="58"/>
  <c r="D3" i="58"/>
  <c r="C3" i="58"/>
  <c r="B3" i="58"/>
  <c r="C4" i="56"/>
  <c r="D4" i="56"/>
  <c r="E4" i="56"/>
  <c r="B4" i="56"/>
  <c r="C3" i="56"/>
  <c r="D3" i="56"/>
  <c r="E3" i="56"/>
  <c r="B3" i="56"/>
  <c r="C2" i="56"/>
  <c r="D2" i="56"/>
  <c r="E2" i="56"/>
  <c r="B2" i="56"/>
  <c r="C3" i="55"/>
  <c r="D3" i="55"/>
  <c r="E3" i="55"/>
  <c r="B3" i="55"/>
  <c r="C2" i="55"/>
  <c r="D2" i="55"/>
  <c r="B2" i="55"/>
  <c r="C4" i="54"/>
  <c r="D4" i="54"/>
  <c r="E4" i="54"/>
  <c r="B4" i="54"/>
  <c r="C2" i="54"/>
  <c r="D2" i="54"/>
  <c r="E2" i="54"/>
  <c r="B2" i="54"/>
  <c r="D3" i="53"/>
  <c r="D4" i="53"/>
  <c r="D5" i="53"/>
  <c r="D2" i="53"/>
  <c r="B5" i="53"/>
  <c r="B4" i="53"/>
  <c r="B3" i="53"/>
  <c r="B2" i="53"/>
  <c r="C5" i="53"/>
  <c r="C4" i="53"/>
  <c r="C3" i="53"/>
  <c r="C2" i="53"/>
  <c r="C6" i="52"/>
  <c r="C7" i="52" s="1"/>
  <c r="D6" i="52"/>
  <c r="D7" i="52" s="1"/>
  <c r="B6" i="52"/>
  <c r="B4" i="52"/>
  <c r="C4" i="52"/>
  <c r="D4" i="52"/>
  <c r="B5" i="52"/>
  <c r="C5" i="52"/>
  <c r="D5" i="52"/>
  <c r="C3" i="52"/>
  <c r="D3" i="52"/>
  <c r="B3" i="52"/>
  <c r="F6" i="50"/>
  <c r="E6" i="50"/>
  <c r="D6" i="50"/>
  <c r="C6" i="50"/>
  <c r="B6" i="50"/>
  <c r="D4" i="50"/>
  <c r="C4" i="50"/>
  <c r="E4" i="50"/>
  <c r="F4" i="50"/>
  <c r="B4" i="50"/>
  <c r="C2" i="50"/>
  <c r="D2" i="50"/>
  <c r="E2" i="50"/>
  <c r="F2" i="50"/>
  <c r="B2" i="50"/>
  <c r="F4" i="49"/>
  <c r="E4" i="49"/>
  <c r="D4" i="49"/>
  <c r="C4" i="49"/>
  <c r="B4" i="49"/>
  <c r="F2" i="49"/>
  <c r="E2" i="49"/>
  <c r="D2" i="49"/>
  <c r="C2" i="49"/>
  <c r="B2" i="49"/>
  <c r="C4" i="48"/>
  <c r="D4" i="48"/>
  <c r="E4" i="48"/>
  <c r="F4" i="48"/>
  <c r="B4" i="48"/>
  <c r="C2" i="48"/>
  <c r="D2" i="48"/>
  <c r="E2" i="48"/>
  <c r="F2" i="48"/>
  <c r="B2" i="48"/>
  <c r="G3" i="45"/>
  <c r="G4" i="45"/>
  <c r="G5" i="45"/>
  <c r="G6" i="45"/>
  <c r="G2" i="45"/>
  <c r="E3" i="45"/>
  <c r="E4" i="45"/>
  <c r="E5" i="45"/>
  <c r="E6" i="45"/>
  <c r="E2" i="45"/>
  <c r="D6" i="45"/>
  <c r="D5" i="45"/>
  <c r="D5" i="42"/>
  <c r="D4" i="45"/>
  <c r="D6" i="42"/>
  <c r="E6" i="43" s="1"/>
  <c r="F6" i="45"/>
  <c r="C6" i="45"/>
  <c r="C5" i="45"/>
  <c r="C4" i="45"/>
  <c r="B6" i="45"/>
  <c r="B4" i="44"/>
  <c r="C4" i="44"/>
  <c r="D4" i="44" s="1"/>
  <c r="B5" i="44"/>
  <c r="C5" i="44" s="1"/>
  <c r="D5" i="44" s="1"/>
  <c r="B6" i="44"/>
  <c r="C6" i="44" s="1"/>
  <c r="D6" i="44" s="1"/>
  <c r="B7" i="44"/>
  <c r="C7" i="44" s="1"/>
  <c r="D7" i="44" s="1"/>
  <c r="E7" i="44" s="1"/>
  <c r="F7" i="44" s="1"/>
  <c r="C3" i="44"/>
  <c r="D3" i="44"/>
  <c r="B3" i="44"/>
  <c r="B4" i="43"/>
  <c r="C4" i="43"/>
  <c r="D4" i="43"/>
  <c r="E4" i="43"/>
  <c r="B5" i="43"/>
  <c r="C5" i="43"/>
  <c r="D5" i="43"/>
  <c r="B6" i="43"/>
  <c r="C6" i="43"/>
  <c r="D6" i="43"/>
  <c r="B7" i="43"/>
  <c r="C7" i="43"/>
  <c r="D7" i="43"/>
  <c r="E7" i="43"/>
  <c r="F7" i="43"/>
  <c r="C3" i="43"/>
  <c r="D3" i="43"/>
  <c r="E3" i="43"/>
  <c r="E3" i="44" s="1"/>
  <c r="F3" i="43"/>
  <c r="B3" i="43"/>
  <c r="B3" i="42"/>
  <c r="B4" i="42"/>
  <c r="C4" i="42"/>
  <c r="E4" i="42"/>
  <c r="D3" i="42" s="1"/>
  <c r="B5" i="42"/>
  <c r="C5" i="42"/>
  <c r="B6" i="42"/>
  <c r="C6" i="42"/>
  <c r="B7" i="42"/>
  <c r="C7" i="42"/>
  <c r="D7" i="42"/>
  <c r="E7" i="42" s="1"/>
  <c r="F7" i="42" s="1"/>
  <c r="C3" i="42"/>
  <c r="E3" i="42"/>
  <c r="F3" i="42"/>
  <c r="D2" i="45" s="1"/>
  <c r="B4" i="41"/>
  <c r="C4" i="41"/>
  <c r="D4" i="41"/>
  <c r="E4" i="41"/>
  <c r="E7" i="41" s="1"/>
  <c r="B5" i="41"/>
  <c r="C5" i="41"/>
  <c r="D5" i="41"/>
  <c r="E5" i="41"/>
  <c r="B6" i="41"/>
  <c r="C6" i="41"/>
  <c r="D6" i="41"/>
  <c r="E6" i="41"/>
  <c r="C3" i="41"/>
  <c r="D3" i="41"/>
  <c r="E3" i="41"/>
  <c r="B3" i="41"/>
  <c r="D7" i="41"/>
  <c r="B7" i="41"/>
  <c r="B4" i="39"/>
  <c r="C4" i="39"/>
  <c r="D4" i="39"/>
  <c r="E4" i="39"/>
  <c r="B5" i="39"/>
  <c r="C5" i="39"/>
  <c r="D5" i="39"/>
  <c r="E5" i="39"/>
  <c r="B6" i="39"/>
  <c r="C6" i="39"/>
  <c r="D6" i="39"/>
  <c r="E6" i="39"/>
  <c r="C3" i="39"/>
  <c r="D3" i="39"/>
  <c r="D7" i="39" s="1"/>
  <c r="E3" i="39"/>
  <c r="B3" i="39"/>
  <c r="B7" i="39" s="1"/>
  <c r="B4" i="38"/>
  <c r="C4" i="38"/>
  <c r="D4" i="38"/>
  <c r="E4" i="38"/>
  <c r="F4" i="38"/>
  <c r="B5" i="38"/>
  <c r="C5" i="38"/>
  <c r="D5" i="38"/>
  <c r="E5" i="38"/>
  <c r="F5" i="38"/>
  <c r="B6" i="38"/>
  <c r="C6" i="38"/>
  <c r="D6" i="38"/>
  <c r="E6" i="38"/>
  <c r="F6" i="38"/>
  <c r="B7" i="38"/>
  <c r="C7" i="38"/>
  <c r="D7" i="38"/>
  <c r="E7" i="38"/>
  <c r="F7" i="38"/>
  <c r="C3" i="38"/>
  <c r="D3" i="38"/>
  <c r="E3" i="38"/>
  <c r="F3" i="38"/>
  <c r="B3" i="38"/>
  <c r="B3" i="37"/>
  <c r="B4" i="37"/>
  <c r="F4" i="37" s="1"/>
  <c r="B5" i="37"/>
  <c r="B6" i="37"/>
  <c r="B2" i="37"/>
  <c r="F2" i="37" s="1"/>
  <c r="D7" i="37"/>
  <c r="E6" i="37"/>
  <c r="C6" i="37"/>
  <c r="G6" i="37"/>
  <c r="E5" i="37"/>
  <c r="C5" i="37"/>
  <c r="G5" i="37"/>
  <c r="E4" i="37"/>
  <c r="C4" i="37"/>
  <c r="C3" i="37"/>
  <c r="G3" i="37" s="1"/>
  <c r="F3" i="37"/>
  <c r="G2" i="37"/>
  <c r="C2" i="37"/>
  <c r="C7" i="37" s="1"/>
  <c r="E3" i="36"/>
  <c r="E7" i="36" s="1"/>
  <c r="E4" i="36"/>
  <c r="E5" i="36"/>
  <c r="E6" i="36"/>
  <c r="E2" i="36"/>
  <c r="G3" i="36"/>
  <c r="G4" i="36"/>
  <c r="G5" i="36"/>
  <c r="G6" i="36"/>
  <c r="G2" i="36"/>
  <c r="D7" i="36"/>
  <c r="F7" i="36"/>
  <c r="F3" i="36"/>
  <c r="F4" i="36"/>
  <c r="F5" i="36"/>
  <c r="F6" i="36"/>
  <c r="F2" i="36"/>
  <c r="C7" i="36"/>
  <c r="B7" i="36"/>
  <c r="C6" i="36"/>
  <c r="C5" i="36"/>
  <c r="C4" i="36"/>
  <c r="C3" i="36"/>
  <c r="C2" i="36"/>
  <c r="B3" i="36"/>
  <c r="B4" i="36"/>
  <c r="B5" i="36"/>
  <c r="B6" i="36"/>
  <c r="B2" i="36"/>
  <c r="E2" i="35"/>
  <c r="D2" i="35"/>
  <c r="D6" i="35"/>
  <c r="E6" i="35" s="1"/>
  <c r="D5" i="35"/>
  <c r="E5" i="35" s="1"/>
  <c r="D4" i="35"/>
  <c r="E4" i="35" s="1"/>
  <c r="D3" i="35"/>
  <c r="E3" i="35" s="1"/>
  <c r="C4" i="34"/>
  <c r="D6" i="34"/>
  <c r="E6" i="34"/>
  <c r="F6" i="34"/>
  <c r="F4" i="34"/>
  <c r="F5" i="34" s="1"/>
  <c r="E4" i="34"/>
  <c r="D4" i="34"/>
  <c r="B4" i="34"/>
  <c r="F3" i="34"/>
  <c r="E3" i="34"/>
  <c r="D3" i="34"/>
  <c r="B3" i="34"/>
  <c r="C3" i="34"/>
  <c r="C3" i="30"/>
  <c r="C3" i="31" s="1"/>
  <c r="C4" i="31" s="1"/>
  <c r="D3" i="30"/>
  <c r="E3" i="30"/>
  <c r="E3" i="31" s="1"/>
  <c r="F3" i="30"/>
  <c r="B3" i="30"/>
  <c r="B3" i="31" s="1"/>
  <c r="B4" i="31" s="1"/>
  <c r="F4" i="31"/>
  <c r="F2" i="31"/>
  <c r="E2" i="31"/>
  <c r="D2" i="31"/>
  <c r="D4" i="31" s="1"/>
  <c r="C2" i="31"/>
  <c r="B2" i="31"/>
  <c r="D3" i="31"/>
  <c r="F3" i="31"/>
  <c r="F2" i="30"/>
  <c r="E2" i="30"/>
  <c r="D2" i="30"/>
  <c r="C2" i="30"/>
  <c r="B2" i="30"/>
  <c r="B4" i="29"/>
  <c r="C4" i="29"/>
  <c r="D4" i="29"/>
  <c r="E4" i="29"/>
  <c r="F4" i="29"/>
  <c r="G4" i="29"/>
  <c r="B5" i="29"/>
  <c r="C5" i="29"/>
  <c r="D5" i="29"/>
  <c r="E5" i="29"/>
  <c r="F5" i="29"/>
  <c r="G5" i="29"/>
  <c r="B6" i="29"/>
  <c r="C6" i="29"/>
  <c r="D6" i="29"/>
  <c r="E6" i="29"/>
  <c r="F6" i="29"/>
  <c r="G6" i="29"/>
  <c r="B7" i="29"/>
  <c r="C7" i="29"/>
  <c r="D7" i="29"/>
  <c r="E7" i="29"/>
  <c r="F7" i="29"/>
  <c r="G7" i="29"/>
  <c r="C3" i="29"/>
  <c r="D3" i="29"/>
  <c r="E3" i="29"/>
  <c r="F3" i="29"/>
  <c r="G3" i="29"/>
  <c r="B3" i="29"/>
  <c r="E7" i="27"/>
  <c r="E2" i="27"/>
  <c r="E6" i="27"/>
  <c r="E5" i="27"/>
  <c r="E4" i="27"/>
  <c r="E3" i="27"/>
  <c r="D3" i="27"/>
  <c r="D4" i="27"/>
  <c r="D5" i="27"/>
  <c r="D6" i="27"/>
  <c r="D2" i="27"/>
  <c r="D6" i="26"/>
  <c r="C6" i="26"/>
  <c r="E6" i="26"/>
  <c r="F6" i="26"/>
  <c r="B6" i="26"/>
  <c r="F4" i="26"/>
  <c r="E4" i="26"/>
  <c r="D4" i="26"/>
  <c r="C4" i="26"/>
  <c r="B4" i="26"/>
  <c r="F5" i="26"/>
  <c r="F3" i="26"/>
  <c r="E3" i="26"/>
  <c r="D3" i="26"/>
  <c r="C3" i="26"/>
  <c r="B3" i="26"/>
  <c r="F4" i="25"/>
  <c r="C4" i="25"/>
  <c r="D4" i="25"/>
  <c r="E4" i="25"/>
  <c r="B4" i="25"/>
  <c r="C3" i="25"/>
  <c r="D3" i="25"/>
  <c r="E3" i="25"/>
  <c r="F3" i="25"/>
  <c r="B3" i="25"/>
  <c r="F2" i="25"/>
  <c r="E2" i="25"/>
  <c r="D2" i="25"/>
  <c r="C2" i="25"/>
  <c r="B2" i="25"/>
  <c r="F2" i="23"/>
  <c r="E3" i="23" s="1"/>
  <c r="E2" i="23"/>
  <c r="D2" i="23"/>
  <c r="C2" i="23"/>
  <c r="B2" i="23"/>
  <c r="F3" i="23"/>
  <c r="G3" i="22"/>
  <c r="B4" i="22"/>
  <c r="C4" i="22"/>
  <c r="D4" i="22"/>
  <c r="E4" i="22"/>
  <c r="F4" i="22"/>
  <c r="B5" i="22"/>
  <c r="C5" i="22"/>
  <c r="D5" i="22"/>
  <c r="E5" i="22"/>
  <c r="F5" i="22"/>
  <c r="B6" i="22"/>
  <c r="C6" i="22"/>
  <c r="D6" i="22"/>
  <c r="E6" i="22"/>
  <c r="F6" i="22"/>
  <c r="B7" i="22"/>
  <c r="C7" i="22"/>
  <c r="D7" i="22"/>
  <c r="E7" i="22"/>
  <c r="F7" i="22"/>
  <c r="C3" i="22"/>
  <c r="D3" i="22"/>
  <c r="E3" i="22"/>
  <c r="F3" i="22"/>
  <c r="B3" i="22"/>
  <c r="B9" i="20"/>
  <c r="C4" i="20"/>
  <c r="D4" i="20"/>
  <c r="E4" i="20"/>
  <c r="F4" i="20"/>
  <c r="G4" i="20"/>
  <c r="C5" i="20"/>
  <c r="D5" i="20"/>
  <c r="E5" i="20"/>
  <c r="F5" i="20"/>
  <c r="G5" i="20"/>
  <c r="C6" i="20"/>
  <c r="D6" i="20"/>
  <c r="E6" i="20"/>
  <c r="F6" i="20"/>
  <c r="G6" i="20"/>
  <c r="C7" i="20"/>
  <c r="D7" i="20"/>
  <c r="E7" i="20"/>
  <c r="F7" i="20"/>
  <c r="G7" i="20"/>
  <c r="D3" i="20"/>
  <c r="E3" i="20"/>
  <c r="F3" i="20"/>
  <c r="G3" i="20"/>
  <c r="C3" i="20"/>
  <c r="B4" i="20"/>
  <c r="B5" i="20"/>
  <c r="B6" i="20"/>
  <c r="B7" i="20"/>
  <c r="B3" i="20"/>
  <c r="B6" i="19"/>
  <c r="B5" i="19"/>
  <c r="H2" i="19"/>
  <c r="I2" i="19"/>
  <c r="J2" i="19"/>
  <c r="G2" i="19"/>
  <c r="C3" i="19"/>
  <c r="D3" i="19"/>
  <c r="E3" i="19"/>
  <c r="F3" i="19"/>
  <c r="B3" i="19"/>
  <c r="B2" i="19"/>
  <c r="C2" i="19"/>
  <c r="D2" i="19"/>
  <c r="E2" i="19"/>
  <c r="F2" i="19"/>
  <c r="D4" i="18"/>
  <c r="C4" i="18"/>
  <c r="C5" i="18" s="1"/>
  <c r="B4" i="18"/>
  <c r="B5" i="18" s="1"/>
  <c r="C3" i="18"/>
  <c r="D3" i="18"/>
  <c r="E3" i="18"/>
  <c r="F3" i="18"/>
  <c r="B3" i="18"/>
  <c r="B2" i="18"/>
  <c r="C2" i="18"/>
  <c r="D2" i="18"/>
  <c r="E2" i="18"/>
  <c r="F2" i="18"/>
  <c r="F2" i="17"/>
  <c r="E2" i="17"/>
  <c r="D2" i="17"/>
  <c r="C2" i="17"/>
  <c r="B2" i="17"/>
  <c r="B4" i="16"/>
  <c r="C4" i="16"/>
  <c r="D4" i="16"/>
  <c r="E4" i="16"/>
  <c r="F4" i="16"/>
  <c r="F3" i="17" s="1"/>
  <c r="B5" i="16"/>
  <c r="C5" i="16"/>
  <c r="D5" i="16"/>
  <c r="E5" i="16"/>
  <c r="F5" i="16"/>
  <c r="B6" i="16"/>
  <c r="C6" i="16"/>
  <c r="D6" i="16"/>
  <c r="E6" i="16"/>
  <c r="F6" i="16"/>
  <c r="B7" i="16"/>
  <c r="C7" i="16"/>
  <c r="D7" i="16"/>
  <c r="E7" i="16"/>
  <c r="F7" i="16"/>
  <c r="C3" i="16"/>
  <c r="D3" i="16"/>
  <c r="E3" i="16"/>
  <c r="F3" i="16"/>
  <c r="B3" i="16"/>
  <c r="B3" i="17" s="1"/>
  <c r="E3" i="17"/>
  <c r="B4" i="15"/>
  <c r="C4" i="15"/>
  <c r="D4" i="15"/>
  <c r="E4" i="15"/>
  <c r="F4" i="15"/>
  <c r="B5" i="15"/>
  <c r="C5" i="15"/>
  <c r="D5" i="15"/>
  <c r="E5" i="15"/>
  <c r="F5" i="15"/>
  <c r="B6" i="15"/>
  <c r="C6" i="15"/>
  <c r="D6" i="15"/>
  <c r="E6" i="15"/>
  <c r="F6" i="15"/>
  <c r="B7" i="15"/>
  <c r="C7" i="15"/>
  <c r="D7" i="15"/>
  <c r="E7" i="15"/>
  <c r="F7" i="15"/>
  <c r="C3" i="15"/>
  <c r="D3" i="15"/>
  <c r="E3" i="15"/>
  <c r="F3" i="15"/>
  <c r="B3" i="15"/>
  <c r="D10" i="13"/>
  <c r="E10" i="13"/>
  <c r="F10" i="13"/>
  <c r="G10" i="13"/>
  <c r="C10" i="13"/>
  <c r="C4" i="13"/>
  <c r="D4" i="13"/>
  <c r="E4" i="13"/>
  <c r="F4" i="13"/>
  <c r="G4" i="13"/>
  <c r="B4" i="11"/>
  <c r="C4" i="11"/>
  <c r="D4" i="11"/>
  <c r="E4" i="11"/>
  <c r="F3" i="13" s="1"/>
  <c r="B5" i="11"/>
  <c r="C5" i="11"/>
  <c r="D5" i="11"/>
  <c r="E3" i="13" s="1"/>
  <c r="B6" i="11"/>
  <c r="C6" i="11"/>
  <c r="D3" i="13" s="1"/>
  <c r="B7" i="11"/>
  <c r="C3" i="13" s="1"/>
  <c r="C3" i="11"/>
  <c r="D3" i="11"/>
  <c r="E3" i="11"/>
  <c r="F3" i="11"/>
  <c r="G3" i="13" s="1"/>
  <c r="B3" i="11"/>
  <c r="B5" i="10"/>
  <c r="C5" i="10"/>
  <c r="D5" i="10"/>
  <c r="E5" i="10"/>
  <c r="F5" i="10"/>
  <c r="C3" i="10"/>
  <c r="D3" i="10"/>
  <c r="E3" i="10"/>
  <c r="F3" i="10"/>
  <c r="B3" i="10"/>
  <c r="C7" i="9"/>
  <c r="D7" i="9"/>
  <c r="E7" i="9"/>
  <c r="F7" i="9"/>
  <c r="F7" i="10" s="1"/>
  <c r="G16" i="13" s="1"/>
  <c r="B7" i="9"/>
  <c r="C6" i="9"/>
  <c r="D6" i="9"/>
  <c r="E6" i="9"/>
  <c r="F6" i="9"/>
  <c r="F6" i="10" s="1"/>
  <c r="G13" i="13" s="1"/>
  <c r="B6" i="9"/>
  <c r="C4" i="9"/>
  <c r="D4" i="9"/>
  <c r="E4" i="9"/>
  <c r="F4" i="9"/>
  <c r="F4" i="10" s="1"/>
  <c r="G7" i="13" s="1"/>
  <c r="B4" i="9"/>
  <c r="C5" i="9"/>
  <c r="D5" i="9"/>
  <c r="E5" i="9"/>
  <c r="F5" i="9"/>
  <c r="B5" i="9"/>
  <c r="B12" i="9"/>
  <c r="C12" i="9"/>
  <c r="D12" i="9"/>
  <c r="E12" i="9"/>
  <c r="F12" i="9"/>
  <c r="F3" i="9" s="1"/>
  <c r="B13" i="9"/>
  <c r="C13" i="9"/>
  <c r="D13" i="9"/>
  <c r="E13" i="9"/>
  <c r="F13" i="9"/>
  <c r="B14" i="9"/>
  <c r="C14" i="9"/>
  <c r="D14" i="9"/>
  <c r="D3" i="9" s="1"/>
  <c r="E14" i="9"/>
  <c r="F14" i="9"/>
  <c r="C11" i="9"/>
  <c r="C3" i="9" s="1"/>
  <c r="D11" i="9"/>
  <c r="E11" i="9"/>
  <c r="F11" i="9"/>
  <c r="B11" i="9"/>
  <c r="D9" i="7"/>
  <c r="E9" i="7"/>
  <c r="F9" i="7"/>
  <c r="G9" i="7"/>
  <c r="C9" i="7"/>
  <c r="D3" i="7"/>
  <c r="E3" i="7"/>
  <c r="F3" i="7"/>
  <c r="G3" i="7"/>
  <c r="C3" i="7"/>
  <c r="B4" i="6"/>
  <c r="C4" i="6"/>
  <c r="D4" i="6"/>
  <c r="E4" i="6"/>
  <c r="F2" i="7" s="1"/>
  <c r="F2" i="13" s="1"/>
  <c r="B5" i="6"/>
  <c r="C5" i="6"/>
  <c r="D5" i="6"/>
  <c r="B6" i="6"/>
  <c r="C6" i="6"/>
  <c r="D2" i="7" s="1"/>
  <c r="D2" i="13" s="1"/>
  <c r="B7" i="6"/>
  <c r="C2" i="7" s="1"/>
  <c r="C2" i="13" s="1"/>
  <c r="C3" i="6"/>
  <c r="D3" i="6"/>
  <c r="E3" i="6"/>
  <c r="F3" i="6"/>
  <c r="B3" i="6"/>
  <c r="B4" i="2"/>
  <c r="C4" i="2"/>
  <c r="D4" i="2"/>
  <c r="E4" i="2"/>
  <c r="F4" i="2"/>
  <c r="F6" i="3" s="1"/>
  <c r="B5" i="2"/>
  <c r="B6" i="3" s="1"/>
  <c r="C5" i="2"/>
  <c r="D5" i="2"/>
  <c r="D3" i="3" s="1"/>
  <c r="E5" i="2"/>
  <c r="E6" i="3" s="1"/>
  <c r="F5" i="2"/>
  <c r="B6" i="2"/>
  <c r="C6" i="2"/>
  <c r="D6" i="2"/>
  <c r="E6" i="2"/>
  <c r="F6" i="2"/>
  <c r="C3" i="2"/>
  <c r="D3" i="2"/>
  <c r="E3" i="2"/>
  <c r="F3" i="2"/>
  <c r="B3" i="2"/>
  <c r="C7" i="3"/>
  <c r="D7" i="3"/>
  <c r="E7" i="3"/>
  <c r="F7" i="3"/>
  <c r="F7" i="5" s="1"/>
  <c r="G15" i="7" s="1"/>
  <c r="B7" i="3"/>
  <c r="C6" i="3"/>
  <c r="C5" i="3"/>
  <c r="C4" i="3"/>
  <c r="D4" i="3"/>
  <c r="E4" i="3"/>
  <c r="F4" i="3"/>
  <c r="F4" i="5" s="1"/>
  <c r="G6" i="7" s="1"/>
  <c r="B4" i="3"/>
  <c r="C7" i="6" s="1"/>
  <c r="D7" i="6" s="1"/>
  <c r="C3" i="3"/>
  <c r="C7" i="83" l="1"/>
  <c r="I4" i="76"/>
  <c r="I3" i="76"/>
  <c r="I2" i="76"/>
  <c r="F3" i="47"/>
  <c r="F4" i="47" s="1"/>
  <c r="F5" i="48" s="1"/>
  <c r="F6" i="48" s="1"/>
  <c r="F3" i="49" s="1"/>
  <c r="F5" i="49" s="1"/>
  <c r="F6" i="49" s="1"/>
  <c r="F5" i="50"/>
  <c r="F7" i="50" s="1"/>
  <c r="F8" i="50" s="1"/>
  <c r="B7" i="52"/>
  <c r="D4" i="42"/>
  <c r="E6" i="42"/>
  <c r="F6" i="42" s="1"/>
  <c r="E6" i="44"/>
  <c r="F6" i="43"/>
  <c r="F6" i="44" s="1"/>
  <c r="B5" i="45" s="1"/>
  <c r="F5" i="45" s="1"/>
  <c r="E5" i="43"/>
  <c r="E5" i="44" s="1"/>
  <c r="E5" i="42"/>
  <c r="F3" i="44"/>
  <c r="B2" i="45" s="1"/>
  <c r="F4" i="42"/>
  <c r="F4" i="43"/>
  <c r="D3" i="45"/>
  <c r="D7" i="45" s="1"/>
  <c r="E4" i="44"/>
  <c r="E7" i="45"/>
  <c r="C7" i="41"/>
  <c r="E7" i="39"/>
  <c r="C7" i="39"/>
  <c r="G4" i="37"/>
  <c r="G7" i="37"/>
  <c r="E3" i="37"/>
  <c r="F6" i="37"/>
  <c r="B7" i="37"/>
  <c r="E2" i="37"/>
  <c r="E7" i="37" s="1"/>
  <c r="F5" i="37"/>
  <c r="F7" i="37" s="1"/>
  <c r="G7" i="36"/>
  <c r="E7" i="35"/>
  <c r="D7" i="35"/>
  <c r="D5" i="34"/>
  <c r="B5" i="34"/>
  <c r="B6" i="34" s="1"/>
  <c r="C5" i="34"/>
  <c r="C6" i="34" s="1"/>
  <c r="E5" i="34"/>
  <c r="E4" i="31"/>
  <c r="D7" i="27"/>
  <c r="E5" i="26"/>
  <c r="C5" i="26"/>
  <c r="D5" i="26"/>
  <c r="B5" i="26"/>
  <c r="D3" i="23"/>
  <c r="C3" i="23"/>
  <c r="B3" i="23"/>
  <c r="B4" i="10"/>
  <c r="B7" i="10"/>
  <c r="C16" i="13" s="1"/>
  <c r="D3" i="17"/>
  <c r="C3" i="17"/>
  <c r="D6" i="10"/>
  <c r="E13" i="13" s="1"/>
  <c r="E4" i="10"/>
  <c r="D4" i="10"/>
  <c r="C6" i="10"/>
  <c r="D13" i="13" s="1"/>
  <c r="C4" i="10"/>
  <c r="E7" i="10"/>
  <c r="F16" i="13" s="1"/>
  <c r="B6" i="10"/>
  <c r="C13" i="13" s="1"/>
  <c r="D7" i="10"/>
  <c r="E16" i="13" s="1"/>
  <c r="C7" i="10"/>
  <c r="D16" i="13" s="1"/>
  <c r="E4" i="5"/>
  <c r="E6" i="10"/>
  <c r="F13" i="13" s="1"/>
  <c r="D6" i="11"/>
  <c r="E6" i="11" s="1"/>
  <c r="F6" i="11" s="1"/>
  <c r="G6" i="11" s="1"/>
  <c r="E11" i="13"/>
  <c r="G5" i="13"/>
  <c r="G11" i="13"/>
  <c r="E7" i="5"/>
  <c r="C7" i="11"/>
  <c r="D7" i="11" s="1"/>
  <c r="E7" i="11" s="1"/>
  <c r="F7" i="11" s="1"/>
  <c r="G7" i="11" s="1"/>
  <c r="F4" i="11"/>
  <c r="G4" i="11" s="1"/>
  <c r="G17" i="13"/>
  <c r="G3" i="11"/>
  <c r="E5" i="11"/>
  <c r="F5" i="11" s="1"/>
  <c r="G5" i="11" s="1"/>
  <c r="D5" i="13"/>
  <c r="D6" i="13" s="1"/>
  <c r="H3" i="13"/>
  <c r="E5" i="13"/>
  <c r="C11" i="13"/>
  <c r="C12" i="13" s="1"/>
  <c r="C5" i="13"/>
  <c r="C6" i="13" s="1"/>
  <c r="F5" i="13"/>
  <c r="F6" i="13" s="1"/>
  <c r="D11" i="13"/>
  <c r="D12" i="13" s="1"/>
  <c r="G8" i="13"/>
  <c r="F11" i="13"/>
  <c r="F12" i="13" s="1"/>
  <c r="E7" i="6"/>
  <c r="F7" i="6" s="1"/>
  <c r="G7" i="6" s="1"/>
  <c r="G7" i="60" s="1"/>
  <c r="B2" i="63" s="1"/>
  <c r="E5" i="6"/>
  <c r="F5" i="6" s="1"/>
  <c r="G5" i="6" s="1"/>
  <c r="G5" i="60" s="1"/>
  <c r="D2" i="63" s="1"/>
  <c r="E2" i="7"/>
  <c r="E2" i="13" s="1"/>
  <c r="G3" i="6"/>
  <c r="G3" i="60" s="1"/>
  <c r="B3" i="9"/>
  <c r="E3" i="9"/>
  <c r="D6" i="6"/>
  <c r="E6" i="6" s="1"/>
  <c r="F6" i="6" s="1"/>
  <c r="G6" i="6" s="1"/>
  <c r="G6" i="60" s="1"/>
  <c r="C2" i="63" s="1"/>
  <c r="F4" i="6"/>
  <c r="G4" i="6" s="1"/>
  <c r="G4" i="60" s="1"/>
  <c r="E2" i="63" s="1"/>
  <c r="D7" i="5"/>
  <c r="D4" i="5"/>
  <c r="D5" i="50" s="1"/>
  <c r="D7" i="50" s="1"/>
  <c r="D8" i="50" s="1"/>
  <c r="C4" i="5"/>
  <c r="C5" i="50" s="1"/>
  <c r="C7" i="50" s="1"/>
  <c r="C8" i="50" s="1"/>
  <c r="C7" i="5"/>
  <c r="G2" i="7"/>
  <c r="G7" i="7" s="1"/>
  <c r="G8" i="7" s="1"/>
  <c r="C4" i="7"/>
  <c r="F4" i="7"/>
  <c r="F5" i="7" s="1"/>
  <c r="C10" i="7"/>
  <c r="D4" i="7"/>
  <c r="D5" i="7" s="1"/>
  <c r="F10" i="7"/>
  <c r="F11" i="7" s="1"/>
  <c r="D10" i="7"/>
  <c r="D11" i="7" s="1"/>
  <c r="F3" i="3"/>
  <c r="F3" i="5" s="1"/>
  <c r="D5" i="3"/>
  <c r="C5" i="5" s="1"/>
  <c r="E3" i="3"/>
  <c r="E3" i="5" s="1"/>
  <c r="F5" i="3"/>
  <c r="F5" i="5" s="1"/>
  <c r="E5" i="3"/>
  <c r="B3" i="3"/>
  <c r="D6" i="3"/>
  <c r="B5" i="3"/>
  <c r="B7" i="5"/>
  <c r="B4" i="5"/>
  <c r="B5" i="50" s="1"/>
  <c r="B7" i="50" s="1"/>
  <c r="B8" i="50" s="1"/>
  <c r="E5" i="5"/>
  <c r="F6" i="5"/>
  <c r="F2" i="63" l="1"/>
  <c r="G3" i="61"/>
  <c r="F3" i="62" s="1"/>
  <c r="E7" i="13"/>
  <c r="D3" i="47"/>
  <c r="D4" i="47" s="1"/>
  <c r="D5" i="48" s="1"/>
  <c r="D6" i="48" s="1"/>
  <c r="D3" i="49" s="1"/>
  <c r="D5" i="49" s="1"/>
  <c r="D6" i="49" s="1"/>
  <c r="G2" i="63"/>
  <c r="F6" i="7"/>
  <c r="F7" i="7" s="1"/>
  <c r="F8" i="7" s="1"/>
  <c r="E5" i="50"/>
  <c r="E7" i="50" s="1"/>
  <c r="E8" i="50" s="1"/>
  <c r="D7" i="13"/>
  <c r="D8" i="13" s="1"/>
  <c r="D9" i="13" s="1"/>
  <c r="C3" i="47"/>
  <c r="C4" i="47" s="1"/>
  <c r="C5" i="48" s="1"/>
  <c r="C6" i="48" s="1"/>
  <c r="C3" i="49" s="1"/>
  <c r="C5" i="49" s="1"/>
  <c r="C6" i="49" s="1"/>
  <c r="C7" i="13"/>
  <c r="B3" i="47"/>
  <c r="B4" i="47" s="1"/>
  <c r="B5" i="48" s="1"/>
  <c r="B6" i="48" s="1"/>
  <c r="B3" i="49" s="1"/>
  <c r="B5" i="49" s="1"/>
  <c r="B6" i="49" s="1"/>
  <c r="F7" i="13"/>
  <c r="F8" i="13" s="1"/>
  <c r="F9" i="13" s="1"/>
  <c r="E3" i="47"/>
  <c r="E4" i="47" s="1"/>
  <c r="E5" i="48" s="1"/>
  <c r="E6" i="48" s="1"/>
  <c r="E3" i="49" s="1"/>
  <c r="E5" i="49" s="1"/>
  <c r="E6" i="49" s="1"/>
  <c r="C2" i="45"/>
  <c r="F2" i="45" s="1"/>
  <c r="F5" i="42"/>
  <c r="F5" i="43"/>
  <c r="F5" i="44" s="1"/>
  <c r="B4" i="45" s="1"/>
  <c r="F4" i="45" s="1"/>
  <c r="F4" i="44"/>
  <c r="B3" i="45" s="1"/>
  <c r="C3" i="45"/>
  <c r="G7" i="45"/>
  <c r="E10" i="7"/>
  <c r="E11" i="7" s="1"/>
  <c r="E6" i="13"/>
  <c r="E12" i="13"/>
  <c r="G16" i="7"/>
  <c r="G17" i="7" s="1"/>
  <c r="G2" i="13"/>
  <c r="G12" i="13" s="1"/>
  <c r="D15" i="7"/>
  <c r="D16" i="7" s="1"/>
  <c r="D17" i="7" s="1"/>
  <c r="D17" i="13"/>
  <c r="D18" i="13" s="1"/>
  <c r="F15" i="7"/>
  <c r="F16" i="7" s="1"/>
  <c r="F17" i="7" s="1"/>
  <c r="F17" i="13"/>
  <c r="F18" i="13" s="1"/>
  <c r="G12" i="7"/>
  <c r="G13" i="7" s="1"/>
  <c r="G14" i="7" s="1"/>
  <c r="G14" i="13"/>
  <c r="D6" i="7"/>
  <c r="D7" i="7" s="1"/>
  <c r="D8" i="7" s="1"/>
  <c r="E4" i="7"/>
  <c r="E5" i="7" s="1"/>
  <c r="E6" i="7"/>
  <c r="E7" i="7" s="1"/>
  <c r="E8" i="7" s="1"/>
  <c r="E8" i="13"/>
  <c r="E9" i="13" s="1"/>
  <c r="C15" i="7"/>
  <c r="C16" i="7" s="1"/>
  <c r="C17" i="7" s="1"/>
  <c r="C17" i="13"/>
  <c r="C18" i="13" s="1"/>
  <c r="C6" i="7"/>
  <c r="C7" i="7" s="1"/>
  <c r="C8" i="7" s="1"/>
  <c r="C8" i="13"/>
  <c r="C9" i="13" s="1"/>
  <c r="E15" i="7"/>
  <c r="E16" i="7" s="1"/>
  <c r="E17" i="13"/>
  <c r="E18" i="13" s="1"/>
  <c r="H5" i="13"/>
  <c r="H11" i="13"/>
  <c r="G10" i="7"/>
  <c r="G11" i="7" s="1"/>
  <c r="G4" i="7"/>
  <c r="G5" i="7" s="1"/>
  <c r="H2" i="7"/>
  <c r="H2" i="13" s="1"/>
  <c r="C5" i="7"/>
  <c r="C11" i="7"/>
  <c r="D5" i="5"/>
  <c r="B3" i="5"/>
  <c r="C6" i="5"/>
  <c r="D6" i="5"/>
  <c r="E6" i="5"/>
  <c r="B5" i="5"/>
  <c r="C3" i="5"/>
  <c r="D3" i="5"/>
  <c r="B6" i="5"/>
  <c r="D4" i="62" l="1"/>
  <c r="D6" i="62" s="1"/>
  <c r="D3" i="63" s="1"/>
  <c r="D5" i="63" s="1"/>
  <c r="D6" i="63" s="1"/>
  <c r="E4" i="62"/>
  <c r="E6" i="62" s="1"/>
  <c r="E3" i="63" s="1"/>
  <c r="E5" i="63" s="1"/>
  <c r="E6" i="63" s="1"/>
  <c r="F4" i="62"/>
  <c r="F6" i="62" s="1"/>
  <c r="F3" i="63" s="1"/>
  <c r="F5" i="63" s="1"/>
  <c r="F6" i="63" s="1"/>
  <c r="B4" i="62"/>
  <c r="B6" i="62" s="1"/>
  <c r="B3" i="63" s="1"/>
  <c r="B5" i="63" s="1"/>
  <c r="C4" i="62"/>
  <c r="C6" i="62" s="1"/>
  <c r="C3" i="63" s="1"/>
  <c r="C5" i="63" s="1"/>
  <c r="C6" i="63" s="1"/>
  <c r="F3" i="45"/>
  <c r="F7" i="45" s="1"/>
  <c r="C7" i="45"/>
  <c r="B7" i="45"/>
  <c r="G18" i="13"/>
  <c r="G15" i="13"/>
  <c r="E17" i="7"/>
  <c r="H16" i="7"/>
  <c r="H17" i="7" s="1"/>
  <c r="H12" i="13"/>
  <c r="G6" i="13"/>
  <c r="H6" i="13"/>
  <c r="G9" i="13"/>
  <c r="H10" i="7"/>
  <c r="H11" i="7" s="1"/>
  <c r="H8" i="13"/>
  <c r="H9" i="13" s="1"/>
  <c r="C12" i="7"/>
  <c r="C13" i="7" s="1"/>
  <c r="C14" i="7" s="1"/>
  <c r="C14" i="13"/>
  <c r="C15" i="13" s="1"/>
  <c r="H17" i="13"/>
  <c r="H18" i="13" s="1"/>
  <c r="F12" i="7"/>
  <c r="F13" i="7" s="1"/>
  <c r="F14" i="7" s="1"/>
  <c r="F14" i="13"/>
  <c r="F15" i="13" s="1"/>
  <c r="D12" i="7"/>
  <c r="D13" i="7" s="1"/>
  <c r="D14" i="7" s="1"/>
  <c r="D14" i="13"/>
  <c r="D15" i="13" s="1"/>
  <c r="H4" i="7"/>
  <c r="H5" i="7" s="1"/>
  <c r="E12" i="7"/>
  <c r="E13" i="7" s="1"/>
  <c r="E14" i="7" s="1"/>
  <c r="E14" i="13"/>
  <c r="E15" i="13" s="1"/>
  <c r="H7" i="7"/>
  <c r="H8" i="7" s="1"/>
  <c r="B6" i="63" l="1"/>
  <c r="G5" i="63"/>
  <c r="G6" i="63" s="1"/>
  <c r="H13" i="7"/>
  <c r="H14" i="7" s="1"/>
  <c r="H14" i="13"/>
  <c r="H15" i="13" s="1"/>
  <c r="D5" i="18" l="1"/>
  <c r="E4" i="18" l="1"/>
  <c r="E5" i="18" l="1"/>
  <c r="F4" i="18" s="1"/>
  <c r="F5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庄源</author>
  </authors>
  <commentList>
    <comment ref="D6" authorId="0" shapeId="0" xr:uid="{5FD8C6BE-9407-4EBD-A1C4-DA11F2337B5A}">
      <text>
        <r>
          <rPr>
            <b/>
            <sz val="9"/>
            <color indexed="81"/>
            <rFont val="宋体"/>
            <family val="3"/>
            <charset val="134"/>
          </rPr>
          <t>庄源:</t>
        </r>
        <r>
          <rPr>
            <sz val="9"/>
            <color indexed="81"/>
            <rFont val="宋体"/>
            <family val="3"/>
            <charset val="134"/>
          </rPr>
          <t xml:space="preserve">
由于EXCEL的ROUND函数的特性，这里使用了CEILING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庄源</author>
  </authors>
  <commentList>
    <comment ref="B2" authorId="0" shapeId="0" xr:uid="{34EEE16E-CE4C-4AFC-B90B-C3E0620349E0}">
      <text>
        <r>
          <rPr>
            <b/>
            <sz val="9"/>
            <color indexed="81"/>
            <rFont val="宋体"/>
            <family val="3"/>
            <charset val="134"/>
          </rPr>
          <t>庄源:</t>
        </r>
        <r>
          <rPr>
            <sz val="9"/>
            <color indexed="81"/>
            <rFont val="宋体"/>
            <family val="3"/>
            <charset val="134"/>
          </rPr>
          <t xml:space="preserve">
如表77有算出，则使用表77数据。如为未来准备金支付率，则表78新增了数据。这个未来准备金结转率并未使用链梯法。</t>
        </r>
      </text>
    </comment>
    <comment ref="F2" authorId="0" shapeId="0" xr:uid="{98D82609-6897-4341-94A0-922A4DDE1968}">
      <text>
        <r>
          <rPr>
            <b/>
            <sz val="9"/>
            <color indexed="81"/>
            <rFont val="宋体"/>
            <family val="3"/>
            <charset val="134"/>
          </rPr>
          <t>庄源:</t>
        </r>
        <r>
          <rPr>
            <sz val="9"/>
            <color indexed="81"/>
            <rFont val="宋体"/>
            <family val="3"/>
            <charset val="134"/>
          </rPr>
          <t xml:space="preserve">
最终，所有案件都已赔付，不存在已报案未决赔款准备金。因而最终结转率为0。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庄源</author>
  </authors>
  <commentList>
    <comment ref="B2" authorId="0" shapeId="0" xr:uid="{390B9D2A-E529-4F3C-A652-3DEFE1489C85}">
      <text>
        <r>
          <rPr>
            <b/>
            <sz val="9"/>
            <color indexed="81"/>
            <rFont val="宋体"/>
            <family val="3"/>
            <charset val="134"/>
          </rPr>
          <t>庄源:</t>
        </r>
        <r>
          <rPr>
            <sz val="9"/>
            <color indexed="81"/>
            <rFont val="宋体"/>
            <family val="3"/>
            <charset val="134"/>
          </rPr>
          <t xml:space="preserve">
如表77有算出，则使用表77数据。如为未来准备金支付率，则表78新增了数据。这个未来准备金结转率并未使用链梯法。</t>
        </r>
      </text>
    </comment>
    <comment ref="F2" authorId="0" shapeId="0" xr:uid="{C20287DF-4479-4972-A104-9A838CCB0853}">
      <text>
        <r>
          <rPr>
            <b/>
            <sz val="9"/>
            <color indexed="81"/>
            <rFont val="宋体"/>
            <family val="3"/>
            <charset val="134"/>
          </rPr>
          <t>庄源:</t>
        </r>
        <r>
          <rPr>
            <sz val="9"/>
            <color indexed="81"/>
            <rFont val="宋体"/>
            <family val="3"/>
            <charset val="134"/>
          </rPr>
          <t xml:space="preserve">
最终，所有案件都已赔付，不存在已报案未决赔款准备金。因而最终结转率为0。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庄源</author>
  </authors>
  <commentList>
    <comment ref="G1" authorId="0" shapeId="0" xr:uid="{E7EF1558-8D37-43B7-B38C-B195BAB911B3}">
      <text>
        <r>
          <rPr>
            <b/>
            <sz val="9"/>
            <color indexed="81"/>
            <rFont val="宋体"/>
            <family val="3"/>
            <charset val="134"/>
          </rPr>
          <t>庄源:</t>
        </r>
        <r>
          <rPr>
            <sz val="9"/>
            <color indexed="81"/>
            <rFont val="宋体"/>
            <family val="3"/>
            <charset val="134"/>
          </rPr>
          <t xml:space="preserve">
从表56处复制</t>
        </r>
      </text>
    </comment>
    <comment ref="H1" authorId="0" shapeId="0" xr:uid="{EC8E75CC-89D5-4CA0-843A-E5529583D17C}">
      <text>
        <r>
          <rPr>
            <b/>
            <sz val="9"/>
            <color indexed="81"/>
            <rFont val="宋体"/>
            <family val="3"/>
            <charset val="134"/>
          </rPr>
          <t>庄源:</t>
        </r>
        <r>
          <rPr>
            <sz val="9"/>
            <color indexed="81"/>
            <rFont val="宋体"/>
            <family val="3"/>
            <charset val="134"/>
          </rPr>
          <t xml:space="preserve">
从表57处复制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庄源</author>
  </authors>
  <commentList>
    <comment ref="B1" authorId="0" shapeId="0" xr:uid="{225264DE-E28B-4321-813D-5DC3411AD9AD}">
      <text>
        <r>
          <rPr>
            <b/>
            <sz val="9"/>
            <color indexed="81"/>
            <rFont val="宋体"/>
            <family val="3"/>
            <charset val="134"/>
          </rPr>
          <t>庄源:</t>
        </r>
        <r>
          <rPr>
            <sz val="9"/>
            <color indexed="81"/>
            <rFont val="宋体"/>
            <family val="3"/>
            <charset val="134"/>
          </rPr>
          <t xml:space="preserve">
复制自表14。</t>
        </r>
      </text>
    </comment>
    <comment ref="C1" authorId="0" shapeId="0" xr:uid="{9ACF6861-FC17-4117-AF47-D021F03BCBF4}">
      <text>
        <r>
          <rPr>
            <b/>
            <sz val="9"/>
            <color indexed="81"/>
            <rFont val="宋体"/>
            <family val="3"/>
            <charset val="134"/>
          </rPr>
          <t>庄源:</t>
        </r>
        <r>
          <rPr>
            <sz val="9"/>
            <color indexed="81"/>
            <rFont val="宋体"/>
            <family val="3"/>
            <charset val="134"/>
          </rPr>
          <t xml:space="preserve">
复制自表20。</t>
        </r>
      </text>
    </comment>
    <comment ref="G1" authorId="0" shapeId="0" xr:uid="{EB876509-8C0A-4F90-A362-997408950C3C}">
      <text>
        <r>
          <rPr>
            <b/>
            <sz val="9"/>
            <color indexed="81"/>
            <rFont val="宋体"/>
            <family val="3"/>
            <charset val="134"/>
          </rPr>
          <t>庄源:</t>
        </r>
        <r>
          <rPr>
            <sz val="9"/>
            <color indexed="81"/>
            <rFont val="宋体"/>
            <family val="3"/>
            <charset val="134"/>
          </rPr>
          <t xml:space="preserve">
从表56处复制。</t>
        </r>
      </text>
    </comment>
    <comment ref="H1" authorId="0" shapeId="0" xr:uid="{825AF167-FC97-41A0-A7E0-6B9F57CAD8AE}">
      <text>
        <r>
          <rPr>
            <b/>
            <sz val="9"/>
            <color indexed="81"/>
            <rFont val="宋体"/>
            <family val="3"/>
            <charset val="134"/>
          </rPr>
          <t>庄源:</t>
        </r>
        <r>
          <rPr>
            <sz val="9"/>
            <color indexed="81"/>
            <rFont val="宋体"/>
            <family val="3"/>
            <charset val="134"/>
          </rPr>
          <t xml:space="preserve">
从表57处复制。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庄源</author>
  </authors>
  <commentList>
    <comment ref="B1" authorId="0" shapeId="0" xr:uid="{029FCB35-57BB-4F66-8167-AD9612E3FEFC}">
      <text>
        <r>
          <rPr>
            <b/>
            <sz val="9"/>
            <color indexed="81"/>
            <rFont val="宋体"/>
            <family val="3"/>
            <charset val="134"/>
          </rPr>
          <t>庄源:</t>
        </r>
        <r>
          <rPr>
            <sz val="9"/>
            <color indexed="81"/>
            <rFont val="宋体"/>
            <family val="3"/>
            <charset val="134"/>
          </rPr>
          <t xml:space="preserve">
从表35复制过来</t>
        </r>
      </text>
    </comment>
    <comment ref="C1" authorId="0" shapeId="0" xr:uid="{BC6BA639-BE51-47F2-9DDB-7913FAFCE831}">
      <text>
        <r>
          <rPr>
            <b/>
            <sz val="9"/>
            <color indexed="81"/>
            <rFont val="宋体"/>
            <family val="3"/>
            <charset val="134"/>
          </rPr>
          <t>庄源:</t>
        </r>
        <r>
          <rPr>
            <sz val="9"/>
            <color indexed="81"/>
            <rFont val="宋体"/>
            <family val="3"/>
            <charset val="134"/>
          </rPr>
          <t xml:space="preserve">
从表36复制过来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庄源</author>
  </authors>
  <commentList>
    <comment ref="B1" authorId="0" shapeId="0" xr:uid="{592C0D91-C8D8-4F1C-9EB8-C2FFFFAF8B8A}">
      <text>
        <r>
          <rPr>
            <b/>
            <sz val="9"/>
            <color indexed="81"/>
            <rFont val="宋体"/>
            <family val="3"/>
            <charset val="134"/>
          </rPr>
          <t>庄源:</t>
        </r>
        <r>
          <rPr>
            <sz val="9"/>
            <color indexed="81"/>
            <rFont val="宋体"/>
            <family val="3"/>
            <charset val="134"/>
          </rPr>
          <t xml:space="preserve">
从表41复制过来</t>
        </r>
      </text>
    </comment>
    <comment ref="C1" authorId="0" shapeId="0" xr:uid="{C33B4E91-AE79-4A04-B1E9-619B1C0228D9}">
      <text>
        <r>
          <rPr>
            <b/>
            <sz val="9"/>
            <color indexed="81"/>
            <rFont val="宋体"/>
            <family val="3"/>
            <charset val="134"/>
          </rPr>
          <t>庄源:</t>
        </r>
        <r>
          <rPr>
            <sz val="9"/>
            <color indexed="81"/>
            <rFont val="宋体"/>
            <family val="3"/>
            <charset val="134"/>
          </rPr>
          <t xml:space="preserve">
从表42复制过来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庄源</author>
  </authors>
  <commentList>
    <comment ref="D1" authorId="0" shapeId="0" xr:uid="{9B439EAD-A8EF-4AAD-B7FC-82DFF3CA05E3}">
      <text>
        <r>
          <rPr>
            <b/>
            <sz val="9"/>
            <color indexed="81"/>
            <rFont val="宋体"/>
            <family val="3"/>
            <charset val="134"/>
          </rPr>
          <t>庄源:</t>
        </r>
        <r>
          <rPr>
            <sz val="9"/>
            <color indexed="81"/>
            <rFont val="宋体"/>
            <family val="3"/>
            <charset val="134"/>
          </rPr>
          <t xml:space="preserve">
在表21中已经给出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庄源</author>
  </authors>
  <commentList>
    <comment ref="D1" authorId="0" shapeId="0" xr:uid="{F985B12B-8BA7-4E6D-AFCC-2FB51238F26C}">
      <text>
        <r>
          <rPr>
            <b/>
            <sz val="9"/>
            <color indexed="81"/>
            <rFont val="宋体"/>
            <family val="3"/>
            <charset val="134"/>
          </rPr>
          <t>庄源:</t>
        </r>
        <r>
          <rPr>
            <sz val="9"/>
            <color indexed="81"/>
            <rFont val="宋体"/>
            <family val="3"/>
            <charset val="134"/>
          </rPr>
          <t xml:space="preserve">
在表21中已经给出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庄源</author>
  </authors>
  <commentList>
    <comment ref="A3" authorId="0" shapeId="0" xr:uid="{CA04285F-3692-4EA0-94FD-AB3E2D0E7E10}">
      <text>
        <r>
          <rPr>
            <b/>
            <sz val="9"/>
            <color indexed="81"/>
            <rFont val="宋体"/>
            <family val="3"/>
            <charset val="134"/>
          </rPr>
          <t>庄源:</t>
        </r>
        <r>
          <rPr>
            <sz val="9"/>
            <color indexed="81"/>
            <rFont val="宋体"/>
            <family val="3"/>
            <charset val="134"/>
          </rPr>
          <t xml:space="preserve">
书中规定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庄源</author>
  </authors>
  <commentList>
    <comment ref="A3" authorId="0" shapeId="0" xr:uid="{7B1DA115-FF8C-4D62-9DC3-73B14E7AEAC1}">
      <text>
        <r>
          <rPr>
            <b/>
            <sz val="9"/>
            <color indexed="81"/>
            <rFont val="宋体"/>
            <family val="3"/>
            <charset val="134"/>
          </rPr>
          <t>庄源:</t>
        </r>
        <r>
          <rPr>
            <sz val="9"/>
            <color indexed="81"/>
            <rFont val="宋体"/>
            <family val="3"/>
            <charset val="134"/>
          </rPr>
          <t xml:space="preserve">
题目中已规定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庄源</author>
  </authors>
  <commentList>
    <comment ref="A3" authorId="0" shapeId="0" xr:uid="{D6B75D5E-61C7-402F-8649-49BD11887250}">
      <text>
        <r>
          <rPr>
            <b/>
            <sz val="9"/>
            <color indexed="81"/>
            <rFont val="宋体"/>
            <family val="3"/>
            <charset val="134"/>
          </rPr>
          <t>庄源:</t>
        </r>
        <r>
          <rPr>
            <sz val="9"/>
            <color indexed="81"/>
            <rFont val="宋体"/>
            <family val="3"/>
            <charset val="134"/>
          </rPr>
          <t xml:space="preserve">
题目规定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庄源</author>
  </authors>
  <commentList>
    <comment ref="B2" authorId="0" shapeId="0" xr:uid="{1AD4DAC2-5D4B-482A-9452-4CEAE55397C2}">
      <text>
        <r>
          <rPr>
            <b/>
            <sz val="9"/>
            <color indexed="81"/>
            <rFont val="宋体"/>
            <family val="3"/>
            <charset val="134"/>
          </rPr>
          <t>庄源:</t>
        </r>
        <r>
          <rPr>
            <sz val="9"/>
            <color indexed="81"/>
            <rFont val="宋体"/>
            <family val="3"/>
            <charset val="134"/>
          </rPr>
          <t xml:space="preserve">
如表75有算出，则使用表75数据。如为未来准备金支付率，则表76新增了数据。这个未来准备金支付率并未使用链梯法。</t>
        </r>
      </text>
    </comment>
    <comment ref="F2" authorId="0" shapeId="0" xr:uid="{67A509E1-A997-4767-BF36-57AC202C42AC}">
      <text>
        <r>
          <rPr>
            <b/>
            <sz val="9"/>
            <color indexed="81"/>
            <rFont val="宋体"/>
            <family val="3"/>
            <charset val="134"/>
          </rPr>
          <t>庄源:</t>
        </r>
        <r>
          <rPr>
            <sz val="9"/>
            <color indexed="81"/>
            <rFont val="宋体"/>
            <family val="3"/>
            <charset val="134"/>
          </rPr>
          <t xml:space="preserve">
最终，已报案未决赔款准备金将全部转化为最终的赔款。</t>
        </r>
      </text>
    </comment>
  </commentList>
</comments>
</file>

<file path=xl/sharedStrings.xml><?xml version="1.0" encoding="utf-8"?>
<sst xmlns="http://schemas.openxmlformats.org/spreadsheetml/2006/main" count="552" uniqueCount="156">
  <si>
    <t xml:space="preserve">事故年 </t>
  </si>
  <si>
    <t xml:space="preserve">进展年 </t>
  </si>
  <si>
    <t>估计的总赔款额</t>
  </si>
  <si>
    <t xml:space="preserve">用于 2008 年末
估计的未决赔款 </t>
  </si>
  <si>
    <t>0-1</t>
    <phoneticPr fontId="3" type="noConversion"/>
  </si>
  <si>
    <t>1-2</t>
    <phoneticPr fontId="3" type="noConversion"/>
  </si>
  <si>
    <t>2-3</t>
    <phoneticPr fontId="3" type="noConversion"/>
  </si>
  <si>
    <t>3-4</t>
    <phoneticPr fontId="3" type="noConversion"/>
  </si>
  <si>
    <t>4-∞</t>
    <phoneticPr fontId="3" type="noConversion"/>
  </si>
  <si>
    <t xml:space="preserve">简单算术平均法 </t>
  </si>
  <si>
    <t xml:space="preserve">原始加权平均法 </t>
  </si>
  <si>
    <t xml:space="preserve">几何平均法 </t>
  </si>
  <si>
    <t xml:space="preserve">近三年简单算术平均法 </t>
  </si>
  <si>
    <t xml:space="preserve">近三年原始加权平均法 </t>
  </si>
  <si>
    <t>无穷大前最后一个进展年</t>
    <phoneticPr fontId="3" type="noConversion"/>
  </si>
  <si>
    <t>第一个事故年</t>
    <phoneticPr fontId="3" type="noConversion"/>
  </si>
  <si>
    <t>0-∞</t>
    <phoneticPr fontId="3" type="noConversion"/>
  </si>
  <si>
    <t>1-∞</t>
    <phoneticPr fontId="3" type="noConversion"/>
  </si>
  <si>
    <t>2-∞</t>
    <phoneticPr fontId="3" type="noConversion"/>
  </si>
  <si>
    <t>3-∞</t>
    <phoneticPr fontId="3" type="noConversion"/>
  </si>
  <si>
    <t>估计的总赔款额</t>
    <phoneticPr fontId="3" type="noConversion"/>
  </si>
  <si>
    <t>总额</t>
  </si>
  <si>
    <t xml:space="preserve">已付赔款 </t>
  </si>
  <si>
    <t>简单算术
平均法</t>
  </si>
  <si>
    <t xml:space="preserve">最终进展因子 </t>
  </si>
  <si>
    <t xml:space="preserve">最终赔款 </t>
  </si>
  <si>
    <t xml:space="preserve">未决赔款 </t>
  </si>
  <si>
    <t>原始加权
平均法</t>
  </si>
  <si>
    <t>几何平均法</t>
  </si>
  <si>
    <t>近三年简单
算术平均法</t>
  </si>
  <si>
    <t>近三年原始
加权平均法</t>
  </si>
  <si>
    <t xml:space="preserve">已报案赔款 </t>
    <phoneticPr fontId="3" type="noConversion"/>
  </si>
  <si>
    <t>已付赔款</t>
    <phoneticPr fontId="3" type="noConversion"/>
  </si>
  <si>
    <t>赔案次数</t>
    <phoneticPr fontId="3" type="noConversion"/>
  </si>
  <si>
    <t>事故年</t>
    <phoneticPr fontId="3" type="noConversion"/>
  </si>
  <si>
    <t>d</t>
    <phoneticPr fontId="3" type="noConversion"/>
  </si>
  <si>
    <t>v</t>
    <phoneticPr fontId="3" type="noConversion"/>
  </si>
  <si>
    <t>lambda</t>
    <phoneticPr fontId="3" type="noConversion"/>
  </si>
  <si>
    <t>p</t>
    <phoneticPr fontId="3" type="noConversion"/>
  </si>
  <si>
    <t>斜率</t>
    <phoneticPr fontId="3" type="noConversion"/>
  </si>
  <si>
    <t>截距</t>
    <phoneticPr fontId="3" type="noConversion"/>
  </si>
  <si>
    <t>赔款次数</t>
    <phoneticPr fontId="3" type="noConversion"/>
  </si>
  <si>
    <t xml:space="preserve">事故年 </t>
    <phoneticPr fontId="3" type="noConversion"/>
  </si>
  <si>
    <t>最终赔款次数</t>
    <phoneticPr fontId="3" type="noConversion"/>
  </si>
  <si>
    <t>最终已付案均赔款</t>
    <phoneticPr fontId="3" type="noConversion"/>
  </si>
  <si>
    <t>未决赔款准备金</t>
    <phoneticPr fontId="3" type="noConversion"/>
  </si>
  <si>
    <t>逐年进展因子</t>
    <phoneticPr fontId="3" type="noConversion"/>
  </si>
  <si>
    <t>进展年</t>
    <phoneticPr fontId="3" type="noConversion"/>
  </si>
  <si>
    <t>最终进展因子</t>
    <phoneticPr fontId="3" type="noConversion"/>
  </si>
  <si>
    <t>最终已付案均赔款额</t>
    <phoneticPr fontId="3" type="noConversion"/>
  </si>
  <si>
    <t xml:space="preserve">2008年 </t>
    <phoneticPr fontId="3" type="noConversion"/>
  </si>
  <si>
    <t xml:space="preserve">2007年 </t>
    <phoneticPr fontId="3" type="noConversion"/>
  </si>
  <si>
    <t xml:space="preserve">2006年 </t>
    <phoneticPr fontId="3" type="noConversion"/>
  </si>
  <si>
    <t xml:space="preserve">2005年 </t>
    <phoneticPr fontId="3" type="noConversion"/>
  </si>
  <si>
    <t>2004年</t>
    <phoneticPr fontId="3" type="noConversion"/>
  </si>
  <si>
    <t>2008年末的已付案均赔款额</t>
    <phoneticPr fontId="3" type="noConversion"/>
  </si>
  <si>
    <t xml:space="preserve">0-1 </t>
    <phoneticPr fontId="3" type="noConversion"/>
  </si>
  <si>
    <t xml:space="preserve">1-2 </t>
    <phoneticPr fontId="3" type="noConversion"/>
  </si>
  <si>
    <t xml:space="preserve">2-3 </t>
    <phoneticPr fontId="3" type="noConversion"/>
  </si>
  <si>
    <t xml:space="preserve">3-4 </t>
    <phoneticPr fontId="3" type="noConversion"/>
  </si>
  <si>
    <t>已付赔款次数</t>
    <phoneticPr fontId="3" type="noConversion"/>
  </si>
  <si>
    <t>预测的最终已付
赔款次数</t>
  </si>
  <si>
    <t>预测的最终已付赔款次数</t>
    <phoneticPr fontId="3" type="noConversion"/>
  </si>
  <si>
    <t>预测的最终已付
案均赔款额</t>
  </si>
  <si>
    <t>最终赔款
的估计值</t>
  </si>
  <si>
    <t>未决赔款准备金
的估计值</t>
  </si>
  <si>
    <t>总计</t>
    <phoneticPr fontId="3" type="noConversion"/>
  </si>
  <si>
    <t>2008年末的已报案案均赔款额</t>
    <phoneticPr fontId="3" type="noConversion"/>
  </si>
  <si>
    <t>最终已报案案均赔款额</t>
    <phoneticPr fontId="3" type="noConversion"/>
  </si>
  <si>
    <t>已报案赔款次数</t>
    <phoneticPr fontId="3" type="noConversion"/>
  </si>
  <si>
    <t>预测的最终已报案赔款次数</t>
    <phoneticPr fontId="3" type="noConversion"/>
  </si>
  <si>
    <t>事故年</t>
  </si>
  <si>
    <t>PC</t>
  </si>
  <si>
    <t>RV</t>
  </si>
  <si>
    <t>RL</t>
  </si>
  <si>
    <t>CV</t>
  </si>
  <si>
    <t>IBNR</t>
  </si>
  <si>
    <t>LU</t>
    <phoneticPr fontId="3" type="noConversion"/>
  </si>
  <si>
    <t>合计</t>
    <phoneticPr fontId="3" type="noConversion"/>
  </si>
  <si>
    <t>平均值</t>
    <phoneticPr fontId="3" type="noConversion"/>
  </si>
  <si>
    <t>已赚保费</t>
  </si>
  <si>
    <t>原始加权平均法f</t>
    <phoneticPr fontId="3" type="noConversion"/>
  </si>
  <si>
    <t>p'</t>
    <phoneticPr fontId="3" type="noConversion"/>
  </si>
  <si>
    <r>
      <t xml:space="preserve">已赚保费
</t>
    </r>
    <r>
      <rPr>
        <i/>
        <sz val="12"/>
        <color rgb="FF000000"/>
        <rFont val="宋体"/>
        <family val="3"/>
        <charset val="134"/>
        <scheme val="major"/>
      </rPr>
      <t>EP</t>
    </r>
  </si>
  <si>
    <t>期望最终
赔款 Bult</t>
  </si>
  <si>
    <t>IBNR
准备金</t>
  </si>
  <si>
    <t xml:space="preserve">（5）2008 </t>
    <phoneticPr fontId="3" type="noConversion"/>
  </si>
  <si>
    <t xml:space="preserve">（4）2007 </t>
    <phoneticPr fontId="3" type="noConversion"/>
  </si>
  <si>
    <t xml:space="preserve">（3）2006 </t>
    <phoneticPr fontId="3" type="noConversion"/>
  </si>
  <si>
    <t xml:space="preserve">（2）2005 </t>
    <phoneticPr fontId="3" type="noConversion"/>
  </si>
  <si>
    <t>（1）2004</t>
    <phoneticPr fontId="3" type="noConversion"/>
  </si>
  <si>
    <r>
      <t>已赚保费</t>
    </r>
    <r>
      <rPr>
        <i/>
        <sz val="12"/>
        <color rgb="FF000000"/>
        <rFont val="宋体"/>
        <family val="3"/>
        <charset val="134"/>
        <scheme val="major"/>
      </rPr>
      <t>EP</t>
    </r>
    <phoneticPr fontId="3" type="noConversion"/>
  </si>
  <si>
    <r>
      <t>赔付率</t>
    </r>
    <r>
      <rPr>
        <sz val="12"/>
        <color rgb="FF000000"/>
        <rFont val="Calibri"/>
        <family val="3"/>
        <charset val="161"/>
      </rPr>
      <t>λ</t>
    </r>
    <r>
      <rPr>
        <sz val="12"/>
        <color rgb="FF000000"/>
        <rFont val="宋体"/>
        <family val="3"/>
        <charset val="134"/>
        <scheme val="major"/>
      </rPr>
      <t xml:space="preserve"> </t>
    </r>
    <phoneticPr fontId="3" type="noConversion"/>
  </si>
  <si>
    <t xml:space="preserve">RV </t>
  </si>
  <si>
    <t xml:space="preserve">PC </t>
  </si>
  <si>
    <t xml:space="preserve">CV </t>
  </si>
  <si>
    <t xml:space="preserve">IBNR 准备金 </t>
  </si>
  <si>
    <t>UL</t>
    <phoneticPr fontId="3" type="noConversion"/>
  </si>
  <si>
    <t>期望最终赔款Bult</t>
    <phoneticPr fontId="3" type="noConversion"/>
  </si>
  <si>
    <r>
      <t>未决赔款准备金</t>
    </r>
    <r>
      <rPr>
        <i/>
        <sz val="12"/>
        <color rgb="FF000000"/>
        <rFont val="宋体"/>
        <family val="3"/>
        <charset val="134"/>
        <scheme val="major"/>
      </rPr>
      <t>CV</t>
    </r>
    <phoneticPr fontId="3" type="noConversion"/>
  </si>
  <si>
    <t>已赚保费</t>
    <phoneticPr fontId="3" type="noConversion"/>
  </si>
  <si>
    <t>进展年</t>
  </si>
  <si>
    <t xml:space="preserve">进展因子 </t>
  </si>
  <si>
    <t xml:space="preserve">累积进展因子 </t>
  </si>
  <si>
    <t>最终损失预测值</t>
  </si>
  <si>
    <t xml:space="preserve">2008 年末累积已报案赔款 </t>
  </si>
  <si>
    <t xml:space="preserve">已赚保费 </t>
  </si>
  <si>
    <t xml:space="preserve">赔付率 </t>
  </si>
  <si>
    <t xml:space="preserve">期望最终损失Bult </t>
    <phoneticPr fontId="3" type="noConversion"/>
  </si>
  <si>
    <t>最终值</t>
  </si>
  <si>
    <t xml:space="preserve">（1）2004 </t>
    <phoneticPr fontId="3" type="noConversion"/>
  </si>
  <si>
    <t xml:space="preserve">最终累积进展因子 </t>
  </si>
  <si>
    <t xml:space="preserve">最终累积进展因子 </t>
    <phoneticPr fontId="3" type="noConversion"/>
  </si>
  <si>
    <t xml:space="preserve">合计 </t>
  </si>
  <si>
    <t>最终累积进展因子</t>
    <phoneticPr fontId="3" type="noConversion"/>
  </si>
  <si>
    <t>已付ALAE</t>
    <phoneticPr fontId="3" type="noConversion"/>
  </si>
  <si>
    <t>估计的最终ALAE</t>
    <phoneticPr fontId="3" type="noConversion"/>
  </si>
  <si>
    <t>估计的ALAE准备金</t>
    <phoneticPr fontId="3" type="noConversion"/>
  </si>
  <si>
    <t>注：复制自表13</t>
    <phoneticPr fontId="3" type="noConversion"/>
  </si>
  <si>
    <t xml:space="preserve">逐年进展因子 </t>
  </si>
  <si>
    <t>合计</t>
  </si>
  <si>
    <t xml:space="preserve">最终比率 </t>
  </si>
  <si>
    <t xml:space="preserve">已付ALAE </t>
    <phoneticPr fontId="3" type="noConversion"/>
  </si>
  <si>
    <t xml:space="preserve">最终ALAE </t>
    <phoneticPr fontId="3" type="noConversion"/>
  </si>
  <si>
    <t xml:space="preserve">ALAE准备金 </t>
    <phoneticPr fontId="3" type="noConversion"/>
  </si>
  <si>
    <t xml:space="preserve">已付ALAE与已付赔款比率 </t>
    <phoneticPr fontId="3" type="noConversion"/>
  </si>
  <si>
    <t>已付 ALAE 与已付赔款最终比率</t>
    <phoneticPr fontId="3" type="noConversion"/>
  </si>
  <si>
    <t>简单平均法</t>
    <phoneticPr fontId="3" type="noConversion"/>
  </si>
  <si>
    <t>（5）2008</t>
    <phoneticPr fontId="3" type="noConversion"/>
  </si>
  <si>
    <t>最终值</t>
    <phoneticPr fontId="3" type="noConversion"/>
  </si>
  <si>
    <t>报案年</t>
    <phoneticPr fontId="3" type="noConversion"/>
  </si>
  <si>
    <t xml:space="preserve">报案年 </t>
  </si>
  <si>
    <t xml:space="preserve">（1） 2004 </t>
  </si>
  <si>
    <t xml:space="preserve">（2） 2005 </t>
  </si>
  <si>
    <t xml:space="preserve">（3） 2006 </t>
  </si>
  <si>
    <t xml:space="preserve">（4） 2007 </t>
  </si>
  <si>
    <t xml:space="preserve">（5） 2008 </t>
  </si>
  <si>
    <t>最终损失</t>
    <phoneticPr fontId="3" type="noConversion"/>
  </si>
  <si>
    <t>未决赔款</t>
    <phoneticPr fontId="3" type="noConversion"/>
  </si>
  <si>
    <t>已发生已报案未决赔款准备金</t>
    <phoneticPr fontId="3" type="noConversion"/>
  </si>
  <si>
    <t>已发生已报案未决赔款准备金差额</t>
    <phoneticPr fontId="3" type="noConversion"/>
  </si>
  <si>
    <t>已发生已报案未决赔款准备金充足率</t>
    <phoneticPr fontId="3" type="noConversion"/>
  </si>
  <si>
    <t>累积已决赔款</t>
    <phoneticPr fontId="3" type="noConversion"/>
  </si>
  <si>
    <t>基于已付
赔款数据
的链梯法</t>
  </si>
  <si>
    <t>已付
赔款
案均法</t>
  </si>
  <si>
    <t>已报案
赔款
案均法</t>
  </si>
  <si>
    <t>准备金
进展法</t>
  </si>
  <si>
    <t xml:space="preserve">平均值 </t>
  </si>
  <si>
    <t>选定值</t>
  </si>
  <si>
    <t>基于已报案
赔款数据
的预算
IBNR 方法</t>
  </si>
  <si>
    <t>基于已付
赔款数据
的预算
IBNR 方法</t>
  </si>
  <si>
    <t>基于已报案
赔款数据
的链梯法</t>
    <phoneticPr fontId="3" type="noConversion"/>
  </si>
  <si>
    <t>选定的最终损失</t>
    <phoneticPr fontId="3" type="noConversion"/>
  </si>
  <si>
    <t>赔付率</t>
    <phoneticPr fontId="3" type="noConversion"/>
  </si>
  <si>
    <t xml:space="preserve">选定的最终损失 </t>
  </si>
  <si>
    <t>已报案赔款预测值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</si>
</sst>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);[Red]\(0.0000\)"/>
    <numFmt numFmtId="177" formatCode="0_);[Red]\(0\)"/>
    <numFmt numFmtId="178" formatCode="0.0000"/>
  </numFmts>
  <fonts count="20">
    <font>
      <sz val="11"/>
      <color theme="1"/>
      <name val="宋体"/>
      <family val="2"/>
      <charset val="134"/>
      <scheme val="minor"/>
    </font>
    <font>
      <sz val="12"/>
      <color rgb="FF000000"/>
      <name val="SimSun"/>
      <charset val="134"/>
    </font>
    <font>
      <sz val="12"/>
      <color rgb="FF000000"/>
      <name val="宋体"/>
      <family val="3"/>
      <charset val="134"/>
    </font>
    <font>
      <sz val="9"/>
      <name val="宋体"/>
      <family val="2"/>
      <charset val="134"/>
      <scheme val="minor"/>
    </font>
    <font>
      <u/>
      <sz val="12"/>
      <color rgb="FF000000"/>
      <name val="SimSun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u/>
      <sz val="12"/>
      <color rgb="FF00000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ajor"/>
    </font>
    <font>
      <i/>
      <sz val="12"/>
      <color rgb="FF000000"/>
      <name val="宋体"/>
      <family val="3"/>
      <charset val="134"/>
      <scheme val="major"/>
    </font>
    <font>
      <sz val="12"/>
      <color rgb="FF000000"/>
      <name val="Calibri"/>
      <family val="3"/>
      <charset val="161"/>
    </font>
    <font>
      <sz val="11"/>
      <color theme="1"/>
      <name val="宋体"/>
      <family val="3"/>
      <charset val="134"/>
      <scheme val="major"/>
    </font>
    <font>
      <sz val="11"/>
      <color theme="1"/>
      <name val="宋体"/>
      <family val="2"/>
      <charset val="134"/>
      <scheme val="minor"/>
    </font>
    <font>
      <sz val="12"/>
      <color rgb="FF000000"/>
      <name val="NimbusRomNo9L-Regu"/>
      <family val="2"/>
    </font>
    <font>
      <u/>
      <sz val="12"/>
      <color rgb="FF000000"/>
      <name val="宋体"/>
      <family val="3"/>
      <charset val="134"/>
      <scheme val="major"/>
    </font>
    <font>
      <sz val="12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6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>
      <alignment vertical="center"/>
    </xf>
    <xf numFmtId="178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right" vertical="center"/>
    </xf>
    <xf numFmtId="4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7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7" fillId="0" borderId="1" xfId="0" applyNumberFormat="1" applyFont="1" applyBorder="1">
      <alignment vertical="center"/>
    </xf>
    <xf numFmtId="177" fontId="0" fillId="0" borderId="0" xfId="0" applyNumberFormat="1">
      <alignment vertic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11" fillId="0" borderId="1" xfId="0" applyNumberFormat="1" applyFont="1" applyBorder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9" fontId="12" fillId="0" borderId="1" xfId="0" applyNumberFormat="1" applyFont="1" applyBorder="1" applyAlignment="1">
      <alignment horizontal="center" vertical="center" wrapText="1"/>
    </xf>
    <xf numFmtId="177" fontId="12" fillId="0" borderId="1" xfId="0" applyNumberFormat="1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 wrapText="1"/>
    </xf>
    <xf numFmtId="0" fontId="15" fillId="0" borderId="0" xfId="0" applyFont="1">
      <alignment vertical="center"/>
    </xf>
    <xf numFmtId="0" fontId="12" fillId="0" borderId="0" xfId="0" applyFont="1" applyAlignment="1">
      <alignment horizontal="center" vertical="center" wrapText="1"/>
    </xf>
    <xf numFmtId="176" fontId="0" fillId="0" borderId="1" xfId="0" applyNumberFormat="1" applyBorder="1">
      <alignment vertical="center"/>
    </xf>
    <xf numFmtId="178" fontId="12" fillId="0" borderId="1" xfId="0" applyNumberFormat="1" applyFont="1" applyBorder="1" applyAlignment="1">
      <alignment horizontal="center" vertical="center" wrapText="1"/>
    </xf>
    <xf numFmtId="178" fontId="11" fillId="0" borderId="1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49" fontId="12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7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vertical="center"/>
    </xf>
    <xf numFmtId="176" fontId="18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0" fontId="19" fillId="0" borderId="0" xfId="0" applyFont="1">
      <alignment vertical="center"/>
    </xf>
    <xf numFmtId="0" fontId="19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 wrapText="1"/>
    </xf>
    <xf numFmtId="10" fontId="19" fillId="0" borderId="1" xfId="1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Normal">
      <a:majorFont>
        <a:latin typeface="Times New Roman"/>
        <a:ea typeface="宋体"/>
        <a:cs typeface=""/>
      </a:majorFont>
      <a:minorFont>
        <a:latin typeface="Times New Roman"/>
        <a:ea typeface="宋体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C779-7FB1-447E-B174-E8CE1D01E97D}">
  <dimension ref="A3:B4"/>
  <sheetViews>
    <sheetView workbookViewId="0">
      <selection activeCell="A15" sqref="A15"/>
    </sheetView>
  </sheetViews>
  <sheetFormatPr defaultRowHeight="14.4"/>
  <cols>
    <col min="1" max="1" width="31.5546875" customWidth="1"/>
  </cols>
  <sheetData>
    <row r="3" spans="1:2" ht="15.6">
      <c r="A3" s="9" t="s">
        <v>14</v>
      </c>
      <c r="B3" s="9">
        <v>4</v>
      </c>
    </row>
    <row r="4" spans="1:2" ht="15.6">
      <c r="A4" s="9" t="s">
        <v>15</v>
      </c>
      <c r="B4" s="9">
        <v>2004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93FF7-873B-4D49-8B4E-8DAB0B6EEB91}">
  <dimension ref="A1:F14"/>
  <sheetViews>
    <sheetView workbookViewId="0">
      <selection sqref="A1:A2"/>
    </sheetView>
  </sheetViews>
  <sheetFormatPr defaultRowHeight="14.4"/>
  <cols>
    <col min="1" max="1" width="26.77734375" customWidth="1"/>
    <col min="2" max="6" width="18.44140625" customWidth="1"/>
  </cols>
  <sheetData>
    <row r="1" spans="1:6" ht="15.6">
      <c r="A1" s="52" t="s">
        <v>0</v>
      </c>
      <c r="B1" s="52" t="s">
        <v>1</v>
      </c>
      <c r="C1" s="52"/>
      <c r="D1" s="52"/>
      <c r="E1" s="52"/>
      <c r="F1" s="52"/>
    </row>
    <row r="2" spans="1:6" ht="15.6">
      <c r="A2" s="52"/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</row>
    <row r="3" spans="1:6" ht="15.6">
      <c r="A3" s="1" t="s">
        <v>9</v>
      </c>
      <c r="B3" s="8">
        <f>ROUND(AVERAGE(B11:B14),4)</f>
        <v>1.1858</v>
      </c>
      <c r="C3" s="8">
        <f t="shared" ref="C3:F3" si="0">ROUND(AVERAGE(C11:C14),4)</f>
        <v>1.0628</v>
      </c>
      <c r="D3" s="8">
        <f t="shared" si="0"/>
        <v>1.0512999999999999</v>
      </c>
      <c r="E3" s="8">
        <f t="shared" si="0"/>
        <v>1.0327999999999999</v>
      </c>
      <c r="F3" s="8">
        <f t="shared" si="0"/>
        <v>1</v>
      </c>
    </row>
    <row r="4" spans="1:6" ht="15.6">
      <c r="A4" s="1" t="s">
        <v>10</v>
      </c>
      <c r="B4" s="8">
        <f>IF(AND('表16 累积已报案赔款流量三角形'!$A3=min_accident_year,'表16 累积已报案赔款流量三角形'!B$2=max_development_year),ROUND('表16 累积已报案赔款流量三角形'!$G$3/'表16 累积已报案赔款流量三角形'!$F$3,4),ROUND(SUM('表16 累积已报案赔款流量三角形'!C3:INDEX('表16 累积已报案赔款流量三角形'!C3:C7,max_development_year-'表16 累积已报案赔款流量三角形'!B2))/SUM('表16 累积已报案赔款流量三角形'!B3:INDEX('表16 累积已报案赔款流量三角形'!B3:B7,max_development_year-'表16 累积已报案赔款流量三角形'!B2)),4))</f>
        <v>1.1876</v>
      </c>
      <c r="C4" s="8">
        <f>IF(AND('表16 累积已报案赔款流量三角形'!$A3=min_accident_year,'表16 累积已报案赔款流量三角形'!C$2=max_development_year),ROUND('表16 累积已报案赔款流量三角形'!$G$3/'表16 累积已报案赔款流量三角形'!$F$3,4),ROUND(SUM('表16 累积已报案赔款流量三角形'!D3:INDEX('表16 累积已报案赔款流量三角形'!D3:D7,max_development_year-'表16 累积已报案赔款流量三角形'!C2))/SUM('表16 累积已报案赔款流量三角形'!C3:INDEX('表16 累积已报案赔款流量三角形'!C3:C7,max_development_year-'表16 累积已报案赔款流量三角形'!C2)),4))</f>
        <v>1.0639000000000001</v>
      </c>
      <c r="D4" s="8">
        <f>IF(AND('表16 累积已报案赔款流量三角形'!$A3=min_accident_year,'表16 累积已报案赔款流量三角形'!D$2=max_development_year),ROUND('表16 累积已报案赔款流量三角形'!$G$3/'表16 累积已报案赔款流量三角形'!$F$3,4),ROUND(SUM('表16 累积已报案赔款流量三角形'!E3:INDEX('表16 累积已报案赔款流量三角形'!E3:E7,max_development_year-'表16 累积已报案赔款流量三角形'!D2))/SUM('表16 累积已报案赔款流量三角形'!D3:INDEX('表16 累积已报案赔款流量三角形'!D3:D7,max_development_year-'表16 累积已报案赔款流量三角形'!D2)),4))</f>
        <v>1.0517000000000001</v>
      </c>
      <c r="E4" s="8">
        <f>IF(AND('表16 累积已报案赔款流量三角形'!$A3=min_accident_year,'表16 累积已报案赔款流量三角形'!E$2=max_development_year),ROUND('表16 累积已报案赔款流量三角形'!$G$3/'表16 累积已报案赔款流量三角形'!$F$3,4),ROUND(SUM('表16 累积已报案赔款流量三角形'!F3:INDEX('表16 累积已报案赔款流量三角形'!F3:F7,max_development_year-'表16 累积已报案赔款流量三角形'!E2))/SUM('表16 累积已报案赔款流量三角形'!E3:INDEX('表16 累积已报案赔款流量三角形'!E3:E7,max_development_year-'表16 累积已报案赔款流量三角形'!E2)),4))</f>
        <v>1.0327999999999999</v>
      </c>
      <c r="F4" s="8">
        <f>IF(AND('表16 累积已报案赔款流量三角形'!$A3=min_accident_year,'表16 累积已报案赔款流量三角形'!F$2=max_development_year),ROUND('表16 累积已报案赔款流量三角形'!$G$3/'表16 累积已报案赔款流量三角形'!$F$3,4),ROUND(SUM('表16 累积已报案赔款流量三角形'!G3:INDEX('表16 累积已报案赔款流量三角形'!G3:G7,max_development_year-'表16 累积已报案赔款流量三角形'!F2))/SUM('表16 累积已报案赔款流量三角形'!F3:INDEX('表16 累积已报案赔款流量三角形'!F3:F7,max_development_year-'表16 累积已报案赔款流量三角形'!F2)),4))</f>
        <v>1</v>
      </c>
    </row>
    <row r="5" spans="1:6" ht="15.6">
      <c r="A5" s="1" t="s">
        <v>11</v>
      </c>
      <c r="B5" s="8">
        <f>ROUND(PRODUCT(B11:B14)^(1/COUNTIF(B11:B14,"&gt;0")),4)</f>
        <v>1.1857</v>
      </c>
      <c r="C5" s="8">
        <f t="shared" ref="C5:F5" si="1">ROUND(PRODUCT(C11:C14)^(1/COUNTIF(C11:C14,"&gt;0")),4)</f>
        <v>1.0628</v>
      </c>
      <c r="D5" s="8">
        <f t="shared" si="1"/>
        <v>1.0512999999999999</v>
      </c>
      <c r="E5" s="8">
        <f t="shared" si="1"/>
        <v>1.0327999999999999</v>
      </c>
      <c r="F5" s="8">
        <f t="shared" si="1"/>
        <v>1</v>
      </c>
    </row>
    <row r="6" spans="1:6" ht="15.6">
      <c r="A6" s="1" t="s">
        <v>12</v>
      </c>
      <c r="B6" s="8">
        <f>ROUND(AVERAGE(INDEX(B$11:B$14,COUNTIF(B$11:B$14,"&gt;0")):INDEX(B$11:B$14,MAX(COUNTIF(B$11:B$14,"&gt;0")-2,1))),4)</f>
        <v>1.19</v>
      </c>
      <c r="C6" s="8">
        <f>ROUND(AVERAGE(INDEX(C$11:C$14,COUNTIF(C$11:C$14,"&gt;0")):INDEX(C$11:C$14,MAX(COUNTIF(C$11:C$14,"&gt;0")-2,1))),4)</f>
        <v>1.0628</v>
      </c>
      <c r="D6" s="8">
        <f>ROUND(AVERAGE(INDEX(D$11:D$14,COUNTIF(D$11:D$14,"&gt;0")):INDEX(D$11:D$14,MAX(COUNTIF(D$11:D$14,"&gt;0")-2,1))),4)</f>
        <v>1.0512999999999999</v>
      </c>
      <c r="E6" s="8">
        <f>ROUND(AVERAGE(INDEX(E$11:E$14,COUNTIF(E$11:E$14,"&gt;0")):INDEX(E$11:E$14,MAX(COUNTIF(E$11:E$14,"&gt;0")-2,1))),4)</f>
        <v>1.0327999999999999</v>
      </c>
      <c r="F6" s="8">
        <f>ROUND(AVERAGE(INDEX(F$11:F$14,COUNTIF(F$11:F$14,"&gt;0")):INDEX(F$11:F$14,MAX(COUNTIF(F$11:F$14,"&gt;0")-2,1))),4)</f>
        <v>1</v>
      </c>
    </row>
    <row r="7" spans="1:6" ht="15.6">
      <c r="A7" s="1" t="s">
        <v>13</v>
      </c>
      <c r="B7" s="8">
        <f>IF(AND('表16 累积已报案赔款流量三角形'!$A3=min_accident_year,'表16 累积已报案赔款流量三角形'!B$2=max_development_year),ROUND('表16 累积已报案赔款流量三角形'!$G$3/'表16 累积已报案赔款流量三角形'!$F$3,4),ROUND(SUM(INDEX('表16 累积已报案赔款流量三角形'!C$3:C$7,COUNTIF('表16 累积已报案赔款流量三角形'!B$3:B$7,"&gt;0")-1):INDEX('表16 累积已报案赔款流量三角形'!C$3:C$7,MAX(COUNTIF('表16 累积已报案赔款流量三角形'!B$3:B$7,"&gt;0")-3,1)))/SUM(INDEX('表16 累积已报案赔款流量三角形'!B$3:B$7,COUNTIF('表16 累积已报案赔款流量三角形'!B$3:B$7,"&gt;0")-1):INDEX('表16 累积已报案赔款流量三角形'!B$3:B$7,MAX(COUNTIF('表16 累积已报案赔款流量三角形'!B$3:B$7,"&gt;0")-3,1))),4))</f>
        <v>1.1912</v>
      </c>
      <c r="C7" s="8">
        <f>IF(AND('表16 累积已报案赔款流量三角形'!$A3=min_accident_year,'表16 累积已报案赔款流量三角形'!C$2=max_development_year),ROUND('表16 累积已报案赔款流量三角形'!$G$3/'表16 累积已报案赔款流量三角形'!$F$3,4),ROUND(SUM(INDEX('表16 累积已报案赔款流量三角形'!D$3:D$7,COUNTIF('表16 累积已报案赔款流量三角形'!C$3:C$7,"&gt;0")-1):INDEX('表16 累积已报案赔款流量三角形'!D$3:D$7,MAX(COUNTIF('表16 累积已报案赔款流量三角形'!C$3:C$7,"&gt;0")-3,1)))/SUM(INDEX('表16 累积已报案赔款流量三角形'!C$3:C$7,COUNTIF('表16 累积已报案赔款流量三角形'!C$3:C$7,"&gt;0")-1):INDEX('表16 累积已报案赔款流量三角形'!C$3:C$7,MAX(COUNTIF('表16 累积已报案赔款流量三角形'!C$3:C$7,"&gt;0")-3,1))),4))</f>
        <v>1.0639000000000001</v>
      </c>
      <c r="D7" s="8">
        <f>IF(AND('表16 累积已报案赔款流量三角形'!$A3=min_accident_year,'表16 累积已报案赔款流量三角形'!D$2=max_development_year),ROUND('表16 累积已报案赔款流量三角形'!$G$3/'表16 累积已报案赔款流量三角形'!$F$3,4),ROUND(SUM(INDEX('表16 累积已报案赔款流量三角形'!E$3:E$7,COUNTIF('表16 累积已报案赔款流量三角形'!D$3:D$7,"&gt;0")-1):INDEX('表16 累积已报案赔款流量三角形'!E$3:E$7,MAX(COUNTIF('表16 累积已报案赔款流量三角形'!D$3:D$7,"&gt;0")-3,1)))/SUM(INDEX('表16 累积已报案赔款流量三角形'!D$3:D$7,COUNTIF('表16 累积已报案赔款流量三角形'!D$3:D$7,"&gt;0")-1):INDEX('表16 累积已报案赔款流量三角形'!D$3:D$7,MAX(COUNTIF('表16 累积已报案赔款流量三角形'!D$3:D$7,"&gt;0")-3,1))),4))</f>
        <v>1.0517000000000001</v>
      </c>
      <c r="E7" s="8">
        <f>IF(AND('表16 累积已报案赔款流量三角形'!$A3=min_accident_year,'表16 累积已报案赔款流量三角形'!E$2=max_development_year),ROUND('表16 累积已报案赔款流量三角形'!$G$3/'表16 累积已报案赔款流量三角形'!$F$3,4),ROUND(SUM(INDEX('表16 累积已报案赔款流量三角形'!F$3:F$7,COUNTIF('表16 累积已报案赔款流量三角形'!E$3:E$7,"&gt;0")-1):INDEX('表16 累积已报案赔款流量三角形'!F$3:F$7,MAX(COUNTIF('表16 累积已报案赔款流量三角形'!E$3:E$7,"&gt;0")-3,1)))/SUM(INDEX('表16 累积已报案赔款流量三角形'!E$3:E$7,COUNTIF('表16 累积已报案赔款流量三角形'!E$3:E$7,"&gt;0")-1):INDEX('表16 累积已报案赔款流量三角形'!E$3:E$7,MAX(COUNTIF('表16 累积已报案赔款流量三角形'!E$3:E$7,"&gt;0")-3,1))),4))</f>
        <v>1.0327999999999999</v>
      </c>
      <c r="F7" s="8">
        <f>IF(AND('表16 累积已报案赔款流量三角形'!$A3=min_accident_year,'表16 累积已报案赔款流量三角形'!F$2=max_development_year),ROUND('表16 累积已报案赔款流量三角形'!$G$3/'表16 累积已报案赔款流量三角形'!$F$3,4),ROUND(SUM(INDEX('表16 累积已报案赔款流量三角形'!G$3:G$7,COUNTIF('表16 累积已报案赔款流量三角形'!F$3:F$7,"&gt;0")-1):INDEX('表16 累积已报案赔款流量三角形'!G$3:G$7,MAX(COUNTIF('表16 累积已报案赔款流量三角形'!F$3:F$7,"&gt;0")-3,1)))/SUM(INDEX('表16 累积已报案赔款流量三角形'!F$3:F$7,COUNTIF('表16 累积已报案赔款流量三角形'!F$3:F$7,"&gt;0")-1):INDEX('表16 累积已报案赔款流量三角形'!F$3:F$7,MAX(COUNTIF('表16 累积已报案赔款流量三角形'!F$3:F$7,"&gt;0")-3,1))),4))</f>
        <v>1</v>
      </c>
    </row>
    <row r="9" spans="1:6" ht="15.6">
      <c r="A9" s="52" t="s">
        <v>0</v>
      </c>
      <c r="B9" s="52" t="s">
        <v>1</v>
      </c>
      <c r="C9" s="52"/>
      <c r="D9" s="52"/>
      <c r="E9" s="52"/>
      <c r="F9" s="52"/>
    </row>
    <row r="10" spans="1:6" ht="15.6">
      <c r="A10" s="52"/>
      <c r="B10" s="5" t="s">
        <v>4</v>
      </c>
      <c r="C10" s="5" t="s">
        <v>5</v>
      </c>
      <c r="D10" s="5" t="s">
        <v>6</v>
      </c>
      <c r="E10" s="5" t="s">
        <v>7</v>
      </c>
      <c r="F10" s="5" t="s">
        <v>8</v>
      </c>
    </row>
    <row r="11" spans="1:6" ht="15.6">
      <c r="A11" s="3">
        <v>2004</v>
      </c>
      <c r="B11" s="6">
        <f>IF('表16 累积已报案赔款流量三角形'!C3="","",IF(AND('表16 累积已报案赔款流量三角形'!$A3=min_accident_year,'表16 累积已报案赔款流量三角形'!B$2=max_development_year),'表16 累积已报案赔款流量三角形'!$G$3/'表16 累积已报案赔款流量三角形'!$F$3,'表16 累积已报案赔款流量三角形'!C3/'表16 累积已报案赔款流量三角形'!B3))</f>
        <v>1.172972972972973</v>
      </c>
      <c r="C11" s="6">
        <f>IF('表16 累积已报案赔款流量三角形'!D3="","",IF(AND('表16 累积已报案赔款流量三角形'!$A3=min_accident_year,'表16 累积已报案赔款流量三角形'!C$2=max_development_year),'表16 累积已报案赔款流量三角形'!$G$3/'表16 累积已报案赔款流量三角形'!$F$3,'表16 累积已报案赔款流量三角形'!D3/'表16 累积已报案赔款流量三角形'!C3))</f>
        <v>1.0571428571428572</v>
      </c>
      <c r="D11" s="6">
        <f>IF('表16 累积已报案赔款流量三角形'!E3="","",IF(AND('表16 累积已报案赔款流量三角形'!$A3=min_accident_year,'表16 累积已报案赔款流量三角形'!D$2=max_development_year),'表16 累积已报案赔款流量三角形'!$G$3/'表16 累积已报案赔款流量三角形'!$F$3,'表16 累积已报案赔款流量三角形'!E3/'表16 累积已报案赔款流量三角形'!D3))</f>
        <v>1.0459168846265621</v>
      </c>
      <c r="E11" s="6">
        <f>IF('表16 累积已报案赔款流量三角形'!F3="","",IF(AND('表16 累积已报案赔款流量三角形'!$A3=min_accident_year,'表16 累积已报案赔款流量三角形'!E$2=max_development_year),'表16 累积已报案赔款流量三角形'!$G$3/'表16 累积已报案赔款流量三角形'!$F$3,'表16 累积已报案赔款流量三角形'!F3/'表16 累积已报案赔款流量三角形'!E3))</f>
        <v>1.0327868852459017</v>
      </c>
      <c r="F11" s="6">
        <f>IF('表16 累积已报案赔款流量三角形'!G3="","",IF(AND('表16 累积已报案赔款流量三角形'!$A3=min_accident_year,'表16 累积已报案赔款流量三角形'!F$2=max_development_year),'表16 累积已报案赔款流量三角形'!$G$3/'表16 累积已报案赔款流量三角形'!$F$3,'表16 累积已报案赔款流量三角形'!G3/'表16 累积已报案赔款流量三角形'!F3))</f>
        <v>1</v>
      </c>
    </row>
    <row r="12" spans="1:6" ht="15.6">
      <c r="A12" s="3">
        <v>2005</v>
      </c>
      <c r="B12" s="6">
        <f>IF('表16 累积已报案赔款流量三角形'!C4="","",IF(AND('表16 累积已报案赔款流量三角形'!$A4=min_accident_year,'表16 累积已报案赔款流量三角形'!B$2=max_development_year),'表16 累积已报案赔款流量三角形'!$G$3/'表16 累积已报案赔款流量三角形'!$F$3,'表16 累积已报案赔款流量三角形'!C4/'表16 累积已报案赔款流量三角形'!B4))</f>
        <v>1.1714285714285715</v>
      </c>
      <c r="C12" s="6">
        <f>IF('表16 累积已报案赔款流量三角形'!D4="","",IF(AND('表16 累积已报案赔款流量三角形'!$A4=min_accident_year,'表16 累积已报案赔款流量三角形'!C$2=max_development_year),'表16 累积已报案赔款流量三角形'!$G$3/'表16 累积已报案赔款流量三角形'!$F$3,'表16 累积已报案赔款流量三角形'!D4/'表16 累积已报案赔款流量三角形'!C4))</f>
        <v>1.0535524920466597</v>
      </c>
      <c r="D12" s="6">
        <f>IF('表16 累积已报案赔款流量三角形'!E4="","",IF(AND('表16 累积已报案赔款流量三角形'!$A4=min_accident_year,'表16 累积已报案赔款流量三角形'!D$2=max_development_year),'表16 累积已报案赔款流量三角形'!$G$3/'表16 累积已报案赔款流量三角形'!$F$3,'表16 累积已报案赔款流量三角形'!E4/'表16 累积已报案赔款流量三角形'!D4))</f>
        <v>1.0566180171112229</v>
      </c>
      <c r="E12" s="6" t="str">
        <f>IF('表16 累积已报案赔款流量三角形'!F4="","",IF(AND('表16 累积已报案赔款流量三角形'!$A4=min_accident_year,'表16 累积已报案赔款流量三角形'!E$2=max_development_year),'表16 累积已报案赔款流量三角形'!$G$3/'表16 累积已报案赔款流量三角形'!$F$3,'表16 累积已报案赔款流量三角形'!F4/'表16 累积已报案赔款流量三角形'!E4))</f>
        <v/>
      </c>
      <c r="F12" s="6" t="str">
        <f>IF('表16 累积已报案赔款流量三角形'!G4="","",IF(AND('表16 累积已报案赔款流量三角形'!$A4=min_accident_year,'表16 累积已报案赔款流量三角形'!F$2=max_development_year),'表16 累积已报案赔款流量三角形'!$G$3/'表16 累积已报案赔款流量三角形'!$F$3,'表16 累积已报案赔款流量三角形'!G4/'表16 累积已报案赔款流量三角形'!F4))</f>
        <v/>
      </c>
    </row>
    <row r="13" spans="1:6" ht="15.6">
      <c r="A13" s="3">
        <v>2006</v>
      </c>
      <c r="B13" s="6">
        <f>IF('表16 累积已报案赔款流量三角形'!C5="","",IF(AND('表16 累积已报案赔款流量三角形'!$A5=min_accident_year,'表16 累积已报案赔款流量三角形'!B$2=max_development_year),'表16 累积已报案赔款流量三角形'!$G$3/'表16 累积已报案赔款流量三角形'!$F$3,'表16 累积已报案赔款流量三角形'!C5/'表16 累积已报案赔款流量三角形'!B5))</f>
        <v>1.2025732274842595</v>
      </c>
      <c r="C13" s="6">
        <f>IF('表16 累积已报案赔款流量三角形'!D5="","",IF(AND('表16 累积已报案赔款流量三角形'!$A5=min_accident_year,'表16 累积已报案赔款流量三角形'!C$2=max_development_year),'表16 累积已报案赔款流量三角形'!$G$3/'表16 累积已报案赔款流量三角形'!$F$3,'表16 累积已报案赔款流量三角形'!D5/'表16 累积已报案赔款流量三角形'!C5))</f>
        <v>1.0778511267926247</v>
      </c>
      <c r="D13" s="6" t="str">
        <f>IF('表16 累积已报案赔款流量三角形'!E5="","",IF(AND('表16 累积已报案赔款流量三角形'!$A5=min_accident_year,'表16 累积已报案赔款流量三角形'!D$2=max_development_year),'表16 累积已报案赔款流量三角形'!$G$3/'表16 累积已报案赔款流量三角形'!$F$3,'表16 累积已报案赔款流量三角形'!E5/'表16 累积已报案赔款流量三角形'!D5))</f>
        <v/>
      </c>
      <c r="E13" s="6" t="str">
        <f>IF('表16 累积已报案赔款流量三角形'!F5="","",IF(AND('表16 累积已报案赔款流量三角形'!$A5=min_accident_year,'表16 累积已报案赔款流量三角形'!E$2=max_development_year),'表16 累积已报案赔款流量三角形'!$G$3/'表16 累积已报案赔款流量三角形'!$F$3,'表16 累积已报案赔款流量三角形'!F5/'表16 累积已报案赔款流量三角形'!E5))</f>
        <v/>
      </c>
      <c r="F13" s="6" t="str">
        <f>IF('表16 累积已报案赔款流量三角形'!G5="","",IF(AND('表16 累积已报案赔款流量三角形'!$A5=min_accident_year,'表16 累积已报案赔款流量三角形'!F$2=max_development_year),'表16 累积已报案赔款流量三角形'!$G$3/'表16 累积已报案赔款流量三角形'!$F$3,'表16 累积已报案赔款流量三角形'!G5/'表16 累积已报案赔款流量三角形'!F5))</f>
        <v/>
      </c>
    </row>
    <row r="14" spans="1:6" ht="15.6">
      <c r="A14" s="3">
        <v>2007</v>
      </c>
      <c r="B14" s="6">
        <f>IF('表16 累积已报案赔款流量三角形'!C6="","",IF(AND('表16 累积已报案赔款流量三角形'!$A6=min_accident_year,'表16 累积已报案赔款流量三角形'!B$2=max_development_year),'表16 累积已报案赔款流量三角形'!$G$3/'表16 累积已报案赔款流量三角形'!$F$3,'表16 累积已报案赔款流量三角形'!C6/'表16 累积已报案赔款流量三角形'!B6))</f>
        <v>1.1961044710048694</v>
      </c>
      <c r="C14" s="6" t="str">
        <f>IF('表16 累积已报案赔款流量三角形'!D6="","",IF(AND('表16 累积已报案赔款流量三角形'!$A6=min_accident_year,'表16 累积已报案赔款流量三角形'!C$2=max_development_year),'表16 累积已报案赔款流量三角形'!$G$3/'表16 累积已报案赔款流量三角形'!$F$3,'表16 累积已报案赔款流量三角形'!D6/'表16 累积已报案赔款流量三角形'!C6))</f>
        <v/>
      </c>
      <c r="D14" s="6" t="str">
        <f>IF('表16 累积已报案赔款流量三角形'!E6="","",IF(AND('表16 累积已报案赔款流量三角形'!$A6=min_accident_year,'表16 累积已报案赔款流量三角形'!D$2=max_development_year),'表16 累积已报案赔款流量三角形'!$G$3/'表16 累积已报案赔款流量三角形'!$F$3,'表16 累积已报案赔款流量三角形'!E6/'表16 累积已报案赔款流量三角形'!D6))</f>
        <v/>
      </c>
      <c r="E14" s="6" t="str">
        <f>IF('表16 累积已报案赔款流量三角形'!F6="","",IF(AND('表16 累积已报案赔款流量三角形'!$A6=min_accident_year,'表16 累积已报案赔款流量三角形'!E$2=max_development_year),'表16 累积已报案赔款流量三角形'!$G$3/'表16 累积已报案赔款流量三角形'!$F$3,'表16 累积已报案赔款流量三角形'!F6/'表16 累积已报案赔款流量三角形'!E6))</f>
        <v/>
      </c>
      <c r="F14" s="6" t="str">
        <f>IF('表16 累积已报案赔款流量三角形'!G6="","",IF(AND('表16 累积已报案赔款流量三角形'!$A6=min_accident_year,'表16 累积已报案赔款流量三角形'!F$2=max_development_year),'表16 累积已报案赔款流量三角形'!$G$3/'表16 累积已报案赔款流量三角形'!$F$3,'表16 累积已报案赔款流量三角形'!G6/'表16 累积已报案赔款流量三角形'!F6))</f>
        <v/>
      </c>
    </row>
  </sheetData>
  <mergeCells count="4">
    <mergeCell ref="A1:A2"/>
    <mergeCell ref="B1:F1"/>
    <mergeCell ref="A9:A10"/>
    <mergeCell ref="B9:F9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2B90-8C15-4064-86F7-4AF9F7C3C2F1}">
  <dimension ref="A1:F7"/>
  <sheetViews>
    <sheetView workbookViewId="0">
      <selection activeCell="C4" sqref="C4"/>
    </sheetView>
  </sheetViews>
  <sheetFormatPr defaultRowHeight="14.4"/>
  <cols>
    <col min="1" max="1" width="25.109375" customWidth="1"/>
    <col min="2" max="6" width="9.33203125" customWidth="1"/>
  </cols>
  <sheetData>
    <row r="1" spans="1:6" ht="15.6">
      <c r="A1" s="52" t="s">
        <v>0</v>
      </c>
      <c r="B1" s="52" t="s">
        <v>1</v>
      </c>
      <c r="C1" s="52"/>
      <c r="D1" s="52"/>
      <c r="E1" s="52"/>
      <c r="F1" s="52"/>
    </row>
    <row r="2" spans="1:6" ht="15.6">
      <c r="A2" s="52"/>
      <c r="B2" s="5" t="s">
        <v>16</v>
      </c>
      <c r="C2" s="5" t="s">
        <v>17</v>
      </c>
      <c r="D2" s="5" t="s">
        <v>18</v>
      </c>
      <c r="E2" s="5" t="s">
        <v>19</v>
      </c>
      <c r="F2" s="5" t="s">
        <v>8</v>
      </c>
    </row>
    <row r="3" spans="1:6" ht="15.6">
      <c r="A3" s="1" t="s">
        <v>9</v>
      </c>
      <c r="B3" s="8">
        <f>PRODUCT('表17 各方法下的累积已报案赔款流量三角形逐年进展因子'!B3:$F3)</f>
        <v>1.3683773767353531</v>
      </c>
      <c r="C3" s="8">
        <f>PRODUCT('表17 各方法下的累积已报案赔款流量三角形逐年进展因子'!C3:$F3)</f>
        <v>1.1539697897919998</v>
      </c>
      <c r="D3" s="8">
        <f>PRODUCT('表17 各方法下的累积已报案赔款流量三角形逐年进展因子'!D3:$F3)</f>
        <v>1.0857826399999999</v>
      </c>
      <c r="E3" s="8">
        <f>PRODUCT('表17 各方法下的累积已报案赔款流量三角形逐年进展因子'!E3:$F3)</f>
        <v>1.0327999999999999</v>
      </c>
      <c r="F3" s="8">
        <f>PRODUCT('表17 各方法下的累积已报案赔款流量三角形逐年进展因子'!F3:$F3)</f>
        <v>1</v>
      </c>
    </row>
    <row r="4" spans="1:6" ht="15.6">
      <c r="A4" s="1" t="s">
        <v>10</v>
      </c>
      <c r="B4" s="8">
        <f>PRODUCT('表17 各方法下的累积已报案赔款流量三角形逐年进展因子'!B4:$F4)</f>
        <v>1.3723949173804066</v>
      </c>
      <c r="C4" s="8">
        <f>PRODUCT('表17 各方法下的累积已报案赔款流量三角形逐年进展因子'!C4:$F4)</f>
        <v>1.1556036690640001</v>
      </c>
      <c r="D4" s="8">
        <f>PRODUCT('表17 各方法下的累积已报案赔款流量三角形逐年进展因子'!D4:$F4)</f>
        <v>1.0861957600000001</v>
      </c>
      <c r="E4" s="8">
        <f>PRODUCT('表17 各方法下的累积已报案赔款流量三角形逐年进展因子'!E4:$F4)</f>
        <v>1.0327999999999999</v>
      </c>
      <c r="F4" s="8">
        <f>PRODUCT('表17 各方法下的累积已报案赔款流量三角形逐年进展因子'!F4:$F4)</f>
        <v>1</v>
      </c>
    </row>
    <row r="5" spans="1:6" ht="15.6">
      <c r="A5" s="1" t="s">
        <v>11</v>
      </c>
      <c r="B5" s="8">
        <f>PRODUCT('表17 各方法下的累积已报案赔款流量三角形逐年进展因子'!B5:$F5)</f>
        <v>1.3682619797563742</v>
      </c>
      <c r="C5" s="8">
        <f>PRODUCT('表17 各方法下的累积已报案赔款流量三角形逐年进展因子'!C5:$F5)</f>
        <v>1.1539697897919998</v>
      </c>
      <c r="D5" s="8">
        <f>PRODUCT('表17 各方法下的累积已报案赔款流量三角形逐年进展因子'!D5:$F5)</f>
        <v>1.0857826399999999</v>
      </c>
      <c r="E5" s="8">
        <f>PRODUCT('表17 各方法下的累积已报案赔款流量三角形逐年进展因子'!E5:$F5)</f>
        <v>1.0327999999999999</v>
      </c>
      <c r="F5" s="8">
        <f>PRODUCT('表17 各方法下的累积已报案赔款流量三角形逐年进展因子'!F5:$F5)</f>
        <v>1</v>
      </c>
    </row>
    <row r="6" spans="1:6" ht="15.6">
      <c r="A6" s="1" t="s">
        <v>12</v>
      </c>
      <c r="B6" s="8">
        <f>PRODUCT('表17 各方法下的累积已报案赔款流量三角形逐年进展因子'!B6:$F6)</f>
        <v>1.3732240498524797</v>
      </c>
      <c r="C6" s="8">
        <f>PRODUCT('表17 各方法下的累积已报案赔款流量三角形逐年进展因子'!C6:$F6)</f>
        <v>1.1539697897919998</v>
      </c>
      <c r="D6" s="8">
        <f>PRODUCT('表17 各方法下的累积已报案赔款流量三角形逐年进展因子'!D6:$F6)</f>
        <v>1.0857826399999999</v>
      </c>
      <c r="E6" s="8">
        <f>PRODUCT('表17 各方法下的累积已报案赔款流量三角形逐年进展因子'!E6:$F6)</f>
        <v>1.0327999999999999</v>
      </c>
      <c r="F6" s="8">
        <f>PRODUCT('表17 各方法下的累积已报案赔款流量三角形逐年进展因子'!F6:$F6)</f>
        <v>1</v>
      </c>
    </row>
    <row r="7" spans="1:6" ht="15.6">
      <c r="A7" s="1" t="s">
        <v>13</v>
      </c>
      <c r="B7" s="8">
        <f>PRODUCT('表17 各方法下的累积已报案赔款流量三角形逐年进展因子'!B7:$F7)</f>
        <v>1.3765550905890369</v>
      </c>
      <c r="C7" s="8">
        <f>PRODUCT('表17 各方法下的累积已报案赔款流量三角形逐年进展因子'!C7:$F7)</f>
        <v>1.1556036690640001</v>
      </c>
      <c r="D7" s="8">
        <f>PRODUCT('表17 各方法下的累积已报案赔款流量三角形逐年进展因子'!D7:$F7)</f>
        <v>1.0861957600000001</v>
      </c>
      <c r="E7" s="8">
        <f>PRODUCT('表17 各方法下的累积已报案赔款流量三角形逐年进展因子'!E7:$F7)</f>
        <v>1.0327999999999999</v>
      </c>
      <c r="F7" s="8">
        <f>PRODUCT('表17 各方法下的累积已报案赔款流量三角形逐年进展因子'!F7:$F7)</f>
        <v>1</v>
      </c>
    </row>
  </sheetData>
  <mergeCells count="2">
    <mergeCell ref="A1:A2"/>
    <mergeCell ref="B1:F1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9A1B3-56A0-4104-A658-9846F2603D61}">
  <dimension ref="A1:G7"/>
  <sheetViews>
    <sheetView workbookViewId="0">
      <selection activeCell="F7" sqref="F7"/>
    </sheetView>
  </sheetViews>
  <sheetFormatPr defaultRowHeight="14.4"/>
  <cols>
    <col min="7" max="7" width="21.109375" customWidth="1"/>
  </cols>
  <sheetData>
    <row r="1" spans="1:7" ht="15.6">
      <c r="A1" s="52" t="s">
        <v>0</v>
      </c>
      <c r="B1" s="53" t="s">
        <v>1</v>
      </c>
      <c r="C1" s="54"/>
      <c r="D1" s="54"/>
      <c r="E1" s="54"/>
      <c r="F1" s="55"/>
      <c r="G1" s="56" t="s">
        <v>20</v>
      </c>
    </row>
    <row r="2" spans="1:7" ht="15.6">
      <c r="A2" s="52"/>
      <c r="B2" s="10">
        <v>0</v>
      </c>
      <c r="C2" s="10">
        <v>1</v>
      </c>
      <c r="D2" s="10">
        <v>2</v>
      </c>
      <c r="E2" s="10">
        <v>3</v>
      </c>
      <c r="F2" s="10">
        <v>4</v>
      </c>
      <c r="G2" s="56"/>
    </row>
    <row r="3" spans="1:7" ht="15.6">
      <c r="A3" s="3">
        <v>2004</v>
      </c>
      <c r="B3" s="11">
        <f>IF(AND($A3-min_accident_year+B$2&lt;=4,ISNUMBER(B$2)),'表16 累积已报案赔款流量三角形'!B3,A3*INDEX('表17 各方法下的累积已报案赔款流量三角形逐年进展因子'!$B$4:$F$4,MATCH(A3,$B3:$F3,0)))</f>
        <v>2775</v>
      </c>
      <c r="C3" s="11">
        <f>IF(AND($A3-min_accident_year+C$2&lt;=4,ISNUMBER(C$2)),'表16 累积已报案赔款流量三角形'!C3,B3*INDEX('表17 各方法下的累积已报案赔款流量三角形逐年进展因子'!$B$4:$F$4,MATCH(B3,$B3:$F3,0)))</f>
        <v>3255</v>
      </c>
      <c r="D3" s="11">
        <f>IF(AND($A3-min_accident_year+D$2&lt;=4,ISNUMBER(D$2)),'表16 累积已报案赔款流量三角形'!D3,C3*INDEX('表17 各方法下的累积已报案赔款流量三角形逐年进展因子'!$B$4:$F$4,MATCH(C3,$B3:$F3,0)))</f>
        <v>3441</v>
      </c>
      <c r="E3" s="11">
        <f>IF(AND($A3-min_accident_year+E$2&lt;=4,ISNUMBER(E$2)),'表16 累积已报案赔款流量三角形'!E3,D3*INDEX('表17 各方法下的累积已报案赔款流量三角形逐年进展因子'!$B$4:$F$4,MATCH(D3,$B3:$F3,0)))</f>
        <v>3599</v>
      </c>
      <c r="F3" s="12">
        <f>IF(AND($A3-min_accident_year+F$2&lt;=4,ISNUMBER(F$2)),'表16 累积已报案赔款流量三角形'!F3,E3*INDEX('表17 各方法下的累积已报案赔款流量三角形逐年进展因子'!$B$4:$F$4,MATCH(E3,$B3:$F3,0)))</f>
        <v>3717</v>
      </c>
      <c r="G3" s="11">
        <f>IF(AND($A3-min_accident_year+G$2&lt;=4,ISNUMBER(G$2)),'表16 累积已报案赔款流量三角形'!G3,F3*INDEX('表17 各方法下的累积已报案赔款流量三角形逐年进展因子'!$B$4:$F$4,MATCH(F3,$B3:$F3,0)))</f>
        <v>3717</v>
      </c>
    </row>
    <row r="4" spans="1:7" ht="15.6">
      <c r="A4" s="3">
        <v>2005</v>
      </c>
      <c r="B4" s="11">
        <f>IF(AND($A4-min_accident_year+B$2&lt;=4,ISNUMBER(B$2)),'表16 累积已报案赔款流量三角形'!B4,A4*INDEX('表17 各方法下的累积已报案赔款流量三角形逐年进展因子'!$B$4:$F$4,MATCH(A4,$B4:$F4,0)))</f>
        <v>3220</v>
      </c>
      <c r="C4" s="11">
        <f>IF(AND($A4-min_accident_year+C$2&lt;=4,ISNUMBER(C$2)),'表16 累积已报案赔款流量三角形'!C4,B4*INDEX('表17 各方法下的累积已报案赔款流量三角形逐年进展因子'!$B$4:$F$4,MATCH(B4,$B4:$F4,0)))</f>
        <v>3772</v>
      </c>
      <c r="D4" s="11">
        <f>IF(AND($A4-min_accident_year+D$2&lt;=4,ISNUMBER(D$2)),'表16 累积已报案赔款流量三角形'!D4,C4*INDEX('表17 各方法下的累积已报案赔款流量三角形逐年进展因子'!$B$4:$F$4,MATCH(C4,$B4:$F4,0)))</f>
        <v>3974</v>
      </c>
      <c r="E4" s="12">
        <f>IF(AND($A4-min_accident_year+E$2&lt;=4,ISNUMBER(E$2)),'表16 累积已报案赔款流量三角形'!E4,D4*INDEX('表17 各方法下的累积已报案赔款流量三角形逐年进展因子'!$B$4:$F$4,MATCH(D4,$B4:$F4,0)))</f>
        <v>4199</v>
      </c>
      <c r="F4" s="11">
        <f>IF(AND($A4-min_accident_year+F$2&lt;=4,ISNUMBER(F$2)),'表16 累积已报案赔款流量三角形'!F4,E4*INDEX('表17 各方法下的累积已报案赔款流量三角形逐年进展因子'!$B$4:$F$4,MATCH(E4,$B4:$F4,0)))</f>
        <v>4336.7271999999994</v>
      </c>
      <c r="G4" s="11">
        <f>IF(AND($A4-min_accident_year+G$2&lt;=4,ISNUMBER(G$2)),'表16 累积已报案赔款流量三角形'!G4,F4*INDEX('表17 各方法下的累积已报案赔款流量三角形逐年进展因子'!$B$4:$F$4,MATCH(F4,$B4:$F4,0)))</f>
        <v>4336.7271999999994</v>
      </c>
    </row>
    <row r="5" spans="1:7" ht="15.6">
      <c r="A5" s="3">
        <v>2006</v>
      </c>
      <c r="B5" s="11">
        <f>IF(AND($A5-min_accident_year+B$2&lt;=4,ISNUMBER(B$2)),'表16 累积已报案赔款流量三角形'!B5,A5*INDEX('表17 各方法下的累积已报案赔款流量三角形逐年进展因子'!$B$4:$F$4,MATCH(A5,$B5:$F5,0)))</f>
        <v>3653</v>
      </c>
      <c r="C5" s="11">
        <f>IF(AND($A5-min_accident_year+C$2&lt;=4,ISNUMBER(C$2)),'表16 累积已报案赔款流量三角形'!C5,B5*INDEX('表17 各方法下的累积已报案赔款流量三角形逐年进展因子'!$B$4:$F$4,MATCH(B5,$B5:$F5,0)))</f>
        <v>4393</v>
      </c>
      <c r="D5" s="12">
        <f>IF(AND($A5-min_accident_year+D$2&lt;=4,ISNUMBER(D$2)),'表16 累积已报案赔款流量三角形'!D5,C5*INDEX('表17 各方法下的累积已报案赔款流量三角形逐年进展因子'!$B$4:$F$4,MATCH(C5,$B5:$F5,0)))</f>
        <v>4735</v>
      </c>
      <c r="E5" s="11">
        <f>IF(AND($A5-min_accident_year+E$2&lt;=4,ISNUMBER(E$2)),'表16 累积已报案赔款流量三角形'!E5,D5*INDEX('表17 各方法下的累积已报案赔款流量三角形逐年进展因子'!$B$4:$F$4,MATCH(D5,$B5:$F5,0)))</f>
        <v>4979.7995000000001</v>
      </c>
      <c r="F5" s="11">
        <f>IF(AND($A5-min_accident_year+F$2&lt;=4,ISNUMBER(F$2)),'表16 累积已报案赔款流量三角形'!F5,E5*INDEX('表17 各方法下的累积已报案赔款流量三角形逐年进展因子'!$B$4:$F$4,MATCH(E5,$B5:$F5,0)))</f>
        <v>5143.1369236</v>
      </c>
      <c r="G5" s="11">
        <f>IF(AND($A5-min_accident_year+G$2&lt;=4,ISNUMBER(G$2)),'表16 累积已报案赔款流量三角形'!G5,F5*INDEX('表17 各方法下的累积已报案赔款流量三角形逐年进展因子'!$B$4:$F$4,MATCH(F5,$B5:$F5,0)))</f>
        <v>5143.1369236</v>
      </c>
    </row>
    <row r="6" spans="1:7" ht="15.6">
      <c r="A6" s="3">
        <v>2007</v>
      </c>
      <c r="B6" s="11">
        <f>IF(AND($A6-min_accident_year+B$2&lt;=4,ISNUMBER(B$2)),'表16 累积已报案赔款流量三角形'!B6,A6*INDEX('表17 各方法下的累积已报案赔款流量三角形逐年进展因子'!$B$4:$F$4,MATCH(A6,$B6:$F6,0)))</f>
        <v>4518</v>
      </c>
      <c r="C6" s="12">
        <f>IF(AND($A6-min_accident_year+C$2&lt;=4,ISNUMBER(C$2)),'表16 累积已报案赔款流量三角形'!C6,B6*INDEX('表17 各方法下的累积已报案赔款流量三角形逐年进展因子'!$B$4:$F$4,MATCH(B6,$B6:$F6,0)))</f>
        <v>5404</v>
      </c>
      <c r="D6" s="11">
        <f>IF(AND($A6-min_accident_year+D$2&lt;=4,ISNUMBER(D$2)),'表16 累积已报案赔款流量三角形'!D6,C6*INDEX('表17 各方法下的累积已报案赔款流量三角形逐年进展因子'!$B$4:$F$4,MATCH(C6,$B6:$F6,0)))</f>
        <v>5749.3156000000008</v>
      </c>
      <c r="E6" s="11">
        <f>IF(AND($A6-min_accident_year+E$2&lt;=4,ISNUMBER(E$2)),'表16 累积已报案赔款流量三角形'!E6,D6*INDEX('表17 各方法下的累积已报案赔款流量三角形逐年进展因子'!$B$4:$F$4,MATCH(D6,$B6:$F6,0)))</f>
        <v>6046.5552165200015</v>
      </c>
      <c r="F6" s="11">
        <f>IF(AND($A6-min_accident_year+F$2&lt;=4,ISNUMBER(F$2)),'表16 累积已报案赔款流量三角形'!F6,E6*INDEX('表17 各方法下的累积已报案赔款流量三角形逐年进展因子'!$B$4:$F$4,MATCH(E6,$B6:$F6,0)))</f>
        <v>6244.8822276218571</v>
      </c>
      <c r="G6" s="11">
        <f>IF(AND($A6-min_accident_year+G$2&lt;=4,ISNUMBER(G$2)),'表16 累积已报案赔款流量三角形'!G6,F6*INDEX('表17 各方法下的累积已报案赔款流量三角形逐年进展因子'!$B$4:$F$4,MATCH(F6,$B6:$F6,0)))</f>
        <v>6244.8822276218571</v>
      </c>
    </row>
    <row r="7" spans="1:7" ht="15.6">
      <c r="A7" s="3">
        <v>2008</v>
      </c>
      <c r="B7" s="12">
        <f>IF(AND($A7-min_accident_year+B$2&lt;=4,ISNUMBER(B$2)),'表16 累积已报案赔款流量三角形'!B7,A7*INDEX('表17 各方法下的累积已报案赔款流量三角形逐年进展因子'!$B$4:$F$4,MATCH(A7,$B7:$F7,0)))</f>
        <v>5330</v>
      </c>
      <c r="C7" s="11">
        <f>IF(AND($A7-min_accident_year+C$2&lt;=4,ISNUMBER(C$2)),'表16 累积已报案赔款流量三角形'!C7,B7*INDEX('表17 各方法下的累积已报案赔款流量三角形逐年进展因子'!$B$4:$F$4,MATCH(B7,$B7:$F7,0)))</f>
        <v>6329.9080000000004</v>
      </c>
      <c r="D7" s="11">
        <f>IF(AND($A7-min_accident_year+D$2&lt;=4,ISNUMBER(D$2)),'表16 累积已报案赔款流量三角形'!D7,C7*INDEX('表17 各方法下的累积已报案赔款流量三角形逐年进展因子'!$B$4:$F$4,MATCH(C7,$B7:$F7,0)))</f>
        <v>6734.3891212000008</v>
      </c>
      <c r="E7" s="11">
        <f>IF(AND($A7-min_accident_year+E$2&lt;=4,ISNUMBER(E$2)),'表16 累积已报案赔款流量三角形'!E7,D7*INDEX('表17 各方法下的累积已报案赔款流量三角形逐年进展因子'!$B$4:$F$4,MATCH(D7,$B7:$F7,0)))</f>
        <v>7082.5570387660409</v>
      </c>
      <c r="F7" s="11">
        <f>IF(AND($A7-min_accident_year+F$2&lt;=4,ISNUMBER(F$2)),'表16 累积已报案赔款流量三角形'!F7,E7*INDEX('表17 各方法下的累积已报案赔款流量三角形逐年进展因子'!$B$4:$F$4,MATCH(E7,$B7:$F7,0)))</f>
        <v>7314.8649096375666</v>
      </c>
      <c r="G7" s="11">
        <f>IF(AND($A7-min_accident_year+G$2&lt;=4,ISNUMBER(G$2)),'表16 累积已报案赔款流量三角形'!G7,F7*INDEX('表17 各方法下的累积已报案赔款流量三角形逐年进展因子'!$B$4:$F$4,MATCH(F7,$B7:$F7,0)))</f>
        <v>7314.8649096375666</v>
      </c>
    </row>
  </sheetData>
  <mergeCells count="3">
    <mergeCell ref="A1:A2"/>
    <mergeCell ref="B1:F1"/>
    <mergeCell ref="G1:G2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445DE-C397-4E56-B55C-C4EEE11B4F19}">
  <dimension ref="A1:H18"/>
  <sheetViews>
    <sheetView workbookViewId="0">
      <selection sqref="A1:B1"/>
    </sheetView>
  </sheetViews>
  <sheetFormatPr defaultRowHeight="14.4"/>
  <cols>
    <col min="1" max="1" width="25.21875" customWidth="1"/>
    <col min="2" max="2" width="15.21875" customWidth="1"/>
  </cols>
  <sheetData>
    <row r="1" spans="1:8" ht="15.6">
      <c r="A1" s="52" t="s">
        <v>0</v>
      </c>
      <c r="B1" s="52"/>
      <c r="C1" s="3">
        <v>5</v>
      </c>
      <c r="D1" s="3">
        <v>4</v>
      </c>
      <c r="E1" s="3">
        <v>3</v>
      </c>
      <c r="F1" s="3">
        <v>2</v>
      </c>
      <c r="G1" s="3">
        <v>1</v>
      </c>
      <c r="H1" s="3" t="s">
        <v>21</v>
      </c>
    </row>
    <row r="2" spans="1:8" ht="15.6">
      <c r="A2" s="53" t="s">
        <v>32</v>
      </c>
      <c r="B2" s="55"/>
      <c r="C2" s="3">
        <f>'表14 多种方法下的未决赔款准备金（基于已付赔款数据）'!C2</f>
        <v>1730</v>
      </c>
      <c r="D2" s="3">
        <f>'表14 多种方法下的未决赔款准备金（基于已付赔款数据）'!D2</f>
        <v>2865</v>
      </c>
      <c r="E2" s="3">
        <f>'表14 多种方法下的未决赔款准备金（基于已付赔款数据）'!E2</f>
        <v>3235</v>
      </c>
      <c r="F2" s="3">
        <f>'表14 多种方法下的未决赔款准备金（基于已付赔款数据）'!F2</f>
        <v>3400</v>
      </c>
      <c r="G2" s="3">
        <f>'表14 多种方法下的未决赔款准备金（基于已付赔款数据）'!G2</f>
        <v>3337</v>
      </c>
      <c r="H2" s="3">
        <f>'表14 多种方法下的未决赔款准备金（基于已付赔款数据）'!H2</f>
        <v>14567</v>
      </c>
    </row>
    <row r="3" spans="1:8" ht="15.6">
      <c r="A3" s="52" t="s">
        <v>31</v>
      </c>
      <c r="B3" s="52"/>
      <c r="C3" s="13">
        <f>VLOOKUP(C1+min_accident_year-1,'表19 赔款与最终赔款的估计值（基于已报案赔款数据）'!$A$3:$F$7,max_development_year-C1+3,FALSE)</f>
        <v>5330</v>
      </c>
      <c r="D3" s="13">
        <f>VLOOKUP(D1+min_accident_year-1,'表19 赔款与最终赔款的估计值（基于已报案赔款数据）'!$A$3:$F$7,max_development_year-D1+3,FALSE)</f>
        <v>5404</v>
      </c>
      <c r="E3" s="13">
        <f>VLOOKUP(E1+min_accident_year-1,'表19 赔款与最终赔款的估计值（基于已报案赔款数据）'!$A$3:$F$7,max_development_year-E1+3,FALSE)</f>
        <v>4735</v>
      </c>
      <c r="F3" s="13">
        <f>VLOOKUP(F1+min_accident_year-1,'表19 赔款与最终赔款的估计值（基于已报案赔款数据）'!$A$3:$F$7,max_development_year-F1+3,FALSE)</f>
        <v>4199</v>
      </c>
      <c r="G3" s="13">
        <f>VLOOKUP(G1+min_accident_year-1,'表19 赔款与最终赔款的估计值（基于已报案赔款数据）'!$A$3:$F$7,max_development_year-G1+3,FALSE)</f>
        <v>3717</v>
      </c>
      <c r="H3" s="13">
        <f>SUM(C3:G3)</f>
        <v>23385</v>
      </c>
    </row>
    <row r="4" spans="1:8" ht="15.6">
      <c r="A4" s="57" t="s">
        <v>23</v>
      </c>
      <c r="B4" s="3" t="s">
        <v>24</v>
      </c>
      <c r="C4" s="16">
        <f>ROUND('表18 各方法下的累积已报案赔款流量三角形最终进展因子'!B3,4)</f>
        <v>1.3684000000000001</v>
      </c>
      <c r="D4" s="16">
        <f>ROUND('表18 各方法下的累积已报案赔款流量三角形最终进展因子'!C3,4)</f>
        <v>1.1539999999999999</v>
      </c>
      <c r="E4" s="16">
        <f>ROUND('表18 各方法下的累积已报案赔款流量三角形最终进展因子'!D3,4)</f>
        <v>1.0858000000000001</v>
      </c>
      <c r="F4" s="16">
        <f>ROUND('表18 各方法下的累积已报案赔款流量三角形最终进展因子'!E3,4)</f>
        <v>1.0327999999999999</v>
      </c>
      <c r="G4" s="16">
        <f>ROUND('表18 各方法下的累积已报案赔款流量三角形最终进展因子'!F3,4)</f>
        <v>1</v>
      </c>
      <c r="H4" s="16"/>
    </row>
    <row r="5" spans="1:8" ht="15.6">
      <c r="A5" s="58"/>
      <c r="B5" s="3" t="s">
        <v>25</v>
      </c>
      <c r="C5" s="17">
        <f>C3*C4</f>
        <v>7293.5720000000001</v>
      </c>
      <c r="D5" s="17">
        <f t="shared" ref="D5:G5" si="0">D3*D4</f>
        <v>6236.2159999999994</v>
      </c>
      <c r="E5" s="17">
        <f t="shared" si="0"/>
        <v>5141.2630000000008</v>
      </c>
      <c r="F5" s="17">
        <f t="shared" si="0"/>
        <v>4336.7271999999994</v>
      </c>
      <c r="G5" s="17">
        <f t="shared" si="0"/>
        <v>3717</v>
      </c>
      <c r="H5" s="17">
        <f>SUM(C5:G5)</f>
        <v>26724.778200000001</v>
      </c>
    </row>
    <row r="6" spans="1:8" ht="15.6">
      <c r="A6" s="59"/>
      <c r="B6" s="3" t="s">
        <v>26</v>
      </c>
      <c r="C6" s="17">
        <f>C5-C2</f>
        <v>5563.5720000000001</v>
      </c>
      <c r="D6" s="17">
        <f t="shared" ref="D6:H6" si="1">D5-D2</f>
        <v>3371.2159999999994</v>
      </c>
      <c r="E6" s="17">
        <f t="shared" si="1"/>
        <v>1906.2630000000008</v>
      </c>
      <c r="F6" s="17">
        <f t="shared" si="1"/>
        <v>936.72719999999936</v>
      </c>
      <c r="G6" s="17">
        <f t="shared" si="1"/>
        <v>380</v>
      </c>
      <c r="H6" s="17">
        <f t="shared" si="1"/>
        <v>12157.778200000001</v>
      </c>
    </row>
    <row r="7" spans="1:8" ht="15.6">
      <c r="A7" s="57" t="s">
        <v>27</v>
      </c>
      <c r="B7" s="3" t="s">
        <v>24</v>
      </c>
      <c r="C7" s="16">
        <f>ROUND('表18 各方法下的累积已报案赔款流量三角形最终进展因子'!B4,4)</f>
        <v>1.3724000000000001</v>
      </c>
      <c r="D7" s="16">
        <f>ROUND('表18 各方法下的累积已报案赔款流量三角形最终进展因子'!C4,4)</f>
        <v>1.1556</v>
      </c>
      <c r="E7" s="16">
        <f>ROUND('表18 各方法下的累积已报案赔款流量三角形最终进展因子'!D4,4)</f>
        <v>1.0862000000000001</v>
      </c>
      <c r="F7" s="16">
        <f>ROUND('表18 各方法下的累积已报案赔款流量三角形最终进展因子'!E4,4)</f>
        <v>1.0327999999999999</v>
      </c>
      <c r="G7" s="16">
        <f>ROUND('表18 各方法下的累积已报案赔款流量三角形最终进展因子'!F4,4)</f>
        <v>1</v>
      </c>
      <c r="H7" s="15"/>
    </row>
    <row r="8" spans="1:8" ht="15.6">
      <c r="A8" s="58"/>
      <c r="B8" s="3" t="s">
        <v>25</v>
      </c>
      <c r="C8" s="17">
        <f>C3*C7</f>
        <v>7314.8920000000007</v>
      </c>
      <c r="D8" s="17">
        <f t="shared" ref="D8:G8" si="2">D3*D7</f>
        <v>6244.8624</v>
      </c>
      <c r="E8" s="17">
        <f t="shared" si="2"/>
        <v>5143.1570000000002</v>
      </c>
      <c r="F8" s="17">
        <f t="shared" si="2"/>
        <v>4336.7271999999994</v>
      </c>
      <c r="G8" s="17">
        <f t="shared" si="2"/>
        <v>3717</v>
      </c>
      <c r="H8" s="17">
        <f>SUM(C8:G8)</f>
        <v>26756.638599999998</v>
      </c>
    </row>
    <row r="9" spans="1:8" ht="15.6">
      <c r="A9" s="59"/>
      <c r="B9" s="3" t="s">
        <v>26</v>
      </c>
      <c r="C9" s="17">
        <f>C8-C2</f>
        <v>5584.8920000000007</v>
      </c>
      <c r="D9" s="17">
        <f t="shared" ref="D9:H9" si="3">D8-D2</f>
        <v>3379.8624</v>
      </c>
      <c r="E9" s="17">
        <f t="shared" si="3"/>
        <v>1908.1570000000002</v>
      </c>
      <c r="F9" s="17">
        <f t="shared" si="3"/>
        <v>936.72719999999936</v>
      </c>
      <c r="G9" s="17">
        <f t="shared" si="3"/>
        <v>380</v>
      </c>
      <c r="H9" s="17">
        <f t="shared" si="3"/>
        <v>12189.638599999998</v>
      </c>
    </row>
    <row r="10" spans="1:8" ht="15.6">
      <c r="A10" s="57" t="s">
        <v>28</v>
      </c>
      <c r="B10" s="3" t="s">
        <v>24</v>
      </c>
      <c r="C10" s="16">
        <f>ROUND('表18 各方法下的累积已报案赔款流量三角形最终进展因子'!B5,4)</f>
        <v>1.3683000000000001</v>
      </c>
      <c r="D10" s="16">
        <f>ROUND('表18 各方法下的累积已报案赔款流量三角形最终进展因子'!C5,4)</f>
        <v>1.1539999999999999</v>
      </c>
      <c r="E10" s="16">
        <f>ROUND('表18 各方法下的累积已报案赔款流量三角形最终进展因子'!D5,4)</f>
        <v>1.0858000000000001</v>
      </c>
      <c r="F10" s="16">
        <f>ROUND('表18 各方法下的累积已报案赔款流量三角形最终进展因子'!E5,4)</f>
        <v>1.0327999999999999</v>
      </c>
      <c r="G10" s="16">
        <f>ROUND('表18 各方法下的累积已报案赔款流量三角形最终进展因子'!F5,4)</f>
        <v>1</v>
      </c>
      <c r="H10" s="15"/>
    </row>
    <row r="11" spans="1:8" ht="15.6">
      <c r="A11" s="58"/>
      <c r="B11" s="3" t="s">
        <v>25</v>
      </c>
      <c r="C11" s="17">
        <f>C3*C10</f>
        <v>7293.0390000000007</v>
      </c>
      <c r="D11" s="17">
        <f t="shared" ref="D11:G11" si="4">D3*D10</f>
        <v>6236.2159999999994</v>
      </c>
      <c r="E11" s="17">
        <f t="shared" si="4"/>
        <v>5141.2630000000008</v>
      </c>
      <c r="F11" s="17">
        <f t="shared" si="4"/>
        <v>4336.7271999999994</v>
      </c>
      <c r="G11" s="17">
        <f t="shared" si="4"/>
        <v>3717</v>
      </c>
      <c r="H11" s="13">
        <f>SUM(C11:G11)</f>
        <v>26724.245200000005</v>
      </c>
    </row>
    <row r="12" spans="1:8" ht="15.6">
      <c r="A12" s="59"/>
      <c r="B12" s="3" t="s">
        <v>26</v>
      </c>
      <c r="C12" s="17">
        <f>C11-C2</f>
        <v>5563.0390000000007</v>
      </c>
      <c r="D12" s="17">
        <f t="shared" ref="D12:H12" si="5">D11-D2</f>
        <v>3371.2159999999994</v>
      </c>
      <c r="E12" s="17">
        <f t="shared" si="5"/>
        <v>1906.2630000000008</v>
      </c>
      <c r="F12" s="17">
        <f t="shared" si="5"/>
        <v>936.72719999999936</v>
      </c>
      <c r="G12" s="17">
        <f t="shared" si="5"/>
        <v>380</v>
      </c>
      <c r="H12" s="17">
        <f t="shared" si="5"/>
        <v>12157.245200000005</v>
      </c>
    </row>
    <row r="13" spans="1:8" ht="15.6">
      <c r="A13" s="57" t="s">
        <v>29</v>
      </c>
      <c r="B13" s="3" t="s">
        <v>24</v>
      </c>
      <c r="C13" s="16">
        <f>ROUND('表18 各方法下的累积已报案赔款流量三角形最终进展因子'!B6,4)</f>
        <v>1.3732</v>
      </c>
      <c r="D13" s="16">
        <f>ROUND('表18 各方法下的累积已报案赔款流量三角形最终进展因子'!C6,4)</f>
        <v>1.1539999999999999</v>
      </c>
      <c r="E13" s="16">
        <f>ROUND('表18 各方法下的累积已报案赔款流量三角形最终进展因子'!D6,4)</f>
        <v>1.0858000000000001</v>
      </c>
      <c r="F13" s="16">
        <f>ROUND('表18 各方法下的累积已报案赔款流量三角形最终进展因子'!E6,4)</f>
        <v>1.0327999999999999</v>
      </c>
      <c r="G13" s="16">
        <f>ROUND('表18 各方法下的累积已报案赔款流量三角形最终进展因子'!F6,4)</f>
        <v>1</v>
      </c>
      <c r="H13" s="15"/>
    </row>
    <row r="14" spans="1:8" ht="15.6">
      <c r="A14" s="58"/>
      <c r="B14" s="3" t="s">
        <v>25</v>
      </c>
      <c r="C14" s="17">
        <f>C3*C13</f>
        <v>7319.1559999999999</v>
      </c>
      <c r="D14" s="17">
        <f t="shared" ref="D14:G14" si="6">D3*D13</f>
        <v>6236.2159999999994</v>
      </c>
      <c r="E14" s="17">
        <f t="shared" si="6"/>
        <v>5141.2630000000008</v>
      </c>
      <c r="F14" s="17">
        <f t="shared" si="6"/>
        <v>4336.7271999999994</v>
      </c>
      <c r="G14" s="17">
        <f t="shared" si="6"/>
        <v>3717</v>
      </c>
      <c r="H14" s="17">
        <f>SUM(C14:G14)</f>
        <v>26750.362200000003</v>
      </c>
    </row>
    <row r="15" spans="1:8" ht="15.6">
      <c r="A15" s="59"/>
      <c r="B15" s="3" t="s">
        <v>26</v>
      </c>
      <c r="C15" s="17">
        <f>C14-C2</f>
        <v>5589.1559999999999</v>
      </c>
      <c r="D15" s="17">
        <f t="shared" ref="D15:H15" si="7">D14-D2</f>
        <v>3371.2159999999994</v>
      </c>
      <c r="E15" s="17">
        <f t="shared" si="7"/>
        <v>1906.2630000000008</v>
      </c>
      <c r="F15" s="17">
        <f t="shared" si="7"/>
        <v>936.72719999999936</v>
      </c>
      <c r="G15" s="17">
        <f t="shared" si="7"/>
        <v>380</v>
      </c>
      <c r="H15" s="17">
        <f t="shared" si="7"/>
        <v>12183.362200000003</v>
      </c>
    </row>
    <row r="16" spans="1:8" ht="15.6">
      <c r="A16" s="52" t="s">
        <v>30</v>
      </c>
      <c r="B16" s="3" t="s">
        <v>24</v>
      </c>
      <c r="C16" s="16">
        <f>ROUND('表18 各方法下的累积已报案赔款流量三角形最终进展因子'!B7,4)</f>
        <v>1.3766</v>
      </c>
      <c r="D16" s="16">
        <f>ROUND('表18 各方法下的累积已报案赔款流量三角形最终进展因子'!C7,4)</f>
        <v>1.1556</v>
      </c>
      <c r="E16" s="16">
        <f>ROUND('表18 各方法下的累积已报案赔款流量三角形最终进展因子'!D7,4)</f>
        <v>1.0862000000000001</v>
      </c>
      <c r="F16" s="16">
        <f>ROUND('表18 各方法下的累积已报案赔款流量三角形最终进展因子'!E7,4)</f>
        <v>1.0327999999999999</v>
      </c>
      <c r="G16" s="16">
        <f>ROUND('表18 各方法下的累积已报案赔款流量三角形最终进展因子'!F7,4)</f>
        <v>1</v>
      </c>
      <c r="H16" s="15"/>
    </row>
    <row r="17" spans="1:8" ht="15.6">
      <c r="A17" s="52"/>
      <c r="B17" s="3" t="s">
        <v>25</v>
      </c>
      <c r="C17" s="17">
        <f>C3*C16</f>
        <v>7337.2780000000002</v>
      </c>
      <c r="D17" s="17">
        <f t="shared" ref="D17:G17" si="8">D3*D16</f>
        <v>6244.8624</v>
      </c>
      <c r="E17" s="17">
        <f t="shared" si="8"/>
        <v>5143.1570000000002</v>
      </c>
      <c r="F17" s="17">
        <f t="shared" si="8"/>
        <v>4336.7271999999994</v>
      </c>
      <c r="G17" s="17">
        <f t="shared" si="8"/>
        <v>3717</v>
      </c>
      <c r="H17" s="17">
        <f>SUM(C17:G17)</f>
        <v>26779.024599999997</v>
      </c>
    </row>
    <row r="18" spans="1:8" ht="15.6">
      <c r="A18" s="52"/>
      <c r="B18" s="3" t="s">
        <v>26</v>
      </c>
      <c r="C18" s="17">
        <f>C17-C2</f>
        <v>5607.2780000000002</v>
      </c>
      <c r="D18" s="17">
        <f t="shared" ref="D18:H18" si="9">D17-D2</f>
        <v>3379.8624</v>
      </c>
      <c r="E18" s="17">
        <f t="shared" si="9"/>
        <v>1908.1570000000002</v>
      </c>
      <c r="F18" s="17">
        <f t="shared" si="9"/>
        <v>936.72719999999936</v>
      </c>
      <c r="G18" s="17">
        <f t="shared" si="9"/>
        <v>380</v>
      </c>
      <c r="H18" s="17">
        <f t="shared" si="9"/>
        <v>12212.024599999997</v>
      </c>
    </row>
  </sheetData>
  <mergeCells count="8">
    <mergeCell ref="A16:A18"/>
    <mergeCell ref="A1:B1"/>
    <mergeCell ref="A3:B3"/>
    <mergeCell ref="A4:A6"/>
    <mergeCell ref="A7:A9"/>
    <mergeCell ref="A10:A12"/>
    <mergeCell ref="A13:A15"/>
    <mergeCell ref="A2:B2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177F-5A23-481C-885F-3FBF3E633FA9}">
  <dimension ref="A1:B6"/>
  <sheetViews>
    <sheetView workbookViewId="0">
      <selection activeCell="F15" sqref="F15"/>
    </sheetView>
  </sheetViews>
  <sheetFormatPr defaultRowHeight="14.4"/>
  <cols>
    <col min="1" max="1" width="8.88671875" style="14"/>
    <col min="2" max="2" width="11" style="14" customWidth="1"/>
  </cols>
  <sheetData>
    <row r="1" spans="1:2" ht="15.6">
      <c r="A1" s="3" t="s">
        <v>34</v>
      </c>
      <c r="B1" s="3" t="s">
        <v>33</v>
      </c>
    </row>
    <row r="2" spans="1:2" ht="15.6">
      <c r="A2" s="3">
        <v>2004</v>
      </c>
      <c r="B2" s="3">
        <v>498</v>
      </c>
    </row>
    <row r="3" spans="1:2" ht="15.6">
      <c r="A3" s="3">
        <v>2005</v>
      </c>
      <c r="B3" s="3">
        <v>539</v>
      </c>
    </row>
    <row r="4" spans="1:2" ht="15.6">
      <c r="A4" s="3">
        <v>2006</v>
      </c>
      <c r="B4" s="3">
        <v>580</v>
      </c>
    </row>
    <row r="5" spans="1:2" ht="15.6">
      <c r="A5" s="3">
        <v>2007</v>
      </c>
      <c r="B5" s="3">
        <v>612</v>
      </c>
    </row>
    <row r="6" spans="1:2" ht="15.6">
      <c r="A6" s="3">
        <v>2008</v>
      </c>
      <c r="B6" s="3">
        <v>618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5A33B-85A7-4688-8777-3365E74229DA}">
  <dimension ref="A1:F7"/>
  <sheetViews>
    <sheetView workbookViewId="0">
      <selection activeCell="G3" sqref="G3"/>
    </sheetView>
  </sheetViews>
  <sheetFormatPr defaultRowHeight="14.4"/>
  <sheetData>
    <row r="1" spans="1:6" ht="15.6">
      <c r="A1" s="52" t="s">
        <v>0</v>
      </c>
      <c r="B1" s="52" t="s">
        <v>1</v>
      </c>
      <c r="C1" s="52"/>
      <c r="D1" s="52"/>
      <c r="E1" s="52"/>
      <c r="F1" s="52"/>
    </row>
    <row r="2" spans="1:6" ht="15.6">
      <c r="A2" s="52"/>
      <c r="B2" s="3">
        <v>0</v>
      </c>
      <c r="C2" s="3">
        <v>1</v>
      </c>
      <c r="D2" s="3">
        <v>2</v>
      </c>
      <c r="E2" s="3">
        <v>3</v>
      </c>
      <c r="F2" s="3">
        <v>4</v>
      </c>
    </row>
    <row r="3" spans="1:6" ht="15.6">
      <c r="A3" s="3">
        <v>2004</v>
      </c>
      <c r="B3" s="3">
        <f>IF('表8 累积赔款额流量三角形示例'!B$2=0,'表8 累积赔款额流量三角形示例'!B3,IF('表8 累积赔款额流量三角形示例'!B3="","",'表8 累积赔款额流量三角形示例'!B3-'表8 累积赔款额流量三角形示例'!A3))</f>
        <v>1003</v>
      </c>
      <c r="C3" s="3">
        <f>IF('表8 累积赔款额流量三角形示例'!C$2=0,'表8 累积赔款额流量三角形示例'!C3,IF('表8 累积赔款额流量三角形示例'!C3="","",'表8 累积赔款额流量三角形示例'!C3-'表8 累积赔款额流量三角形示例'!B3))</f>
        <v>852</v>
      </c>
      <c r="D3" s="3">
        <f>IF('表8 累积赔款额流量三角形示例'!D$2=0,'表8 累积赔款额流量三角形示例'!D3,IF('表8 累积赔款额流量三角形示例'!D3="","",'表8 累积赔款额流量三角形示例'!D3-'表8 累积赔款额流量三角形示例'!C3))</f>
        <v>558</v>
      </c>
      <c r="E3" s="3">
        <f>IF('表8 累积赔款额流量三角形示例'!E$2=0,'表8 累积赔款额流量三角形示例'!E3,IF('表8 累积赔款额流量三角形示例'!E3="","",'表8 累积赔款额流量三角形示例'!E3-'表8 累积赔款额流量三角形示例'!D3))</f>
        <v>586</v>
      </c>
      <c r="F3" s="3">
        <f>IF('表8 累积赔款额流量三角形示例'!F$2=0,'表8 累积赔款额流量三角形示例'!F3,IF('表8 累积赔款额流量三角形示例'!F3="","",'表8 累积赔款额流量三角形示例'!F3-'表8 累积赔款额流量三角形示例'!E3))</f>
        <v>338</v>
      </c>
    </row>
    <row r="4" spans="1:6" ht="15.6">
      <c r="A4" s="3">
        <v>2005</v>
      </c>
      <c r="B4" s="3">
        <f>IF('表8 累积赔款额流量三角形示例'!B$2=0,'表8 累积赔款额流量三角形示例'!B4,IF('表8 累积赔款额流量三角形示例'!B4="","",'表8 累积赔款额流量三角形示例'!B4-'表8 累积赔款额流量三角形示例'!A4))</f>
        <v>1120</v>
      </c>
      <c r="C4" s="3">
        <f>IF('表8 累积赔款额流量三角形示例'!C$2=0,'表8 累积赔款额流量三角形示例'!C4,IF('表8 累积赔款额流量三角形示例'!C4="","",'表8 累积赔款额流量三角形示例'!C4-'表8 累积赔款额流量三角形示例'!B4))</f>
        <v>993</v>
      </c>
      <c r="D4" s="3">
        <f>IF('表8 累积赔款额流量三角形示例'!D$2=0,'表8 累积赔款额流量三角形示例'!D4,IF('表8 累积赔款额流量三角形示例'!D4="","",'表8 累积赔款额流量三角形示例'!D4-'表8 累积赔款额流量三角形示例'!C4))</f>
        <v>663</v>
      </c>
      <c r="E4" s="3">
        <f>IF('表8 累积赔款额流量三角形示例'!E$2=0,'表8 累积赔款额流量三角形示例'!E4,IF('表8 累积赔款额流量三角形示例'!E4="","",'表8 累积赔款额流量三角形示例'!E4-'表8 累积赔款额流量三角形示例'!D4))</f>
        <v>624</v>
      </c>
      <c r="F4" s="3" t="str">
        <f>IF('表8 累积赔款额流量三角形示例'!F$2=0,'表8 累积赔款额流量三角形示例'!F4,IF('表8 累积赔款额流量三角形示例'!F4="","",'表8 累积赔款额流量三角形示例'!F4-'表8 累积赔款额流量三角形示例'!E4))</f>
        <v/>
      </c>
    </row>
    <row r="5" spans="1:6" ht="15.6">
      <c r="A5" s="3">
        <v>2006</v>
      </c>
      <c r="B5" s="3">
        <f>IF('表8 累积赔款额流量三角形示例'!B$2=0,'表8 累积赔款额流量三角形示例'!B5,IF('表8 累积赔款额流量三角形示例'!B5="","",'表8 累积赔款额流量三角形示例'!B5-'表8 累积赔款额流量三角形示例'!A5))</f>
        <v>1275</v>
      </c>
      <c r="C5" s="3">
        <f>IF('表8 累积赔款额流量三角形示例'!C$2=0,'表8 累积赔款额流量三角形示例'!C5,IF('表8 累积赔款额流量三角形示例'!C5="","",'表8 累积赔款额流量三角形示例'!C5-'表8 累积赔款额流量三角形示例'!B5))</f>
        <v>1148</v>
      </c>
      <c r="D5" s="3">
        <f>IF('表8 累积赔款额流量三角形示例'!D$2=0,'表8 累积赔款额流量三角形示例'!D5,IF('表8 累积赔款额流量三角形示例'!D5="","",'表8 累积赔款额流量三角形示例'!D5-'表8 累积赔款额流量三角形示例'!C5))</f>
        <v>812</v>
      </c>
      <c r="E5" s="3" t="str">
        <f>IF('表8 累积赔款额流量三角形示例'!E$2=0,'表8 累积赔款额流量三角形示例'!E5,IF('表8 累积赔款额流量三角形示例'!E5="","",'表8 累积赔款额流量三角形示例'!E5-'表8 累积赔款额流量三角形示例'!D5))</f>
        <v/>
      </c>
      <c r="F5" s="3" t="str">
        <f>IF('表8 累积赔款额流量三角形示例'!F$2=0,'表8 累积赔款额流量三角形示例'!F5,IF('表8 累积赔款额流量三角形示例'!F5="","",'表8 累积赔款额流量三角形示例'!F5-'表8 累积赔款额流量三角形示例'!E5))</f>
        <v/>
      </c>
    </row>
    <row r="6" spans="1:6" ht="15.6">
      <c r="A6" s="3">
        <v>2007</v>
      </c>
      <c r="B6" s="3">
        <f>IF('表8 累积赔款额流量三角形示例'!B$2=0,'表8 累积赔款额流量三角形示例'!B6,IF('表8 累积赔款额流量三角形示例'!B6="","",'表8 累积赔款额流量三角形示例'!B6-'表8 累积赔款额流量三角形示例'!A6))</f>
        <v>1489</v>
      </c>
      <c r="C6" s="3">
        <f>IF('表8 累积赔款额流量三角形示例'!C$2=0,'表8 累积赔款额流量三角形示例'!C6,IF('表8 累积赔款额流量三角形示例'!C6="","",'表8 累积赔款额流量三角形示例'!C6-'表8 累积赔款额流量三角形示例'!B6))</f>
        <v>1376</v>
      </c>
      <c r="D6" s="3" t="str">
        <f>IF('表8 累积赔款额流量三角形示例'!D$2=0,'表8 累积赔款额流量三角形示例'!D6,IF('表8 累积赔款额流量三角形示例'!D6="","",'表8 累积赔款额流量三角形示例'!D6-'表8 累积赔款额流量三角形示例'!C6))</f>
        <v/>
      </c>
      <c r="E6" s="3" t="str">
        <f>IF('表8 累积赔款额流量三角形示例'!E$2=0,'表8 累积赔款额流量三角形示例'!E6,IF('表8 累积赔款额流量三角形示例'!E6="","",'表8 累积赔款额流量三角形示例'!E6-'表8 累积赔款额流量三角形示例'!D6))</f>
        <v/>
      </c>
      <c r="F6" s="3" t="str">
        <f>IF('表8 累积赔款额流量三角形示例'!F$2=0,'表8 累积赔款额流量三角形示例'!F6,IF('表8 累积赔款额流量三角形示例'!F6="","",'表8 累积赔款额流量三角形示例'!F6-'表8 累积赔款额流量三角形示例'!E6))</f>
        <v/>
      </c>
    </row>
    <row r="7" spans="1:6" ht="15.6">
      <c r="A7" s="3">
        <v>2008</v>
      </c>
      <c r="B7" s="3">
        <f>IF('表8 累积赔款额流量三角形示例'!B$2=0,'表8 累积赔款额流量三角形示例'!B7,IF('表8 累积赔款额流量三角形示例'!B7="","",'表8 累积赔款额流量三角形示例'!B7-'表8 累积赔款额流量三角形示例'!A7))</f>
        <v>1730</v>
      </c>
      <c r="C7" s="3" t="str">
        <f>IF('表8 累积赔款额流量三角形示例'!C$2=0,'表8 累积赔款额流量三角形示例'!C7,IF('表8 累积赔款额流量三角形示例'!C7="","",'表8 累积赔款额流量三角形示例'!C7-'表8 累积赔款额流量三角形示例'!B7))</f>
        <v/>
      </c>
      <c r="D7" s="3" t="str">
        <f>IF('表8 累积赔款额流量三角形示例'!D$2=0,'表8 累积赔款额流量三角形示例'!D7,IF('表8 累积赔款额流量三角形示例'!D7="","",'表8 累积赔款额流量三角形示例'!D7-'表8 累积赔款额流量三角形示例'!C7))</f>
        <v/>
      </c>
      <c r="E7" s="3" t="str">
        <f>IF('表8 累积赔款额流量三角形示例'!E$2=0,'表8 累积赔款额流量三角形示例'!E7,IF('表8 累积赔款额流量三角形示例'!E7="","",'表8 累积赔款额流量三角形示例'!E7-'表8 累积赔款额流量三角形示例'!D7))</f>
        <v/>
      </c>
      <c r="F7" s="3" t="str">
        <f>IF('表8 累积赔款额流量三角形示例'!F$2=0,'表8 累积赔款额流量三角形示例'!F7,IF('表8 累积赔款额流量三角形示例'!F7="","",'表8 累积赔款额流量三角形示例'!F7-'表8 累积赔款额流量三角形示例'!E7))</f>
        <v/>
      </c>
    </row>
  </sheetData>
  <mergeCells count="2">
    <mergeCell ref="A1:A2"/>
    <mergeCell ref="B1:F1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0E98-F85B-42F2-8F73-E950957E544D}">
  <dimension ref="A1:F7"/>
  <sheetViews>
    <sheetView workbookViewId="0">
      <selection activeCell="H5" sqref="H5"/>
    </sheetView>
  </sheetViews>
  <sheetFormatPr defaultRowHeight="14.4"/>
  <cols>
    <col min="2" max="6" width="9.33203125" customWidth="1"/>
  </cols>
  <sheetData>
    <row r="1" spans="1:6" ht="15.6">
      <c r="A1" s="52" t="s">
        <v>0</v>
      </c>
      <c r="B1" s="52" t="s">
        <v>1</v>
      </c>
      <c r="C1" s="52"/>
      <c r="D1" s="52"/>
      <c r="E1" s="52"/>
      <c r="F1" s="52"/>
    </row>
    <row r="2" spans="1:6" ht="15.6">
      <c r="A2" s="52"/>
      <c r="B2" s="3">
        <v>0</v>
      </c>
      <c r="C2" s="3">
        <v>1</v>
      </c>
      <c r="D2" s="3">
        <v>2</v>
      </c>
      <c r="E2" s="3">
        <v>3</v>
      </c>
      <c r="F2" s="3">
        <v>4</v>
      </c>
    </row>
    <row r="3" spans="1:6" ht="15.6">
      <c r="A3" s="3">
        <v>2004</v>
      </c>
      <c r="B3" s="6">
        <f>IF('表27 年内赔款流量三角形'!B3="","",ROUND('表27 年内赔款流量三角形'!B3/VLOOKUP('表28 年内平均每案赔款支付额流量三角形'!$A3,'表26 赔款次数估计'!$A$2:$B$6,2,FALSE),4))</f>
        <v>2.0141</v>
      </c>
      <c r="C3" s="6">
        <f>IF('表27 年内赔款流量三角形'!C3="","",ROUND('表27 年内赔款流量三角形'!C3/VLOOKUP('表28 年内平均每案赔款支付额流量三角形'!$A3,'表26 赔款次数估计'!$A$2:$B$6,2,FALSE),4))</f>
        <v>1.7108000000000001</v>
      </c>
      <c r="D3" s="6">
        <f>IF('表27 年内赔款流量三角形'!D3="","",ROUND('表27 年内赔款流量三角形'!D3/VLOOKUP('表28 年内平均每案赔款支付额流量三角形'!$A3,'表26 赔款次数估计'!$A$2:$B$6,2,FALSE),4))</f>
        <v>1.1205000000000001</v>
      </c>
      <c r="E3" s="6">
        <f>IF('表27 年内赔款流量三角形'!E3="","",ROUND('表27 年内赔款流量三角形'!E3/VLOOKUP('表28 年内平均每案赔款支付额流量三角形'!$A3,'表26 赔款次数估计'!$A$2:$B$6,2,FALSE),4))</f>
        <v>1.1767000000000001</v>
      </c>
      <c r="F3" s="6">
        <f>IF('表27 年内赔款流量三角形'!F3="","",ROUND('表27 年内赔款流量三角形'!F3/VLOOKUP('表28 年内平均每案赔款支付额流量三角形'!$A3,'表26 赔款次数估计'!$A$2:$B$6,2,FALSE),4))</f>
        <v>0.67869999999999997</v>
      </c>
    </row>
    <row r="4" spans="1:6" ht="15.6">
      <c r="A4" s="3">
        <v>2005</v>
      </c>
      <c r="B4" s="6">
        <f>IF('表27 年内赔款流量三角形'!B4="","",ROUND('表27 年内赔款流量三角形'!B4/VLOOKUP('表28 年内平均每案赔款支付额流量三角形'!$A4,'表26 赔款次数估计'!$A$2:$B$6,2,FALSE),4))</f>
        <v>2.0779000000000001</v>
      </c>
      <c r="C4" s="6">
        <f>IF('表27 年内赔款流量三角形'!C4="","",ROUND('表27 年内赔款流量三角形'!C4/VLOOKUP('表28 年内平均每案赔款支付额流量三角形'!$A4,'表26 赔款次数估计'!$A$2:$B$6,2,FALSE),4))</f>
        <v>1.8423</v>
      </c>
      <c r="D4" s="6">
        <f>IF('表27 年内赔款流量三角形'!D4="","",ROUND('表27 年内赔款流量三角形'!D4/VLOOKUP('表28 年内平均每案赔款支付额流量三角形'!$A4,'表26 赔款次数估计'!$A$2:$B$6,2,FALSE),4))</f>
        <v>1.2301</v>
      </c>
      <c r="E4" s="6">
        <f>IF('表27 年内赔款流量三角形'!E4="","",ROUND('表27 年内赔款流量三角形'!E4/VLOOKUP('表28 年内平均每案赔款支付额流量三角形'!$A4,'表26 赔款次数估计'!$A$2:$B$6,2,FALSE),4))</f>
        <v>1.1577</v>
      </c>
      <c r="F4" s="6" t="str">
        <f>IF('表27 年内赔款流量三角形'!F4="","",ROUND('表27 年内赔款流量三角形'!F4/VLOOKUP('表28 年内平均每案赔款支付额流量三角形'!$A4,'表26 赔款次数估计'!$A$2:$B$6,2,FALSE),4))</f>
        <v/>
      </c>
    </row>
    <row r="5" spans="1:6" ht="15.6">
      <c r="A5" s="3">
        <v>2006</v>
      </c>
      <c r="B5" s="6">
        <f>IF('表27 年内赔款流量三角形'!B5="","",ROUND('表27 年内赔款流量三角形'!B5/VLOOKUP('表28 年内平均每案赔款支付额流量三角形'!$A5,'表26 赔款次数估计'!$A$2:$B$6,2,FALSE),4))</f>
        <v>2.1983000000000001</v>
      </c>
      <c r="C5" s="6">
        <f>IF('表27 年内赔款流量三角形'!C5="","",ROUND('表27 年内赔款流量三角形'!C5/VLOOKUP('表28 年内平均每案赔款支付额流量三角形'!$A5,'表26 赔款次数估计'!$A$2:$B$6,2,FALSE),4))</f>
        <v>1.9793000000000001</v>
      </c>
      <c r="D5" s="6">
        <f>IF('表27 年内赔款流量三角形'!D5="","",ROUND('表27 年内赔款流量三角形'!D5/VLOOKUP('表28 年内平均每案赔款支付额流量三角形'!$A5,'表26 赔款次数估计'!$A$2:$B$6,2,FALSE),4))</f>
        <v>1.4</v>
      </c>
      <c r="E5" s="6" t="str">
        <f>IF('表27 年内赔款流量三角形'!E5="","",ROUND('表27 年内赔款流量三角形'!E5/VLOOKUP('表28 年内平均每案赔款支付额流量三角形'!$A5,'表26 赔款次数估计'!$A$2:$B$6,2,FALSE),4))</f>
        <v/>
      </c>
      <c r="F5" s="6" t="str">
        <f>IF('表27 年内赔款流量三角形'!F5="","",ROUND('表27 年内赔款流量三角形'!F5/VLOOKUP('表28 年内平均每案赔款支付额流量三角形'!$A5,'表26 赔款次数估计'!$A$2:$B$6,2,FALSE),4))</f>
        <v/>
      </c>
    </row>
    <row r="6" spans="1:6" ht="15.6">
      <c r="A6" s="3">
        <v>2007</v>
      </c>
      <c r="B6" s="6">
        <f>IF('表27 年内赔款流量三角形'!B6="","",ROUND('表27 年内赔款流量三角形'!B6/VLOOKUP('表28 年内平均每案赔款支付额流量三角形'!$A6,'表26 赔款次数估计'!$A$2:$B$6,2,FALSE),4))</f>
        <v>2.4329999999999998</v>
      </c>
      <c r="C6" s="6">
        <f>IF('表27 年内赔款流量三角形'!C6="","",ROUND('表27 年内赔款流量三角形'!C6/VLOOKUP('表28 年内平均每案赔款支付额流量三角形'!$A6,'表26 赔款次数估计'!$A$2:$B$6,2,FALSE),4))</f>
        <v>2.2484000000000002</v>
      </c>
      <c r="D6" s="6" t="str">
        <f>IF('表27 年内赔款流量三角形'!D6="","",ROUND('表27 年内赔款流量三角形'!D6/VLOOKUP('表28 年内平均每案赔款支付额流量三角形'!$A6,'表26 赔款次数估计'!$A$2:$B$6,2,FALSE),4))</f>
        <v/>
      </c>
      <c r="E6" s="6" t="str">
        <f>IF('表27 年内赔款流量三角形'!E6="","",ROUND('表27 年内赔款流量三角形'!E6/VLOOKUP('表28 年内平均每案赔款支付额流量三角形'!$A6,'表26 赔款次数估计'!$A$2:$B$6,2,FALSE),4))</f>
        <v/>
      </c>
      <c r="F6" s="6" t="str">
        <f>IF('表27 年内赔款流量三角形'!F6="","",ROUND('表27 年内赔款流量三角形'!F6/VLOOKUP('表28 年内平均每案赔款支付额流量三角形'!$A6,'表26 赔款次数估计'!$A$2:$B$6,2,FALSE),4))</f>
        <v/>
      </c>
    </row>
    <row r="7" spans="1:6" ht="15.6">
      <c r="A7" s="3">
        <v>2008</v>
      </c>
      <c r="B7" s="6">
        <f>IF('表27 年内赔款流量三角形'!B7="","",ROUND('表27 年内赔款流量三角形'!B7/VLOOKUP('表28 年内平均每案赔款支付额流量三角形'!$A7,'表26 赔款次数估计'!$A$2:$B$6,2,FALSE),4))</f>
        <v>2.7993999999999999</v>
      </c>
      <c r="C7" s="6" t="str">
        <f>IF('表27 年内赔款流量三角形'!C7="","",ROUND('表27 年内赔款流量三角形'!C7/VLOOKUP('表28 年内平均每案赔款支付额流量三角形'!$A7,'表26 赔款次数估计'!$A$2:$B$6,2,FALSE),4))</f>
        <v/>
      </c>
      <c r="D7" s="6" t="str">
        <f>IF('表27 年内赔款流量三角形'!D7="","",ROUND('表27 年内赔款流量三角形'!D7/VLOOKUP('表28 年内平均每案赔款支付额流量三角形'!$A7,'表26 赔款次数估计'!$A$2:$B$6,2,FALSE),4))</f>
        <v/>
      </c>
      <c r="E7" s="6" t="str">
        <f>IF('表27 年内赔款流量三角形'!E7="","",ROUND('表27 年内赔款流量三角形'!E7/VLOOKUP('表28 年内平均每案赔款支付额流量三角形'!$A7,'表26 赔款次数估计'!$A$2:$B$6,2,FALSE),4))</f>
        <v/>
      </c>
      <c r="F7" s="6" t="str">
        <f>IF('表27 年内赔款流量三角形'!F7="","",ROUND('表27 年内赔款流量三角形'!F7/VLOOKUP('表28 年内平均每案赔款支付额流量三角形'!$A7,'表26 赔款次数估计'!$A$2:$B$6,2,FALSE),4))</f>
        <v/>
      </c>
    </row>
  </sheetData>
  <mergeCells count="2">
    <mergeCell ref="A1:A2"/>
    <mergeCell ref="B1:F1"/>
  </mergeCells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8ED0C-A406-4492-A536-96CB3D15D4E9}">
  <dimension ref="A1:F8"/>
  <sheetViews>
    <sheetView workbookViewId="0">
      <selection activeCell="A4" sqref="A4"/>
    </sheetView>
  </sheetViews>
  <sheetFormatPr defaultRowHeight="14.4"/>
  <cols>
    <col min="1" max="1" width="8.88671875" style="2"/>
    <col min="2" max="2" width="9.5546875" style="2" customWidth="1"/>
    <col min="3" max="6" width="8.88671875" style="2"/>
  </cols>
  <sheetData>
    <row r="1" spans="1:6">
      <c r="A1" s="18"/>
      <c r="B1" s="19">
        <v>0</v>
      </c>
      <c r="C1" s="19">
        <v>1</v>
      </c>
      <c r="D1" s="19">
        <v>2</v>
      </c>
      <c r="E1" s="19">
        <v>3</v>
      </c>
      <c r="F1" s="19">
        <v>4</v>
      </c>
    </row>
    <row r="2" spans="1:6">
      <c r="A2" s="19" t="s">
        <v>35</v>
      </c>
      <c r="B2" s="19">
        <f>SUM('表28 年内平均每案赔款支付额流量三角形'!B3)</f>
        <v>2.0141</v>
      </c>
      <c r="C2" s="19">
        <f>SUM('表28 年内平均每案赔款支付额流量三角形'!C3,'表28 年内平均每案赔款支付额流量三角形'!B4)</f>
        <v>3.7887000000000004</v>
      </c>
      <c r="D2" s="19">
        <f>SUM('表28 年内平均每案赔款支付额流量三角形'!D3,'表28 年内平均每案赔款支付额流量三角形'!C4,'表28 年内平均每案赔款支付额流量三角形'!B5)</f>
        <v>5.1611000000000002</v>
      </c>
      <c r="E2" s="19">
        <f>SUM('表28 年内平均每案赔款支付额流量三角形'!E3,'表28 年内平均每案赔款支付额流量三角形'!D4,'表28 年内平均每案赔款支付额流量三角形'!C5,'表28 年内平均每案赔款支付额流量三角形'!B6)</f>
        <v>6.8190999999999997</v>
      </c>
      <c r="F2" s="19">
        <f>SUM('表28 年内平均每案赔款支付额流量三角形'!F3,'表28 年内平均每案赔款支付额流量三角形'!E4,'表28 年内平均每案赔款支付额流量三角形'!D5,'表28 年内平均每案赔款支付额流量三角形'!C6,'表28 年内平均每案赔款支付额流量三角形'!B7)</f>
        <v>8.2842000000000002</v>
      </c>
    </row>
    <row r="3" spans="1:6">
      <c r="A3" s="19" t="s">
        <v>36</v>
      </c>
      <c r="B3" s="19">
        <f>SUM('表28 年内平均每案赔款支付额流量三角形'!B3:B7)</f>
        <v>11.5227</v>
      </c>
      <c r="C3" s="19">
        <f>SUM('表28 年内平均每案赔款支付额流量三角形'!C3:C7)</f>
        <v>7.7808000000000002</v>
      </c>
      <c r="D3" s="19">
        <f>SUM('表28 年内平均每案赔款支付额流量三角形'!D3:D7)</f>
        <v>3.7505999999999999</v>
      </c>
      <c r="E3" s="19">
        <f>SUM('表28 年内平均每案赔款支付额流量三角形'!E3:E7)</f>
        <v>2.3344</v>
      </c>
      <c r="F3" s="19">
        <f>SUM('表28 年内平均每案赔款支付额流量三角形'!F3:F7)</f>
        <v>0.67869999999999997</v>
      </c>
    </row>
    <row r="4" spans="1:6">
      <c r="A4" s="14"/>
      <c r="B4" s="14"/>
      <c r="C4" s="14"/>
      <c r="D4" s="14"/>
    </row>
    <row r="5" spans="1:6">
      <c r="A5" s="14"/>
      <c r="B5" s="14"/>
      <c r="C5" s="14"/>
      <c r="D5" s="14"/>
    </row>
    <row r="6" spans="1:6">
      <c r="A6" s="14"/>
      <c r="B6" s="14"/>
      <c r="C6" s="14"/>
      <c r="D6" s="14"/>
    </row>
    <row r="7" spans="1:6">
      <c r="A7" s="14"/>
      <c r="B7" s="14"/>
      <c r="C7" s="14"/>
      <c r="D7" s="14"/>
    </row>
    <row r="8" spans="1:6">
      <c r="A8" s="14"/>
      <c r="B8" s="14"/>
      <c r="C8" s="14"/>
      <c r="D8" s="14"/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D845-C39F-4CE1-9663-874B220CACEE}">
  <dimension ref="A1:F5"/>
  <sheetViews>
    <sheetView workbookViewId="0"/>
  </sheetViews>
  <sheetFormatPr defaultRowHeight="14.4"/>
  <sheetData>
    <row r="1" spans="1:6">
      <c r="A1" s="18"/>
      <c r="B1" s="19">
        <v>4</v>
      </c>
      <c r="C1" s="19">
        <v>3</v>
      </c>
      <c r="D1" s="19">
        <v>2</v>
      </c>
      <c r="E1" s="19">
        <v>1</v>
      </c>
      <c r="F1" s="19">
        <v>0</v>
      </c>
    </row>
    <row r="2" spans="1:6">
      <c r="A2" s="19" t="s">
        <v>35</v>
      </c>
      <c r="B2" s="19">
        <f>HLOOKUP(B$1,d_h和v_j的计算!$B$1:$F$3,2,FALSE)</f>
        <v>8.2842000000000002</v>
      </c>
      <c r="C2" s="19">
        <f>HLOOKUP(C$1,d_h和v_j的计算!$B$1:$F$3,2,FALSE)</f>
        <v>6.8190999999999997</v>
      </c>
      <c r="D2" s="19">
        <f>HLOOKUP(D$1,d_h和v_j的计算!$B$1:$F$3,2,FALSE)</f>
        <v>5.1611000000000002</v>
      </c>
      <c r="E2" s="19">
        <f>HLOOKUP(E$1,d_h和v_j的计算!$B$1:$F$3,2,FALSE)</f>
        <v>3.7887000000000004</v>
      </c>
      <c r="F2" s="19">
        <f>HLOOKUP(F$1,d_h和v_j的计算!$B$1:$F$3,2,FALSE)</f>
        <v>2.0141</v>
      </c>
    </row>
    <row r="3" spans="1:6">
      <c r="A3" s="19" t="s">
        <v>36</v>
      </c>
      <c r="B3" s="19">
        <f>HLOOKUP(B$1,d_h和v_j的计算!$B$1:$F$3,3,FALSE)</f>
        <v>0.67869999999999997</v>
      </c>
      <c r="C3" s="19">
        <f>HLOOKUP(C$1,d_h和v_j的计算!$B$1:$F$3,3,FALSE)</f>
        <v>2.3344</v>
      </c>
      <c r="D3" s="19">
        <f>HLOOKUP(D$1,d_h和v_j的计算!$B$1:$F$3,3,FALSE)</f>
        <v>3.7505999999999999</v>
      </c>
      <c r="E3" s="19">
        <f>HLOOKUP(E$1,d_h和v_j的计算!$B$1:$F$3,3,FALSE)</f>
        <v>7.7808000000000002</v>
      </c>
      <c r="F3" s="19">
        <f>HLOOKUP(F$1,d_h和v_j的计算!$B$1:$F$3,3,FALSE)</f>
        <v>11.5227</v>
      </c>
    </row>
    <row r="4" spans="1:6">
      <c r="A4" s="19" t="s">
        <v>37</v>
      </c>
      <c r="B4" s="19">
        <f>ROUND(IF(B1=4,B2,B2/(1-SUM($B5:B5))),4)</f>
        <v>8.2842000000000002</v>
      </c>
      <c r="C4" s="20">
        <f>ROUND(IF(C1=4,C2,C2/(1-SUM($B5:B5))),4)</f>
        <v>7.4273999999999996</v>
      </c>
      <c r="D4" s="20">
        <f>ROUND(IF(D1=4,D2,D2/(1-SUM($B5:C5))),4)</f>
        <v>6.7070999999999996</v>
      </c>
      <c r="E4" s="20">
        <f>ROUND(IF(E1=4,E2,E2/(1-SUM($B5:D5))),4)</f>
        <v>6.2914000000000003</v>
      </c>
      <c r="F4" s="20">
        <f>ROUND(IF(F1=4,F2,F2/(1-SUM($B5:E5))),4)</f>
        <v>6.0811999999999999</v>
      </c>
    </row>
    <row r="5" spans="1:6">
      <c r="A5" s="19" t="s">
        <v>38</v>
      </c>
      <c r="B5" s="20">
        <f>ROUND(B3/SUM($B4:B4),4)</f>
        <v>8.1900000000000001E-2</v>
      </c>
      <c r="C5" s="20">
        <f>ROUND(C3/SUM($B4:C4),4)</f>
        <v>0.14860000000000001</v>
      </c>
      <c r="D5" s="20">
        <f>ROUND(D3/SUM($B4:D4),4)</f>
        <v>0.1673</v>
      </c>
      <c r="E5" s="20">
        <f>ROUND(E3/SUM($B4:E4),4)</f>
        <v>0.27100000000000002</v>
      </c>
      <c r="F5" s="20">
        <f>ROUND(F3/SUM($B4:F4),4)</f>
        <v>0.33119999999999999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1888E-C6B6-4FEF-87B1-642257CA76FF}">
  <dimension ref="A1:J6"/>
  <sheetViews>
    <sheetView workbookViewId="0"/>
  </sheetViews>
  <sheetFormatPr defaultRowHeight="14.4"/>
  <sheetData>
    <row r="1" spans="1:10">
      <c r="A1" s="18"/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21">
        <v>5</v>
      </c>
      <c r="H1" s="21">
        <v>6</v>
      </c>
      <c r="I1" s="21">
        <v>7</v>
      </c>
      <c r="J1" s="21">
        <v>8</v>
      </c>
    </row>
    <row r="2" spans="1:10">
      <c r="A2" s="19" t="s">
        <v>37</v>
      </c>
      <c r="B2" s="19">
        <f>HLOOKUP(B1,lambda和p的估计!$B$1:$F$5,4,FALSE)</f>
        <v>6.0811999999999999</v>
      </c>
      <c r="C2" s="19">
        <f>HLOOKUP(C1,lambda和p的估计!$B$1:$F$5,4,FALSE)</f>
        <v>6.2914000000000003</v>
      </c>
      <c r="D2" s="19">
        <f>HLOOKUP(D1,lambda和p的估计!$B$1:$F$5,4,FALSE)</f>
        <v>6.7070999999999996</v>
      </c>
      <c r="E2" s="19">
        <f>HLOOKUP(E1,lambda和p的估计!$B$1:$F$5,4,FALSE)</f>
        <v>7.4273999999999996</v>
      </c>
      <c r="F2" s="19">
        <f>HLOOKUP(F1,lambda和p的估计!$B$1:$F$5,4,FALSE)</f>
        <v>8.2842000000000002</v>
      </c>
      <c r="G2" s="22">
        <f>TREND($B$2:$F$2,$B$1:$F$1,G1,TRUE)</f>
        <v>8.6208600000000004</v>
      </c>
      <c r="H2" s="22">
        <f t="shared" ref="H2:J2" si="0">TREND($B$2:$F$2,$B$1:$F$1,H1,TRUE)</f>
        <v>9.1750600000000002</v>
      </c>
      <c r="I2" s="22">
        <f t="shared" si="0"/>
        <v>9.72926</v>
      </c>
      <c r="J2" s="22">
        <f t="shared" si="0"/>
        <v>10.28346</v>
      </c>
    </row>
    <row r="3" spans="1:10">
      <c r="A3" s="19" t="s">
        <v>38</v>
      </c>
      <c r="B3" s="19">
        <f>HLOOKUP(B1,lambda和p的估计!$B$1:$F$5,5,FALSE)</f>
        <v>0.33119999999999999</v>
      </c>
      <c r="C3" s="20">
        <f>HLOOKUP(C1,lambda和p的估计!$B$1:$F$5,5,FALSE)</f>
        <v>0.27100000000000002</v>
      </c>
      <c r="D3" s="19">
        <f>HLOOKUP(D1,lambda和p的估计!$B$1:$F$5,5,FALSE)</f>
        <v>0.1673</v>
      </c>
      <c r="E3" s="19">
        <f>HLOOKUP(E1,lambda和p的估计!$B$1:$F$5,5,FALSE)</f>
        <v>0.14860000000000001</v>
      </c>
      <c r="F3" s="19">
        <f>HLOOKUP(F1,lambda和p的估计!$B$1:$F$5,5,FALSE)</f>
        <v>8.1900000000000001E-2</v>
      </c>
    </row>
    <row r="5" spans="1:10">
      <c r="A5" s="19" t="s">
        <v>39</v>
      </c>
      <c r="B5" s="19">
        <f>SLOPE(B2:F2,B1:F1)</f>
        <v>0.55420000000000003</v>
      </c>
    </row>
    <row r="6" spans="1:10">
      <c r="A6" s="19" t="s">
        <v>40</v>
      </c>
      <c r="B6" s="20">
        <f>INTERCEPT(B2:F2,B1:F1)</f>
        <v>5.8498599999999996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B1A8-777E-4C37-8169-0F27F21D83FF}">
  <dimension ref="A1:J7"/>
  <sheetViews>
    <sheetView tabSelected="1" workbookViewId="0">
      <selection sqref="A1:A2"/>
    </sheetView>
  </sheetViews>
  <sheetFormatPr defaultRowHeight="14.4"/>
  <cols>
    <col min="7" max="8" width="17.77734375" customWidth="1"/>
  </cols>
  <sheetData>
    <row r="1" spans="1:10" ht="15.6">
      <c r="A1" s="52" t="s">
        <v>0</v>
      </c>
      <c r="B1" s="52" t="s">
        <v>1</v>
      </c>
      <c r="C1" s="52"/>
      <c r="D1" s="52"/>
      <c r="E1" s="52"/>
      <c r="F1" s="52"/>
      <c r="G1" s="52" t="s">
        <v>3</v>
      </c>
      <c r="H1" s="52" t="s">
        <v>2</v>
      </c>
      <c r="J1" s="7"/>
    </row>
    <row r="2" spans="1:10" ht="15.6">
      <c r="A2" s="52"/>
      <c r="B2" s="3">
        <v>0</v>
      </c>
      <c r="C2" s="3">
        <v>1</v>
      </c>
      <c r="D2" s="3">
        <v>2</v>
      </c>
      <c r="E2" s="3">
        <v>3</v>
      </c>
      <c r="F2" s="3">
        <v>4</v>
      </c>
      <c r="G2" s="52"/>
      <c r="H2" s="52"/>
    </row>
    <row r="3" spans="1:10" ht="15.6">
      <c r="A3" s="3">
        <v>2004</v>
      </c>
      <c r="B3" s="3">
        <v>1003</v>
      </c>
      <c r="C3" s="3">
        <v>1855</v>
      </c>
      <c r="D3" s="3">
        <v>2413</v>
      </c>
      <c r="E3" s="3">
        <v>2999</v>
      </c>
      <c r="F3" s="3">
        <v>3337</v>
      </c>
      <c r="G3" s="3">
        <v>363</v>
      </c>
      <c r="H3" s="3">
        <v>3700</v>
      </c>
    </row>
    <row r="4" spans="1:10" ht="15.6">
      <c r="A4" s="3">
        <v>2005</v>
      </c>
      <c r="B4" s="3">
        <v>1120</v>
      </c>
      <c r="C4" s="3">
        <v>2113</v>
      </c>
      <c r="D4" s="3">
        <v>2776</v>
      </c>
      <c r="E4" s="3">
        <v>3400</v>
      </c>
      <c r="F4" s="3"/>
      <c r="G4" s="3"/>
      <c r="H4" s="3"/>
    </row>
    <row r="5" spans="1:10" ht="15.6">
      <c r="A5" s="3">
        <v>2006</v>
      </c>
      <c r="B5" s="3">
        <v>1275</v>
      </c>
      <c r="C5" s="3">
        <v>2423</v>
      </c>
      <c r="D5" s="3">
        <v>3235</v>
      </c>
      <c r="E5" s="3"/>
      <c r="F5" s="3"/>
      <c r="G5" s="3"/>
      <c r="H5" s="3"/>
    </row>
    <row r="6" spans="1:10" ht="15.6">
      <c r="A6" s="3">
        <v>2007</v>
      </c>
      <c r="B6" s="3">
        <v>1489</v>
      </c>
      <c r="C6" s="3">
        <v>2865</v>
      </c>
      <c r="D6" s="3"/>
      <c r="E6" s="3"/>
      <c r="F6" s="3"/>
      <c r="G6" s="3"/>
      <c r="H6" s="3"/>
    </row>
    <row r="7" spans="1:10" ht="15.6">
      <c r="A7" s="3">
        <v>2008</v>
      </c>
      <c r="B7" s="3">
        <v>1730</v>
      </c>
      <c r="C7" s="3"/>
      <c r="D7" s="3"/>
      <c r="E7" s="3"/>
      <c r="F7" s="3"/>
      <c r="G7" s="3"/>
      <c r="H7" s="3"/>
    </row>
  </sheetData>
  <mergeCells count="4">
    <mergeCell ref="B1:F1"/>
    <mergeCell ref="G1:G2"/>
    <mergeCell ref="H1:H2"/>
    <mergeCell ref="A1:A2"/>
  </mergeCells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ED4CE-FCB2-420F-A428-34EEC6AC8D11}">
  <dimension ref="A1:G9"/>
  <sheetViews>
    <sheetView workbookViewId="0">
      <selection sqref="A1:A2"/>
    </sheetView>
  </sheetViews>
  <sheetFormatPr defaultRowHeight="14.4"/>
  <cols>
    <col min="1" max="1" width="17.77734375" customWidth="1"/>
    <col min="2" max="2" width="12.44140625" customWidth="1"/>
    <col min="3" max="4" width="7.109375" customWidth="1"/>
    <col min="5" max="7" width="6" customWidth="1"/>
  </cols>
  <sheetData>
    <row r="1" spans="1:7" ht="15.6">
      <c r="A1" s="52" t="s">
        <v>42</v>
      </c>
      <c r="B1" s="60" t="s">
        <v>41</v>
      </c>
      <c r="C1" s="52" t="s">
        <v>1</v>
      </c>
      <c r="D1" s="52"/>
      <c r="E1" s="52"/>
      <c r="F1" s="52"/>
      <c r="G1" s="52"/>
    </row>
    <row r="2" spans="1:7" ht="15.6">
      <c r="A2" s="52"/>
      <c r="B2" s="61"/>
      <c r="C2" s="3">
        <v>0</v>
      </c>
      <c r="D2" s="3">
        <v>1</v>
      </c>
      <c r="E2" s="3">
        <v>2</v>
      </c>
      <c r="F2" s="3">
        <v>3</v>
      </c>
      <c r="G2" s="3">
        <v>4</v>
      </c>
    </row>
    <row r="3" spans="1:7" ht="15.6">
      <c r="A3" s="3">
        <v>2004</v>
      </c>
      <c r="B3" s="3">
        <f>'表26 赔款次数估计'!B2</f>
        <v>498</v>
      </c>
      <c r="C3" s="10">
        <f>IF('表27 年内赔款流量三角形'!B3="",$B3*HLOOKUP(C$2,'表29 表30 lambda的预测'!$A$1:$J$3,3,FALSE)*HLOOKUP($A3-2004+C$2,'表29 表30 lambda的预测'!$A$1:$J$3,2,FALSE),'表27 年内赔款流量三角形'!B3)</f>
        <v>1003</v>
      </c>
      <c r="D3" s="10">
        <f>IF('表27 年内赔款流量三角形'!C3="",$B3*HLOOKUP(D$2,'表29 表30 lambda的预测'!$A$1:$J$3,3,FALSE)*HLOOKUP($A3-2004+D$2,'表29 表30 lambda的预测'!$A$1:$J$3,2,FALSE),'表27 年内赔款流量三角形'!C3)</f>
        <v>852</v>
      </c>
      <c r="E3" s="10">
        <f>IF('表27 年内赔款流量三角形'!D3="",$B3*HLOOKUP(E$2,'表29 表30 lambda的预测'!$A$1:$J$3,3,FALSE)*HLOOKUP($A3-2004+E$2,'表29 表30 lambda的预测'!$A$1:$J$3,2,FALSE),'表27 年内赔款流量三角形'!D3)</f>
        <v>558</v>
      </c>
      <c r="F3" s="10">
        <f>IF('表27 年内赔款流量三角形'!E3="",$B3*HLOOKUP(F$2,'表29 表30 lambda的预测'!$A$1:$J$3,3,FALSE)*HLOOKUP($A3-2004+F$2,'表29 表30 lambda的预测'!$A$1:$J$3,2,FALSE),'表27 年内赔款流量三角形'!E3)</f>
        <v>586</v>
      </c>
      <c r="G3" s="23">
        <f>IF('表27 年内赔款流量三角形'!F3="",$B3*HLOOKUP(G$2,'表29 表30 lambda的预测'!$A$1:$J$3,3,FALSE)*HLOOKUP($A3-2004+G$2,'表29 表30 lambda的预测'!$A$1:$J$3,2,FALSE),'表27 年内赔款流量三角形'!F3)</f>
        <v>338</v>
      </c>
    </row>
    <row r="4" spans="1:7" ht="15.6">
      <c r="A4" s="3">
        <v>2005</v>
      </c>
      <c r="B4" s="3">
        <f>'表26 赔款次数估计'!B3</f>
        <v>539</v>
      </c>
      <c r="C4" s="10">
        <f>IF('表27 年内赔款流量三角形'!B4="",$B4*HLOOKUP(C$2,'表29 表30 lambda的预测'!$A$1:$J$3,3,FALSE)*HLOOKUP($A4-2004+C$2,'表29 表30 lambda的预测'!$A$1:$J$3,2,FALSE),'表27 年内赔款流量三角形'!B4)</f>
        <v>1120</v>
      </c>
      <c r="D4" s="10">
        <f>IF('表27 年内赔款流量三角形'!C4="",$B4*HLOOKUP(D$2,'表29 表30 lambda的预测'!$A$1:$J$3,3,FALSE)*HLOOKUP($A4-2004+D$2,'表29 表30 lambda的预测'!$A$1:$J$3,2,FALSE),'表27 年内赔款流量三角形'!C4)</f>
        <v>993</v>
      </c>
      <c r="E4" s="10">
        <f>IF('表27 年内赔款流量三角形'!D4="",$B4*HLOOKUP(E$2,'表29 表30 lambda的预测'!$A$1:$J$3,3,FALSE)*HLOOKUP($A4-2004+E$2,'表29 表30 lambda的预测'!$A$1:$J$3,2,FALSE),'表27 年内赔款流量三角形'!D4)</f>
        <v>663</v>
      </c>
      <c r="F4" s="23">
        <f>IF('表27 年内赔款流量三角形'!E4="",$B4*HLOOKUP(F$2,'表29 表30 lambda的预测'!$A$1:$J$3,3,FALSE)*HLOOKUP($A4-2004+F$2,'表29 表30 lambda的预测'!$A$1:$J$3,2,FALSE),'表27 年内赔款流量三角形'!E4)</f>
        <v>624</v>
      </c>
      <c r="G4" s="10">
        <f>IF('表27 年内赔款流量三角形'!F4="",$B4*HLOOKUP(G$2,'表29 表30 lambda的预测'!$A$1:$J$3,3,FALSE)*HLOOKUP($A4-2004+G$2,'表29 表30 lambda的预测'!$A$1:$J$3,2,FALSE),'表27 年内赔款流量三角形'!F4)</f>
        <v>380.56010592600001</v>
      </c>
    </row>
    <row r="5" spans="1:7" ht="15.6">
      <c r="A5" s="3">
        <v>2006</v>
      </c>
      <c r="B5" s="3">
        <f>'表26 赔款次数估计'!B4</f>
        <v>580</v>
      </c>
      <c r="C5" s="10">
        <f>IF('表27 年内赔款流量三角形'!B5="",$B5*HLOOKUP(C$2,'表29 表30 lambda的预测'!$A$1:$J$3,3,FALSE)*HLOOKUP($A5-2004+C$2,'表29 表30 lambda的预测'!$A$1:$J$3,2,FALSE),'表27 年内赔款流量三角形'!B5)</f>
        <v>1275</v>
      </c>
      <c r="D5" s="10">
        <f>IF('表27 年内赔款流量三角形'!C5="",$B5*HLOOKUP(D$2,'表29 表30 lambda的预测'!$A$1:$J$3,3,FALSE)*HLOOKUP($A5-2004+D$2,'表29 表30 lambda的预测'!$A$1:$J$3,2,FALSE),'表27 年内赔款流量三角形'!C5)</f>
        <v>1148</v>
      </c>
      <c r="E5" s="23">
        <f>IF('表27 年内赔款流量三角形'!D5="",$B5*HLOOKUP(E$2,'表29 表30 lambda的预测'!$A$1:$J$3,3,FALSE)*HLOOKUP($A5-2004+E$2,'表29 表30 lambda的预测'!$A$1:$J$3,2,FALSE),'表27 年内赔款流量三角形'!D5)</f>
        <v>812</v>
      </c>
      <c r="F5" s="10">
        <f>IF('表27 年内赔款流量三角形'!E5="",$B5*HLOOKUP(F$2,'表29 表30 lambda的预测'!$A$1:$J$3,3,FALSE)*HLOOKUP($A5-2004+F$2,'表29 表30 lambda的预测'!$A$1:$J$3,2,FALSE),'表27 年内赔款流量三角形'!E5)</f>
        <v>743.01468168000008</v>
      </c>
      <c r="G5" s="10">
        <f>IF('表27 年内赔款流量三角形'!F5="",$B5*HLOOKUP(G$2,'表29 表30 lambda的预测'!$A$1:$J$3,3,FALSE)*HLOOKUP($A5-2004+G$2,'表29 表30 lambda的预测'!$A$1:$J$3,2,FALSE),'表27 年内赔款流量三角形'!F5)</f>
        <v>435.83370012000006</v>
      </c>
    </row>
    <row r="6" spans="1:7" ht="15.6">
      <c r="A6" s="3">
        <v>2007</v>
      </c>
      <c r="B6" s="3">
        <f>'表26 赔款次数估计'!B5</f>
        <v>612</v>
      </c>
      <c r="C6" s="10">
        <f>IF('表27 年内赔款流量三角形'!B6="",$B6*HLOOKUP(C$2,'表29 表30 lambda的预测'!$A$1:$J$3,3,FALSE)*HLOOKUP($A6-2004+C$2,'表29 表30 lambda的预测'!$A$1:$J$3,2,FALSE),'表27 年内赔款流量三角形'!B6)</f>
        <v>1489</v>
      </c>
      <c r="D6" s="23">
        <f>IF('表27 年内赔款流量三角形'!C6="",$B6*HLOOKUP(D$2,'表29 表30 lambda的预测'!$A$1:$J$3,3,FALSE)*HLOOKUP($A6-2004+D$2,'表29 表30 lambda的预测'!$A$1:$J$3,2,FALSE),'表27 年内赔款流量三角形'!C6)</f>
        <v>1376</v>
      </c>
      <c r="E6" s="10">
        <f>IF('表27 年内赔款流量三角形'!D6="",$B6*HLOOKUP(E$2,'表29 表30 lambda的预测'!$A$1:$J$3,3,FALSE)*HLOOKUP($A6-2004+E$2,'表29 表30 lambda的预测'!$A$1:$J$3,2,FALSE),'表27 年内赔款流量三角形'!D6)</f>
        <v>882.66916533600011</v>
      </c>
      <c r="F6" s="10">
        <f>IF('表27 年内赔款流量三角形'!E6="",$B6*HLOOKUP(F$2,'表29 表30 lambda的预测'!$A$1:$J$3,3,FALSE)*HLOOKUP($A6-2004+F$2,'表29 表30 lambda的预测'!$A$1:$J$3,2,FALSE),'表27 年内赔款流量三角形'!E6)</f>
        <v>834.4093165920001</v>
      </c>
      <c r="G6" s="10">
        <f>IF('表27 年内赔款流量三角形'!F6="",$B6*HLOOKUP(G$2,'表29 表30 lambda的预测'!$A$1:$J$3,3,FALSE)*HLOOKUP($A6-2004+G$2,'表29 表30 lambda的预测'!$A$1:$J$3,2,FALSE),'表27 年内赔款流量三角形'!F6)</f>
        <v>487.65775312799997</v>
      </c>
    </row>
    <row r="7" spans="1:7" ht="15.6">
      <c r="A7" s="3">
        <v>2008</v>
      </c>
      <c r="B7" s="3">
        <f>'表26 赔款次数估计'!B6</f>
        <v>618</v>
      </c>
      <c r="C7" s="23">
        <f>IF('表27 年内赔款流量三角形'!B7="",$B7*HLOOKUP(C$2,'表29 表30 lambda的预测'!$A$1:$J$3,3,FALSE)*HLOOKUP($A7-2004+C$2,'表29 表30 lambda的预测'!$A$1:$J$3,2,FALSE),'表27 年内赔款流量三角形'!B7)</f>
        <v>1730</v>
      </c>
      <c r="D7" s="10">
        <f>IF('表27 年内赔款流量三角形'!C7="",$B7*HLOOKUP(D$2,'表29 表30 lambda的预测'!$A$1:$J$3,3,FALSE)*HLOOKUP($A7-2004+D$2,'表29 表30 lambda的预测'!$A$1:$J$3,2,FALSE),'表27 年内赔款流量三角形'!C7)</f>
        <v>1443.8043910800002</v>
      </c>
      <c r="E7" s="10">
        <f>IF('表27 年内赔款流量三角形'!D7="",$B7*HLOOKUP(E$2,'表29 表30 lambda的预测'!$A$1:$J$3,3,FALSE)*HLOOKUP($A7-2004+E$2,'表29 表30 lambda的预测'!$A$1:$J$3,2,FALSE),'表27 年内赔款流量三角形'!D7)</f>
        <v>948.62229848400011</v>
      </c>
      <c r="F7" s="10">
        <f>IF('表27 年内赔款流量三角形'!E7="",$B7*HLOOKUP(F$2,'表29 表30 lambda的预测'!$A$1:$J$3,3,FALSE)*HLOOKUP($A7-2004+F$2,'表29 表30 lambda的预测'!$A$1:$J$3,2,FALSE),'表27 年内赔款流量三角形'!E7)</f>
        <v>893.48464624799999</v>
      </c>
      <c r="G7" s="10">
        <f>IF('表27 年内赔款流量三角形'!F7="",$B7*HLOOKUP(G$2,'表29 表30 lambda的预测'!$A$1:$J$3,3,FALSE)*HLOOKUP($A7-2004+G$2,'表29 表30 lambda的预测'!$A$1:$J$3,2,FALSE),'表27 年内赔款流量三角形'!F7)</f>
        <v>520.48910113200009</v>
      </c>
    </row>
    <row r="9" spans="1:7" ht="15.6">
      <c r="A9" s="13" t="s">
        <v>45</v>
      </c>
      <c r="B9" s="24">
        <f>SUM(D7,E6:E7,F5:F7,G4:G7)</f>
        <v>7570.5451597259998</v>
      </c>
    </row>
  </sheetData>
  <mergeCells count="3">
    <mergeCell ref="A1:A2"/>
    <mergeCell ref="C1:G1"/>
    <mergeCell ref="B1:B2"/>
  </mergeCells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9062-46E0-4F02-B398-075CF5FEECF3}">
  <dimension ref="A1:G7"/>
  <sheetViews>
    <sheetView workbookViewId="0">
      <selection sqref="A1:G7"/>
    </sheetView>
  </sheetViews>
  <sheetFormatPr defaultRowHeight="14.4"/>
  <sheetData>
    <row r="1" spans="1:7" ht="15.6">
      <c r="A1" s="52" t="s">
        <v>0</v>
      </c>
      <c r="B1" s="52" t="s">
        <v>1</v>
      </c>
      <c r="C1" s="52"/>
      <c r="D1" s="52"/>
      <c r="E1" s="52"/>
      <c r="F1" s="52"/>
      <c r="G1" s="52" t="s">
        <v>43</v>
      </c>
    </row>
    <row r="2" spans="1:7" ht="15.6">
      <c r="A2" s="52"/>
      <c r="B2" s="3">
        <v>0</v>
      </c>
      <c r="C2" s="3">
        <v>1</v>
      </c>
      <c r="D2" s="3">
        <v>2</v>
      </c>
      <c r="E2" s="3">
        <v>3</v>
      </c>
      <c r="F2" s="3">
        <v>4</v>
      </c>
      <c r="G2" s="52"/>
    </row>
    <row r="3" spans="1:7" ht="15.6">
      <c r="A3" s="3">
        <v>2004</v>
      </c>
      <c r="B3" s="3">
        <v>275</v>
      </c>
      <c r="C3" s="3">
        <v>375</v>
      </c>
      <c r="D3" s="3">
        <v>426</v>
      </c>
      <c r="E3" s="3">
        <v>466</v>
      </c>
      <c r="F3" s="3">
        <v>479</v>
      </c>
      <c r="G3" s="3">
        <v>495</v>
      </c>
    </row>
    <row r="4" spans="1:7" ht="15.6">
      <c r="A4" s="3">
        <v>2005</v>
      </c>
      <c r="B4" s="3">
        <v>300</v>
      </c>
      <c r="C4" s="3">
        <v>408</v>
      </c>
      <c r="D4" s="3">
        <v>460</v>
      </c>
      <c r="E4" s="3">
        <v>499</v>
      </c>
      <c r="F4" s="3"/>
      <c r="G4" s="3"/>
    </row>
    <row r="5" spans="1:7" ht="15.6">
      <c r="A5" s="3">
        <v>2006</v>
      </c>
      <c r="B5" s="3">
        <v>326</v>
      </c>
      <c r="C5" s="3">
        <v>440</v>
      </c>
      <c r="D5" s="3">
        <v>500</v>
      </c>
      <c r="E5" s="3"/>
      <c r="F5" s="3"/>
      <c r="G5" s="3"/>
    </row>
    <row r="6" spans="1:7" ht="15.6">
      <c r="A6" s="3">
        <v>2007</v>
      </c>
      <c r="B6" s="3">
        <v>340</v>
      </c>
      <c r="C6" s="3">
        <v>464</v>
      </c>
      <c r="D6" s="3"/>
      <c r="E6" s="3"/>
      <c r="F6" s="3"/>
      <c r="G6" s="3"/>
    </row>
    <row r="7" spans="1:7" ht="15.6">
      <c r="A7" s="3">
        <v>2008</v>
      </c>
      <c r="B7" s="3">
        <v>350</v>
      </c>
      <c r="C7" s="3"/>
      <c r="D7" s="3"/>
      <c r="E7" s="3"/>
      <c r="F7" s="3"/>
      <c r="G7" s="3"/>
    </row>
  </sheetData>
  <mergeCells count="3">
    <mergeCell ref="A1:A2"/>
    <mergeCell ref="B1:F1"/>
    <mergeCell ref="G1:G2"/>
  </mergeCells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EB5C-B7EA-41B9-83F3-170F4A37BD66}">
  <dimension ref="A1:G7"/>
  <sheetViews>
    <sheetView workbookViewId="0">
      <selection sqref="A1:G7"/>
    </sheetView>
  </sheetViews>
  <sheetFormatPr defaultRowHeight="14.4"/>
  <cols>
    <col min="2" max="2" width="14.109375" customWidth="1"/>
    <col min="7" max="7" width="12.88671875" customWidth="1"/>
  </cols>
  <sheetData>
    <row r="1" spans="1:7" ht="31.2" customHeight="1">
      <c r="A1" s="52" t="s">
        <v>0</v>
      </c>
      <c r="B1" s="52" t="s">
        <v>1</v>
      </c>
      <c r="C1" s="52"/>
      <c r="D1" s="52"/>
      <c r="E1" s="52"/>
      <c r="F1" s="52"/>
      <c r="G1" s="52" t="s">
        <v>44</v>
      </c>
    </row>
    <row r="2" spans="1:7" ht="31.2" customHeight="1">
      <c r="A2" s="52"/>
      <c r="B2" s="3">
        <v>0</v>
      </c>
      <c r="C2" s="3">
        <v>1</v>
      </c>
      <c r="D2" s="3">
        <v>2</v>
      </c>
      <c r="E2" s="3">
        <v>3</v>
      </c>
      <c r="F2" s="3">
        <v>4</v>
      </c>
      <c r="G2" s="52"/>
    </row>
    <row r="3" spans="1:7" ht="15.6">
      <c r="A3" s="3">
        <v>2004</v>
      </c>
      <c r="B3" s="6">
        <f>IFERROR(ROUND('表8 累积赔款额流量三角形示例'!B3/'表32 累积已付赔款次数流量三角形'!B3,4),"")</f>
        <v>3.6473</v>
      </c>
      <c r="C3" s="6">
        <f>IFERROR(ROUND('表8 累积赔款额流量三角形示例'!C3/'表32 累积已付赔款次数流量三角形'!C3,4),"")</f>
        <v>4.9466999999999999</v>
      </c>
      <c r="D3" s="6">
        <f>IFERROR(ROUND('表8 累积赔款额流量三角形示例'!D3/'表32 累积已付赔款次数流量三角形'!D3,4),"")</f>
        <v>5.6642999999999999</v>
      </c>
      <c r="E3" s="6">
        <f>IFERROR(ROUND('表8 累积赔款额流量三角形示例'!E3/'表32 累积已付赔款次数流量三角形'!E3,4),"")</f>
        <v>6.4356</v>
      </c>
      <c r="F3" s="6">
        <f>IFERROR(ROUND('表8 累积赔款额流量三角形示例'!F3/'表32 累积已付赔款次数流量三角形'!F3,4),"")</f>
        <v>6.9665999999999997</v>
      </c>
      <c r="G3" s="6">
        <f>ROUND('表8 累积赔款额流量三角形示例'!H3/'表32 累积已付赔款次数流量三角形'!G3,4)</f>
        <v>7.4747000000000003</v>
      </c>
    </row>
    <row r="4" spans="1:7" ht="15.6">
      <c r="A4" s="3">
        <v>2005</v>
      </c>
      <c r="B4" s="6">
        <f>IFERROR(ROUND('表8 累积赔款额流量三角形示例'!B4/'表32 累积已付赔款次数流量三角形'!B4,4),"")</f>
        <v>3.7332999999999998</v>
      </c>
      <c r="C4" s="6">
        <f>IFERROR(ROUND('表8 累积赔款额流量三角形示例'!C4/'表32 累积已付赔款次数流量三角形'!C4,4),"")</f>
        <v>5.1788999999999996</v>
      </c>
      <c r="D4" s="6">
        <f>IFERROR(ROUND('表8 累积赔款额流量三角形示例'!D4/'表32 累积已付赔款次数流量三角形'!D4,4),"")</f>
        <v>6.0347999999999997</v>
      </c>
      <c r="E4" s="6">
        <f>IFERROR(ROUND('表8 累积赔款额流量三角形示例'!E4/'表32 累积已付赔款次数流量三角形'!E4,4),"")</f>
        <v>6.8136000000000001</v>
      </c>
      <c r="F4" s="6" t="str">
        <f>IFERROR(ROUND('表8 累积赔款额流量三角形示例'!F4/'表32 累积已付赔款次数流量三角形'!F4,4),"")</f>
        <v/>
      </c>
      <c r="G4" s="3"/>
    </row>
    <row r="5" spans="1:7" ht="15.6">
      <c r="A5" s="3">
        <v>2006</v>
      </c>
      <c r="B5" s="6">
        <f>IFERROR(ROUND('表8 累积赔款额流量三角形示例'!B5/'表32 累积已付赔款次数流量三角形'!B5,4),"")</f>
        <v>3.911</v>
      </c>
      <c r="C5" s="6">
        <f>IFERROR(ROUND('表8 累积赔款额流量三角形示例'!C5/'表32 累积已付赔款次数流量三角形'!C5,4),"")</f>
        <v>5.5068000000000001</v>
      </c>
      <c r="D5" s="6">
        <f>IFERROR(ROUND('表8 累积赔款额流量三角形示例'!D5/'表32 累积已付赔款次数流量三角形'!D5,4),"")</f>
        <v>6.47</v>
      </c>
      <c r="E5" s="6" t="str">
        <f>IFERROR(ROUND('表8 累积赔款额流量三角形示例'!E5/'表32 累积已付赔款次数流量三角形'!E5,4),"")</f>
        <v/>
      </c>
      <c r="F5" s="6" t="str">
        <f>IFERROR(ROUND('表8 累积赔款额流量三角形示例'!F5/'表32 累积已付赔款次数流量三角形'!F5,4),"")</f>
        <v/>
      </c>
      <c r="G5" s="3"/>
    </row>
    <row r="6" spans="1:7" ht="15.6">
      <c r="A6" s="3">
        <v>2007</v>
      </c>
      <c r="B6" s="6">
        <f>IFERROR(ROUND('表8 累积赔款额流量三角形示例'!B6/'表32 累积已付赔款次数流量三角形'!B6,4),"")</f>
        <v>4.3794000000000004</v>
      </c>
      <c r="C6" s="6">
        <f>IFERROR(ROUND('表8 累积赔款额流量三角形示例'!C6/'表32 累积已付赔款次数流量三角形'!C6,4),"")</f>
        <v>6.1745999999999999</v>
      </c>
      <c r="D6" s="6" t="str">
        <f>IFERROR(ROUND('表8 累积赔款额流量三角形示例'!D6/'表32 累积已付赔款次数流量三角形'!D6,4),"")</f>
        <v/>
      </c>
      <c r="E6" s="6" t="str">
        <f>IFERROR(ROUND('表8 累积赔款额流量三角形示例'!E6/'表32 累积已付赔款次数流量三角形'!E6,4),"")</f>
        <v/>
      </c>
      <c r="F6" s="6" t="str">
        <f>IFERROR(ROUND('表8 累积赔款额流量三角形示例'!F6/'表32 累积已付赔款次数流量三角形'!F6,4),"")</f>
        <v/>
      </c>
      <c r="G6" s="3"/>
    </row>
    <row r="7" spans="1:7" ht="15.6">
      <c r="A7" s="3">
        <v>2008</v>
      </c>
      <c r="B7" s="6">
        <f>IFERROR(ROUND('表8 累积赔款额流量三角形示例'!B7/'表32 累积已付赔款次数流量三角形'!B7,4),"")</f>
        <v>4.9428999999999998</v>
      </c>
      <c r="C7" s="6" t="str">
        <f>IFERROR(ROUND('表8 累积赔款额流量三角形示例'!C7/'表32 累积已付赔款次数流量三角形'!C7,4),"")</f>
        <v/>
      </c>
      <c r="D7" s="6" t="str">
        <f>IFERROR(ROUND('表8 累积赔款额流量三角形示例'!D7/'表32 累积已付赔款次数流量三角形'!D7,4),"")</f>
        <v/>
      </c>
      <c r="E7" s="6" t="str">
        <f>IFERROR(ROUND('表8 累积赔款额流量三角形示例'!E7/'表32 累积已付赔款次数流量三角形'!E7,4),"")</f>
        <v/>
      </c>
      <c r="F7" s="6" t="str">
        <f>IFERROR(ROUND('表8 累积赔款额流量三角形示例'!F7/'表32 累积已付赔款次数流量三角形'!F7,4),"")</f>
        <v/>
      </c>
      <c r="G7" s="3"/>
    </row>
  </sheetData>
  <mergeCells count="3">
    <mergeCell ref="A1:A2"/>
    <mergeCell ref="B1:F1"/>
    <mergeCell ref="G1:G2"/>
  </mergeCells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2332-02F0-41C2-8A25-66959C8C0DD3}">
  <dimension ref="A1:R23"/>
  <sheetViews>
    <sheetView workbookViewId="0"/>
  </sheetViews>
  <sheetFormatPr defaultRowHeight="14.4"/>
  <cols>
    <col min="1" max="1" width="18" customWidth="1"/>
    <col min="2" max="6" width="9.33203125" customWidth="1"/>
  </cols>
  <sheetData>
    <row r="1" spans="1:18" ht="15.6">
      <c r="A1" s="3" t="s">
        <v>47</v>
      </c>
      <c r="B1" s="3" t="s">
        <v>4</v>
      </c>
      <c r="C1" s="5" t="s">
        <v>5</v>
      </c>
      <c r="D1" s="5" t="s">
        <v>6</v>
      </c>
      <c r="E1" s="5" t="s">
        <v>7</v>
      </c>
      <c r="F1" s="5" t="s">
        <v>8</v>
      </c>
    </row>
    <row r="2" spans="1:18" ht="15.6">
      <c r="A2" s="3" t="s">
        <v>46</v>
      </c>
      <c r="B2" s="6">
        <f>ROUND(SUM('表33 已付案均赔款'!C3:C6)/SUM('表33 已付案均赔款'!B3:B6),4)</f>
        <v>1.3915999999999999</v>
      </c>
      <c r="C2" s="6">
        <f>ROUND(SUM('表33 已付案均赔款'!D3:D5)/SUM('表33 已付案均赔款'!C3:C5),4)</f>
        <v>1.1623000000000001</v>
      </c>
      <c r="D2" s="6">
        <f>ROUND(SUM('表33 已付案均赔款'!E3:E4)/SUM('表33 已付案均赔款'!D3:D4),4)</f>
        <v>1.1325000000000001</v>
      </c>
      <c r="E2" s="6">
        <f>ROUND('表33 已付案均赔款'!F3/'表33 已付案均赔款'!E3,4)</f>
        <v>1.0825</v>
      </c>
      <c r="F2" s="6">
        <f>ROUND('表33 已付案均赔款'!G3/'表33 已付案均赔款'!F3,4)</f>
        <v>1.0729</v>
      </c>
    </row>
    <row r="3" spans="1:18" ht="15.6">
      <c r="A3" s="3" t="s">
        <v>48</v>
      </c>
      <c r="B3" s="6">
        <f>PRODUCT(B2:$F2)</f>
        <v>2.1274434208002244</v>
      </c>
      <c r="C3" s="6">
        <f>PRODUCT(C2:$F2)</f>
        <v>1.5287750939926876</v>
      </c>
      <c r="D3" s="6">
        <f>PRODUCT(D2:$F2)</f>
        <v>1.315301638125</v>
      </c>
      <c r="E3" s="6">
        <f>PRODUCT(E2:$F2)</f>
        <v>1.16141425</v>
      </c>
      <c r="F3" s="6">
        <f>PRODUCT(F2:$F2)</f>
        <v>1.0729</v>
      </c>
    </row>
    <row r="4" spans="1:18" ht="15.6">
      <c r="A4" s="9"/>
      <c r="B4" s="9"/>
      <c r="C4" s="9"/>
      <c r="D4" s="9"/>
      <c r="E4" s="9"/>
      <c r="F4" s="9"/>
    </row>
    <row r="5" spans="1:18" ht="15.6">
      <c r="A5" s="9"/>
      <c r="B5" s="9"/>
      <c r="C5" s="9"/>
      <c r="D5" s="9"/>
      <c r="E5" s="9"/>
      <c r="F5" s="9"/>
    </row>
    <row r="6" spans="1:18" ht="15.6">
      <c r="A6" s="9"/>
      <c r="B6" s="9"/>
      <c r="C6" s="9"/>
      <c r="D6" s="9"/>
      <c r="E6" s="9"/>
      <c r="F6" s="9"/>
    </row>
    <row r="7" spans="1:18" ht="15.6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ht="15.6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ht="15.6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ht="15.6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ht="15.6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ht="15.6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ht="15.6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ht="15.6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 ht="15.6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ht="15.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ht="15.6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ht="15.6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 ht="15.6">
      <c r="A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 ht="15.6"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 ht="15.6"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 ht="15.6"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 ht="15.6"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FB8A9-9723-473E-94B3-7C247D53F1AF}">
  <dimension ref="A1:F4"/>
  <sheetViews>
    <sheetView workbookViewId="0"/>
  </sheetViews>
  <sheetFormatPr defaultRowHeight="14.4"/>
  <cols>
    <col min="1" max="1" width="30" bestFit="1" customWidth="1"/>
    <col min="2" max="5" width="9.44140625" bestFit="1" customWidth="1"/>
    <col min="6" max="6" width="9.33203125" bestFit="1" customWidth="1"/>
  </cols>
  <sheetData>
    <row r="1" spans="1:6" ht="15.6">
      <c r="A1" s="25" t="s">
        <v>0</v>
      </c>
      <c r="B1" s="25" t="s">
        <v>50</v>
      </c>
      <c r="C1" s="25" t="s">
        <v>51</v>
      </c>
      <c r="D1" s="25" t="s">
        <v>52</v>
      </c>
      <c r="E1" s="25" t="s">
        <v>53</v>
      </c>
      <c r="F1" s="25" t="s">
        <v>54</v>
      </c>
    </row>
    <row r="2" spans="1:6" ht="15.6">
      <c r="A2" s="25" t="s">
        <v>55</v>
      </c>
      <c r="B2" s="26">
        <f>'表33 已付案均赔款'!B7</f>
        <v>4.9428999999999998</v>
      </c>
      <c r="C2" s="26">
        <f>'表33 已付案均赔款'!C6</f>
        <v>6.1745999999999999</v>
      </c>
      <c r="D2" s="26">
        <f>'表33 已付案均赔款'!D5</f>
        <v>6.47</v>
      </c>
      <c r="E2" s="26">
        <f>'表33 已付案均赔款'!E4</f>
        <v>6.8136000000000001</v>
      </c>
      <c r="F2" s="26">
        <f>'表33 已付案均赔款'!F3</f>
        <v>6.9665999999999997</v>
      </c>
    </row>
    <row r="3" spans="1:6" ht="15.6">
      <c r="A3" s="25" t="s">
        <v>48</v>
      </c>
      <c r="B3" s="26">
        <f>ROUND('表34 逐年进展因子及最终因子的估计'!B3,4)</f>
        <v>2.1274000000000002</v>
      </c>
      <c r="C3" s="26">
        <f>ROUND('表34 逐年进展因子及最终因子的估计'!C3,4)</f>
        <v>1.5287999999999999</v>
      </c>
      <c r="D3" s="26">
        <f>ROUND('表34 逐年进展因子及最终因子的估计'!D3,4)</f>
        <v>1.3152999999999999</v>
      </c>
      <c r="E3" s="26">
        <f>ROUND('表34 逐年进展因子及最终因子的估计'!E3,4)</f>
        <v>1.1614</v>
      </c>
      <c r="F3" s="26">
        <f>ROUND('表34 逐年进展因子及最终因子的估计'!F3,4)</f>
        <v>1.0729</v>
      </c>
    </row>
    <row r="4" spans="1:6" ht="15.6">
      <c r="A4" s="25" t="s">
        <v>49</v>
      </c>
      <c r="B4" s="25">
        <f>ROUND(B2*B3,4)</f>
        <v>10.515499999999999</v>
      </c>
      <c r="C4" s="25">
        <f t="shared" ref="C4:E4" si="0">ROUND(C2*C3,4)</f>
        <v>9.4397000000000002</v>
      </c>
      <c r="D4" s="25">
        <f t="shared" si="0"/>
        <v>8.51</v>
      </c>
      <c r="E4" s="25">
        <f t="shared" si="0"/>
        <v>7.9132999999999996</v>
      </c>
      <c r="F4" s="25">
        <f>'表33 已付案均赔款'!G3</f>
        <v>7.4747000000000003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67B55-8F4B-4A6F-AE44-525FA5440F38}">
  <dimension ref="A1:F6"/>
  <sheetViews>
    <sheetView workbookViewId="0">
      <selection sqref="A1:F6"/>
    </sheetView>
  </sheetViews>
  <sheetFormatPr defaultRowHeight="14.4"/>
  <cols>
    <col min="1" max="1" width="13.88671875" bestFit="1" customWidth="1"/>
  </cols>
  <sheetData>
    <row r="1" spans="1:6">
      <c r="A1" s="18" t="s">
        <v>0</v>
      </c>
      <c r="B1" s="18" t="s">
        <v>50</v>
      </c>
      <c r="C1" s="18" t="s">
        <v>51</v>
      </c>
      <c r="D1" s="18" t="s">
        <v>52</v>
      </c>
      <c r="E1" s="18" t="s">
        <v>53</v>
      </c>
      <c r="F1" s="18" t="s">
        <v>54</v>
      </c>
    </row>
    <row r="2" spans="1:6">
      <c r="A2" s="18" t="s">
        <v>1</v>
      </c>
      <c r="B2" s="27" t="s">
        <v>56</v>
      </c>
      <c r="C2" s="27" t="s">
        <v>57</v>
      </c>
      <c r="D2" s="27" t="s">
        <v>58</v>
      </c>
      <c r="E2" s="27" t="s">
        <v>59</v>
      </c>
      <c r="F2" s="27" t="s">
        <v>8</v>
      </c>
    </row>
    <row r="3" spans="1:6">
      <c r="A3" s="18" t="s">
        <v>60</v>
      </c>
      <c r="B3" s="18">
        <f>'表32 累积已付赔款次数流量三角形'!B7</f>
        <v>350</v>
      </c>
      <c r="C3" s="18">
        <f>'表32 累积已付赔款次数流量三角形'!C6</f>
        <v>464</v>
      </c>
      <c r="D3" s="18">
        <f>'表32 累积已付赔款次数流量三角形'!D5</f>
        <v>500</v>
      </c>
      <c r="E3" s="18">
        <f>'表32 累积已付赔款次数流量三角形'!E4</f>
        <v>499</v>
      </c>
      <c r="F3" s="18">
        <f>'表32 累积已付赔款次数流量三角形'!F3</f>
        <v>479</v>
      </c>
    </row>
    <row r="4" spans="1:6">
      <c r="A4" s="18" t="s">
        <v>46</v>
      </c>
      <c r="B4" s="28">
        <f>ROUND(SUM('表32 累积已付赔款次数流量三角形'!C3:C6)/SUM('表32 累积已付赔款次数流量三角形'!B3:B6),4)</f>
        <v>1.3593999999999999</v>
      </c>
      <c r="C4" s="28">
        <f>ROUND(SUM('表32 累积已付赔款次数流量三角形'!D3:D5)/SUM('表32 累积已付赔款次数流量三角形'!C3:C5),4)</f>
        <v>1.1333</v>
      </c>
      <c r="D4" s="28">
        <f>ROUND(SUM('表32 累积已付赔款次数流量三角形'!E3:E4)/SUM('表32 累积已付赔款次数流量三角形'!D3:D4),4)</f>
        <v>1.0891999999999999</v>
      </c>
      <c r="E4" s="28">
        <f>ROUND('表32 累积已付赔款次数流量三角形'!F3/'表32 累积已付赔款次数流量三角形'!E3,4)</f>
        <v>1.0279</v>
      </c>
      <c r="F4" s="28">
        <f>ROUND('表32 累积已付赔款次数流量三角形'!G3/'表32 累积已付赔款次数流量三角形'!F3,4)</f>
        <v>1.0334000000000001</v>
      </c>
    </row>
    <row r="5" spans="1:6">
      <c r="A5" s="18" t="s">
        <v>48</v>
      </c>
      <c r="B5" s="28">
        <f>PRODUCT(B4:$F4)</f>
        <v>1.7824571993128213</v>
      </c>
      <c r="C5" s="28">
        <f>PRODUCT(C4:$F4)</f>
        <v>1.3112087680688695</v>
      </c>
      <c r="D5" s="28">
        <f>PRODUCT(D4:$F4)</f>
        <v>1.1569829419119999</v>
      </c>
      <c r="E5" s="28">
        <f>PRODUCT(E4:$F4)</f>
        <v>1.06223186</v>
      </c>
      <c r="F5" s="28">
        <f>PRODUCT(F4:$F4)</f>
        <v>1.0334000000000001</v>
      </c>
    </row>
    <row r="6" spans="1:6" ht="28.8">
      <c r="A6" s="29" t="s">
        <v>62</v>
      </c>
      <c r="B6" s="18">
        <f>ROUND(B3*B5,0)</f>
        <v>624</v>
      </c>
      <c r="C6" s="18">
        <f t="shared" ref="C6:F6" si="0">ROUND(C3*C5,0)</f>
        <v>608</v>
      </c>
      <c r="D6" s="18">
        <f>_xlfn.CEILING.MATH(D3*D5)</f>
        <v>579</v>
      </c>
      <c r="E6" s="18">
        <f t="shared" si="0"/>
        <v>530</v>
      </c>
      <c r="F6" s="18">
        <f t="shared" si="0"/>
        <v>495</v>
      </c>
    </row>
  </sheetData>
  <phoneticPr fontId="3" type="noConversion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8BE5-585A-482E-8E21-905EEB2D1983}">
  <dimension ref="A1:E7"/>
  <sheetViews>
    <sheetView workbookViewId="0">
      <selection activeCell="E2" sqref="E2"/>
    </sheetView>
  </sheetViews>
  <sheetFormatPr defaultRowHeight="14.4"/>
  <cols>
    <col min="1" max="1" width="8.21875" style="2" bestFit="1" customWidth="1"/>
    <col min="2" max="3" width="17.77734375" style="2" bestFit="1" customWidth="1"/>
    <col min="4" max="4" width="10.44140625" style="2" bestFit="1" customWidth="1"/>
    <col min="5" max="5" width="17.77734375" style="2" bestFit="1" customWidth="1"/>
  </cols>
  <sheetData>
    <row r="1" spans="1:5" ht="31.2">
      <c r="A1" s="1" t="s">
        <v>0</v>
      </c>
      <c r="B1" s="1" t="s">
        <v>63</v>
      </c>
      <c r="C1" s="1" t="s">
        <v>61</v>
      </c>
      <c r="D1" s="1" t="s">
        <v>64</v>
      </c>
      <c r="E1" s="1" t="s">
        <v>65</v>
      </c>
    </row>
    <row r="2" spans="1:5">
      <c r="A2" s="18">
        <v>2004</v>
      </c>
      <c r="B2" s="18">
        <v>7.4747000000000003</v>
      </c>
      <c r="C2" s="18">
        <v>495</v>
      </c>
      <c r="D2" s="18">
        <f>ROUND(B2*C2,0)</f>
        <v>3700</v>
      </c>
      <c r="E2" s="18">
        <f>D2-'表8 累积赔款额流量三角形示例'!F3</f>
        <v>363</v>
      </c>
    </row>
    <row r="3" spans="1:5">
      <c r="A3" s="18">
        <v>2005</v>
      </c>
      <c r="B3" s="18">
        <v>7.9132999999999996</v>
      </c>
      <c r="C3" s="18">
        <v>530</v>
      </c>
      <c r="D3" s="18">
        <f t="shared" ref="D3:D6" si="0">ROUND(B3*C3,0)</f>
        <v>4194</v>
      </c>
      <c r="E3" s="18">
        <f>D3-'表8 累积赔款额流量三角形示例'!E4</f>
        <v>794</v>
      </c>
    </row>
    <row r="4" spans="1:5">
      <c r="A4" s="18">
        <v>2006</v>
      </c>
      <c r="B4" s="18">
        <v>8.51</v>
      </c>
      <c r="C4" s="18">
        <v>579</v>
      </c>
      <c r="D4" s="18">
        <f t="shared" si="0"/>
        <v>4927</v>
      </c>
      <c r="E4" s="18">
        <f>D4-'表8 累积赔款额流量三角形示例'!D5</f>
        <v>1692</v>
      </c>
    </row>
    <row r="5" spans="1:5">
      <c r="A5" s="18">
        <v>2007</v>
      </c>
      <c r="B5" s="18">
        <v>9.4397000000000002</v>
      </c>
      <c r="C5" s="18">
        <v>608</v>
      </c>
      <c r="D5" s="18">
        <f t="shared" si="0"/>
        <v>5739</v>
      </c>
      <c r="E5" s="18">
        <f>D5-'表8 累积赔款额流量三角形示例'!C6</f>
        <v>2874</v>
      </c>
    </row>
    <row r="6" spans="1:5">
      <c r="A6" s="18">
        <v>2008</v>
      </c>
      <c r="B6" s="18">
        <v>10.515499999999999</v>
      </c>
      <c r="C6" s="18">
        <v>624</v>
      </c>
      <c r="D6" s="18">
        <f t="shared" si="0"/>
        <v>6562</v>
      </c>
      <c r="E6" s="18">
        <f>D6-'表8 累积赔款额流量三角形示例'!B7</f>
        <v>4832</v>
      </c>
    </row>
    <row r="7" spans="1:5">
      <c r="A7" s="18" t="s">
        <v>66</v>
      </c>
      <c r="B7" s="18"/>
      <c r="C7" s="18"/>
      <c r="D7" s="18">
        <f>SUM(D2:D6)</f>
        <v>25122</v>
      </c>
      <c r="E7" s="18">
        <f>SUM(E2:E6)</f>
        <v>10555</v>
      </c>
    </row>
  </sheetData>
  <phoneticPr fontId="3" type="noConversion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8B94-D83C-4F09-AD4C-297DB385C299}">
  <dimension ref="A1:G7"/>
  <sheetViews>
    <sheetView workbookViewId="0">
      <selection activeCell="E20" sqref="E20"/>
    </sheetView>
  </sheetViews>
  <sheetFormatPr defaultRowHeight="14.4"/>
  <sheetData>
    <row r="1" spans="1:7" ht="15.6">
      <c r="A1" s="52" t="s">
        <v>0</v>
      </c>
      <c r="B1" s="52" t="s">
        <v>1</v>
      </c>
      <c r="C1" s="52"/>
      <c r="D1" s="52"/>
      <c r="E1" s="52"/>
      <c r="F1" s="52"/>
      <c r="G1" s="52" t="s">
        <v>43</v>
      </c>
    </row>
    <row r="2" spans="1:7" ht="15.6">
      <c r="A2" s="52"/>
      <c r="B2" s="3">
        <v>0</v>
      </c>
      <c r="C2" s="3">
        <v>1</v>
      </c>
      <c r="D2" s="3">
        <v>2</v>
      </c>
      <c r="E2" s="3">
        <v>3</v>
      </c>
      <c r="F2" s="3">
        <v>4</v>
      </c>
      <c r="G2" s="52"/>
    </row>
    <row r="3" spans="1:7" ht="15.6">
      <c r="A3" s="3">
        <v>2004</v>
      </c>
      <c r="B3" s="3">
        <v>410</v>
      </c>
      <c r="C3" s="3">
        <v>464</v>
      </c>
      <c r="D3" s="3">
        <v>479</v>
      </c>
      <c r="E3" s="3">
        <v>490</v>
      </c>
      <c r="F3" s="3">
        <v>494</v>
      </c>
      <c r="G3" s="3">
        <v>496</v>
      </c>
    </row>
    <row r="4" spans="1:7" ht="15.6">
      <c r="A4" s="3">
        <v>2005</v>
      </c>
      <c r="B4" s="3">
        <v>446</v>
      </c>
      <c r="C4" s="3">
        <v>503</v>
      </c>
      <c r="D4" s="3">
        <v>530</v>
      </c>
      <c r="E4" s="3">
        <v>540</v>
      </c>
      <c r="F4" s="3"/>
      <c r="G4" s="3"/>
    </row>
    <row r="5" spans="1:7" ht="15.6">
      <c r="A5" s="3">
        <v>2006</v>
      </c>
      <c r="B5" s="3">
        <v>485</v>
      </c>
      <c r="C5" s="3">
        <v>542</v>
      </c>
      <c r="D5" s="3">
        <v>569</v>
      </c>
      <c r="E5" s="3"/>
      <c r="F5" s="3"/>
      <c r="G5" s="3"/>
    </row>
    <row r="6" spans="1:7" ht="15.6">
      <c r="A6" s="3">
        <v>2007</v>
      </c>
      <c r="B6" s="3">
        <v>535</v>
      </c>
      <c r="C6" s="3">
        <v>592</v>
      </c>
      <c r="D6" s="3"/>
      <c r="E6" s="3"/>
      <c r="F6" s="3"/>
      <c r="G6" s="3"/>
    </row>
    <row r="7" spans="1:7" ht="15.6">
      <c r="A7" s="3">
        <v>2008</v>
      </c>
      <c r="B7" s="3">
        <v>566</v>
      </c>
      <c r="C7" s="3"/>
      <c r="D7" s="3"/>
      <c r="E7" s="3"/>
      <c r="F7" s="3"/>
      <c r="G7" s="3"/>
    </row>
  </sheetData>
  <mergeCells count="3">
    <mergeCell ref="A1:A2"/>
    <mergeCell ref="B1:F1"/>
    <mergeCell ref="G1:G2"/>
  </mergeCells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9A1ED-04A2-41C0-A23F-84438A579389}">
  <dimension ref="A1:G7"/>
  <sheetViews>
    <sheetView workbookViewId="0">
      <selection activeCell="B7" sqref="B7"/>
    </sheetView>
  </sheetViews>
  <sheetFormatPr defaultRowHeight="14.4"/>
  <cols>
    <col min="2" max="2" width="9.33203125" bestFit="1" customWidth="1"/>
  </cols>
  <sheetData>
    <row r="1" spans="1:7" ht="31.2" customHeight="1">
      <c r="A1" s="52" t="s">
        <v>0</v>
      </c>
      <c r="B1" s="52" t="s">
        <v>1</v>
      </c>
      <c r="C1" s="52"/>
      <c r="D1" s="52"/>
      <c r="E1" s="52"/>
      <c r="F1" s="52"/>
      <c r="G1" s="52" t="s">
        <v>44</v>
      </c>
    </row>
    <row r="2" spans="1:7" ht="31.2" customHeight="1">
      <c r="A2" s="52"/>
      <c r="B2" s="3">
        <v>0</v>
      </c>
      <c r="C2" s="3">
        <v>1</v>
      </c>
      <c r="D2" s="3">
        <v>2</v>
      </c>
      <c r="E2" s="3">
        <v>3</v>
      </c>
      <c r="F2" s="3">
        <v>4</v>
      </c>
      <c r="G2" s="52"/>
    </row>
    <row r="3" spans="1:7" ht="15.6">
      <c r="A3" s="3">
        <v>2004</v>
      </c>
      <c r="B3" s="6">
        <f>IFERROR(ROUND('表16 累积已报案赔款流量三角形'!B3/'表38 累积已报案赔款次数流量三角形'!B3,4),"")</f>
        <v>6.7683</v>
      </c>
      <c r="C3" s="6">
        <f>IFERROR(ROUND('表16 累积已报案赔款流量三角形'!C3/'表38 累积已报案赔款次数流量三角形'!C3,4),"")</f>
        <v>7.0151000000000003</v>
      </c>
      <c r="D3" s="6">
        <f>IFERROR(ROUND('表16 累积已报案赔款流量三角形'!D3/'表38 累积已报案赔款次数流量三角形'!D3,4),"")</f>
        <v>7.1837</v>
      </c>
      <c r="E3" s="6">
        <f>IFERROR(ROUND('表16 累积已报案赔款流量三角形'!E3/'表38 累积已报案赔款次数流量三角形'!E3,4),"")</f>
        <v>7.3449</v>
      </c>
      <c r="F3" s="6">
        <f>IFERROR(ROUND('表16 累积已报案赔款流量三角形'!F3/'表38 累积已报案赔款次数流量三角形'!F3,4),"")</f>
        <v>7.5243000000000002</v>
      </c>
      <c r="G3" s="6">
        <f>IFERROR(ROUND('表16 累积已报案赔款流量三角形'!G3/'表38 累积已报案赔款次数流量三角形'!G3,4),"")</f>
        <v>7.4939999999999998</v>
      </c>
    </row>
    <row r="4" spans="1:7" ht="15.6">
      <c r="A4" s="3">
        <v>2005</v>
      </c>
      <c r="B4" s="6">
        <f>IFERROR(ROUND('表16 累积已报案赔款流量三角形'!B4/'表38 累积已报案赔款次数流量三角形'!B4,4),"")</f>
        <v>7.2196999999999996</v>
      </c>
      <c r="C4" s="6">
        <f>IFERROR(ROUND('表16 累积已报案赔款流量三角形'!C4/'表38 累积已报案赔款次数流量三角形'!C4,4),"")</f>
        <v>7.4989999999999997</v>
      </c>
      <c r="D4" s="6">
        <f>IFERROR(ROUND('表16 累积已报案赔款流量三角形'!D4/'表38 累积已报案赔款次数流量三角形'!D4,4),"")</f>
        <v>7.4981</v>
      </c>
      <c r="E4" s="6">
        <f>IFERROR(ROUND('表16 累积已报案赔款流量三角形'!E4/'表38 累积已报案赔款次数流量三角形'!E4,4),"")</f>
        <v>7.7759</v>
      </c>
      <c r="F4" s="6" t="str">
        <f>IFERROR(ROUND('表16 累积已报案赔款流量三角形'!F4/'表38 累积已报案赔款次数流量三角形'!F4,4),"")</f>
        <v/>
      </c>
      <c r="G4" s="6" t="str">
        <f>IFERROR(ROUND('表16 累积已报案赔款流量三角形'!G4/'表38 累积已报案赔款次数流量三角形'!G4,4),"")</f>
        <v/>
      </c>
    </row>
    <row r="5" spans="1:7" ht="15.6">
      <c r="A5" s="3">
        <v>2006</v>
      </c>
      <c r="B5" s="6">
        <f>IFERROR(ROUND('表16 累积已报案赔款流量三角形'!B5/'表38 累积已报案赔款次数流量三角形'!B5,4),"")</f>
        <v>7.532</v>
      </c>
      <c r="C5" s="6">
        <f>IFERROR(ROUND('表16 累积已报案赔款流量三角形'!C5/'表38 累积已报案赔款次数流量三角形'!C5,4),"")</f>
        <v>8.1052</v>
      </c>
      <c r="D5" s="6">
        <f>IFERROR(ROUND('表16 累积已报案赔款流量三角形'!D5/'表38 累积已报案赔款次数流量三角形'!D5,4),"")</f>
        <v>8.3216000000000001</v>
      </c>
      <c r="E5" s="6" t="str">
        <f>IFERROR(ROUND('表16 累积已报案赔款流量三角形'!E5/'表38 累积已报案赔款次数流量三角形'!E5,4),"")</f>
        <v/>
      </c>
      <c r="F5" s="6" t="str">
        <f>IFERROR(ROUND('表16 累积已报案赔款流量三角形'!F5/'表38 累积已报案赔款次数流量三角形'!F5,4),"")</f>
        <v/>
      </c>
      <c r="G5" s="6" t="str">
        <f>IFERROR(ROUND('表16 累积已报案赔款流量三角形'!G5/'表38 累积已报案赔款次数流量三角形'!G5,4),"")</f>
        <v/>
      </c>
    </row>
    <row r="6" spans="1:7" ht="15.6">
      <c r="A6" s="3">
        <v>2007</v>
      </c>
      <c r="B6" s="6">
        <f>IFERROR(ROUND('表16 累积已报案赔款流量三角形'!B6/'表38 累积已报案赔款次数流量三角形'!B6,4),"")</f>
        <v>8.4449000000000005</v>
      </c>
      <c r="C6" s="6">
        <f>IFERROR(ROUND('表16 累积已报案赔款流量三角形'!C6/'表38 累积已报案赔款次数流量三角形'!C6,4),"")</f>
        <v>9.1283999999999992</v>
      </c>
      <c r="D6" s="6" t="str">
        <f>IFERROR(ROUND('表16 累积已报案赔款流量三角形'!D6/'表38 累积已报案赔款次数流量三角形'!D6,4),"")</f>
        <v/>
      </c>
      <c r="E6" s="6" t="str">
        <f>IFERROR(ROUND('表16 累积已报案赔款流量三角形'!E6/'表38 累积已报案赔款次数流量三角形'!E6,4),"")</f>
        <v/>
      </c>
      <c r="F6" s="6" t="str">
        <f>IFERROR(ROUND('表16 累积已报案赔款流量三角形'!F6/'表38 累积已报案赔款次数流量三角形'!F6,4),"")</f>
        <v/>
      </c>
      <c r="G6" s="6" t="str">
        <f>IFERROR(ROUND('表16 累积已报案赔款流量三角形'!G6/'表38 累积已报案赔款次数流量三角形'!G6,4),"")</f>
        <v/>
      </c>
    </row>
    <row r="7" spans="1:7" ht="15.6">
      <c r="A7" s="3">
        <v>2008</v>
      </c>
      <c r="B7" s="6">
        <f>IFERROR(ROUND('表16 累积已报案赔款流量三角形'!B7/'表38 累积已报案赔款次数流量三角形'!B7,4),"")</f>
        <v>9.4169999999999998</v>
      </c>
      <c r="C7" s="6" t="str">
        <f>IFERROR(ROUND('表16 累积已报案赔款流量三角形'!C7/'表38 累积已报案赔款次数流量三角形'!C7,4),"")</f>
        <v/>
      </c>
      <c r="D7" s="6" t="str">
        <f>IFERROR(ROUND('表16 累积已报案赔款流量三角形'!D7/'表38 累积已报案赔款次数流量三角形'!D7,4),"")</f>
        <v/>
      </c>
      <c r="E7" s="6" t="str">
        <f>IFERROR(ROUND('表16 累积已报案赔款流量三角形'!E7/'表38 累积已报案赔款次数流量三角形'!E7,4),"")</f>
        <v/>
      </c>
      <c r="F7" s="6" t="str">
        <f>IFERROR(ROUND('表16 累积已报案赔款流量三角形'!F7/'表38 累积已报案赔款次数流量三角形'!F7,4),"")</f>
        <v/>
      </c>
      <c r="G7" s="6" t="str">
        <f>IFERROR(ROUND('表16 累积已报案赔款流量三角形'!G7/'表38 累积已报案赔款次数流量三角形'!G7,4),"")</f>
        <v/>
      </c>
    </row>
  </sheetData>
  <mergeCells count="3">
    <mergeCell ref="A1:A2"/>
    <mergeCell ref="B1:F1"/>
    <mergeCell ref="G1:G2"/>
  </mergeCells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88F3-DFE3-415A-B43E-1A04E915B62A}">
  <dimension ref="A1:F3"/>
  <sheetViews>
    <sheetView workbookViewId="0">
      <selection activeCell="B3" sqref="B3:F3"/>
    </sheetView>
  </sheetViews>
  <sheetFormatPr defaultRowHeight="14.4"/>
  <cols>
    <col min="1" max="1" width="15.5546875" customWidth="1"/>
    <col min="2" max="6" width="9.33203125" bestFit="1" customWidth="1"/>
  </cols>
  <sheetData>
    <row r="1" spans="1:6" ht="15.6">
      <c r="A1" s="3" t="s">
        <v>47</v>
      </c>
      <c r="B1" s="3" t="s">
        <v>4</v>
      </c>
      <c r="C1" s="5" t="s">
        <v>5</v>
      </c>
      <c r="D1" s="5" t="s">
        <v>6</v>
      </c>
      <c r="E1" s="5" t="s">
        <v>7</v>
      </c>
      <c r="F1" s="5" t="s">
        <v>8</v>
      </c>
    </row>
    <row r="2" spans="1:6" ht="15.6">
      <c r="A2" s="3" t="s">
        <v>46</v>
      </c>
      <c r="B2" s="6">
        <f>ROUND(SUM('表39 已报案案均赔款'!C3:C6)/SUM('表39 已报案案均赔款'!B3:B6),4)</f>
        <v>1.0595000000000001</v>
      </c>
      <c r="C2" s="6">
        <f>ROUND(SUM('表39 已报案案均赔款'!D3:D5)/SUM('表39 已报案案均赔款'!C3:C5),4)</f>
        <v>1.0169999999999999</v>
      </c>
      <c r="D2" s="6">
        <f>ROUND(SUM('表39 已报案案均赔款'!E3:E4)/SUM('表39 已报案案均赔款'!D3:D4),4)</f>
        <v>1.0299</v>
      </c>
      <c r="E2" s="6">
        <f>ROUND('表39 已报案案均赔款'!F3/'表39 已报案案均赔款'!E3,4)</f>
        <v>1.0244</v>
      </c>
      <c r="F2" s="6">
        <f>ROUND('表39 已报案案均赔款'!G3/'表39 已报案案均赔款'!F3,4)</f>
        <v>0.996</v>
      </c>
    </row>
    <row r="3" spans="1:6" ht="15.6">
      <c r="A3" s="3" t="s">
        <v>48</v>
      </c>
      <c r="B3" s="6">
        <f>ROUND(PRODUCT(B2:$F2),4)</f>
        <v>1.1323000000000001</v>
      </c>
      <c r="C3" s="6">
        <f>ROUND(PRODUCT(C2:$F2),4)</f>
        <v>1.0687</v>
      </c>
      <c r="D3" s="6">
        <f>ROUND(PRODUCT(D2:$F2),4)</f>
        <v>1.0508</v>
      </c>
      <c r="E3" s="6">
        <f>ROUND(PRODUCT(E2:$F2),4)</f>
        <v>1.0203</v>
      </c>
      <c r="F3" s="6">
        <f>ROUND(PRODUCT(F2:$F2),4)</f>
        <v>0.996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6BDC5-6CE6-47FE-8816-2B2C0FF3E898}">
  <dimension ref="A1:N6"/>
  <sheetViews>
    <sheetView workbookViewId="0">
      <selection activeCell="H11" sqref="H11"/>
    </sheetView>
  </sheetViews>
  <sheetFormatPr defaultRowHeight="14.4"/>
  <cols>
    <col min="2" max="6" width="9.33203125" customWidth="1"/>
  </cols>
  <sheetData>
    <row r="1" spans="1:14" ht="15.6">
      <c r="A1" s="52" t="s">
        <v>0</v>
      </c>
      <c r="B1" s="52" t="s">
        <v>1</v>
      </c>
      <c r="C1" s="52"/>
      <c r="D1" s="52"/>
      <c r="E1" s="52"/>
      <c r="F1" s="52"/>
    </row>
    <row r="2" spans="1:14" ht="15.6">
      <c r="A2" s="52"/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H2" s="7"/>
      <c r="N2" s="4"/>
    </row>
    <row r="3" spans="1:14" ht="15.6">
      <c r="A3" s="3">
        <v>2004</v>
      </c>
      <c r="B3" s="6">
        <f>IF('表8 累积赔款额流量三角形示例'!C3="","",IF(AND('表8 累积赔款额流量三角形示例'!$A3=min_accident_year,'表8 累积赔款额流量三角形示例'!B$2=max_development_year),'表8 累积赔款额流量三角形示例'!$H$3/'表8 累积赔款额流量三角形示例'!$F$3,'表8 累积赔款额流量三角形示例'!C3/'表8 累积赔款额流量三角形示例'!B3))</f>
        <v>1.8494516450648055</v>
      </c>
      <c r="C3" s="6">
        <f>IF('表8 累积赔款额流量三角形示例'!D3="","",IF(AND('表8 累积赔款额流量三角形示例'!$A3=min_accident_year,'表8 累积赔款额流量三角形示例'!C$2=max_development_year),'表8 累积赔款额流量三角形示例'!$H$3/'表8 累积赔款额流量三角形示例'!$F$3,'表8 累积赔款额流量三角形示例'!D3/'表8 累积赔款额流量三角形示例'!C3))</f>
        <v>1.3008086253369273</v>
      </c>
      <c r="D3" s="6">
        <f>IF('表8 累积赔款额流量三角形示例'!E3="","",IF(AND('表8 累积赔款额流量三角形示例'!$A3=min_accident_year,'表8 累积赔款额流量三角形示例'!D$2=max_development_year),'表8 累积赔款额流量三角形示例'!$H$3/'表8 累积赔款额流量三角形示例'!$F$3,'表8 累积赔款额流量三角形示例'!E3/'表8 累积赔款额流量三角形示例'!D3))</f>
        <v>1.2428512225445503</v>
      </c>
      <c r="E3" s="6">
        <f>IF('表8 累积赔款额流量三角形示例'!F3="","",IF(AND('表8 累积赔款额流量三角形示例'!$A3=min_accident_year,'表8 累积赔款额流量三角形示例'!E$2=max_development_year),'表8 累积赔款额流量三角形示例'!$H$3/'表8 累积赔款额流量三角形示例'!$F$3,'表8 累积赔款额流量三角形示例'!F3/'表8 累积赔款额流量三角形示例'!E3))</f>
        <v>1.112704234744915</v>
      </c>
      <c r="F3" s="6">
        <f>IF('表8 累积赔款额流量三角形示例'!G3="","",IF(AND('表8 累积赔款额流量三角形示例'!$A3=min_accident_year,'表8 累积赔款额流量三角形示例'!F$2=max_development_year),'表8 累积赔款额流量三角形示例'!$H$3/'表8 累积赔款额流量三角形示例'!$F$3,'表8 累积赔款额流量三角形示例'!G3/'表8 累积赔款额流量三角形示例'!F3))</f>
        <v>1.1087803416242135</v>
      </c>
    </row>
    <row r="4" spans="1:14" ht="15.6">
      <c r="A4" s="3">
        <v>2005</v>
      </c>
      <c r="B4" s="6">
        <f>IF('表8 累积赔款额流量三角形示例'!C4="","",IF(AND('表8 累积赔款额流量三角形示例'!$A4=min_accident_year,'表8 累积赔款额流量三角形示例'!B$2=max_development_year),'表8 累积赔款额流量三角形示例'!$H$3/'表8 累积赔款额流量三角形示例'!$F$3,'表8 累积赔款额流量三角形示例'!C4/'表8 累积赔款额流量三角形示例'!B4))</f>
        <v>1.8866071428571429</v>
      </c>
      <c r="C4" s="6">
        <f>IF('表8 累积赔款额流量三角形示例'!D4="","",IF(AND('表8 累积赔款额流量三角形示例'!$A4=min_accident_year,'表8 累积赔款额流量三角形示例'!C$2=max_development_year),'表8 累积赔款额流量三角形示例'!$H$3/'表8 累积赔款额流量三角形示例'!$F$3,'表8 累积赔款额流量三角形示例'!D4/'表8 累积赔款额流量三角形示例'!C4))</f>
        <v>1.313771888310459</v>
      </c>
      <c r="D4" s="6">
        <f>IF('表8 累积赔款额流量三角形示例'!E4="","",IF(AND('表8 累积赔款额流量三角形示例'!$A4=min_accident_year,'表8 累积赔款额流量三角形示例'!D$2=max_development_year),'表8 累积赔款额流量三角形示例'!$H$3/'表8 累积赔款额流量三角形示例'!$F$3,'表8 累积赔款额流量三角形示例'!E4/'表8 累积赔款额流量三角形示例'!D4))</f>
        <v>1.2247838616714697</v>
      </c>
      <c r="E4" s="6" t="str">
        <f>IF('表8 累积赔款额流量三角形示例'!F4="","",IF(AND('表8 累积赔款额流量三角形示例'!$A4=min_accident_year,'表8 累积赔款额流量三角形示例'!E$2=max_development_year),'表8 累积赔款额流量三角形示例'!$H$3/'表8 累积赔款额流量三角形示例'!$F$3,'表8 累积赔款额流量三角形示例'!F4/'表8 累积赔款额流量三角形示例'!E4))</f>
        <v/>
      </c>
      <c r="F4" s="6" t="str">
        <f>IF('表8 累积赔款额流量三角形示例'!G4="","",IF(AND('表8 累积赔款额流量三角形示例'!$A4=min_accident_year,'表8 累积赔款额流量三角形示例'!F$2=max_development_year),'表8 累积赔款额流量三角形示例'!$H$3/'表8 累积赔款额流量三角形示例'!$F$3,'表8 累积赔款额流量三角形示例'!G4/'表8 累积赔款额流量三角形示例'!F4))</f>
        <v/>
      </c>
    </row>
    <row r="5" spans="1:14" ht="15.6">
      <c r="A5" s="3">
        <v>2006</v>
      </c>
      <c r="B5" s="6">
        <f>IF('表8 累积赔款额流量三角形示例'!C5="","",IF(AND('表8 累积赔款额流量三角形示例'!$A5=min_accident_year,'表8 累积赔款额流量三角形示例'!B$2=max_development_year),'表8 累积赔款额流量三角形示例'!$H$3/'表8 累积赔款额流量三角形示例'!$F$3,'表8 累积赔款额流量三角形示例'!C5/'表8 累积赔款额流量三角形示例'!B5))</f>
        <v>1.9003921568627451</v>
      </c>
      <c r="C5" s="6">
        <f>IF('表8 累积赔款额流量三角形示例'!D5="","",IF(AND('表8 累积赔款额流量三角形示例'!$A5=min_accident_year,'表8 累积赔款额流量三角形示例'!C$2=max_development_year),'表8 累积赔款额流量三角形示例'!$H$3/'表8 累积赔款额流量三角形示例'!$F$3,'表8 累积赔款额流量三角形示例'!D5/'表8 累积赔款额流量三角形示例'!C5))</f>
        <v>1.3351217498968222</v>
      </c>
      <c r="D5" s="6" t="str">
        <f>IF('表8 累积赔款额流量三角形示例'!E5="","",IF(AND('表8 累积赔款额流量三角形示例'!$A5=min_accident_year,'表8 累积赔款额流量三角形示例'!D$2=max_development_year),'表8 累积赔款额流量三角形示例'!$H$3/'表8 累积赔款额流量三角形示例'!$F$3,'表8 累积赔款额流量三角形示例'!E5/'表8 累积赔款额流量三角形示例'!D5))</f>
        <v/>
      </c>
      <c r="E5" s="6" t="str">
        <f>IF('表8 累积赔款额流量三角形示例'!F5="","",IF(AND('表8 累积赔款额流量三角形示例'!$A5=min_accident_year,'表8 累积赔款额流量三角形示例'!E$2=max_development_year),'表8 累积赔款额流量三角形示例'!$H$3/'表8 累积赔款额流量三角形示例'!$F$3,'表8 累积赔款额流量三角形示例'!F5/'表8 累积赔款额流量三角形示例'!E5))</f>
        <v/>
      </c>
      <c r="F5" s="6" t="str">
        <f>IF('表8 累积赔款额流量三角形示例'!G5="","",IF(AND('表8 累积赔款额流量三角形示例'!$A5=min_accident_year,'表8 累积赔款额流量三角形示例'!F$2=max_development_year),'表8 累积赔款额流量三角形示例'!$H$3/'表8 累积赔款额流量三角形示例'!$F$3,'表8 累积赔款额流量三角形示例'!G5/'表8 累积赔款额流量三角形示例'!F5))</f>
        <v/>
      </c>
    </row>
    <row r="6" spans="1:14" ht="15.6">
      <c r="A6" s="3">
        <v>2007</v>
      </c>
      <c r="B6" s="6">
        <f>IF('表8 累积赔款额流量三角形示例'!C6="","",IF(AND('表8 累积赔款额流量三角形示例'!$A6=min_accident_year,'表8 累积赔款额流量三角形示例'!B$2=max_development_year),'表8 累积赔款额流量三角形示例'!$H$3/'表8 累积赔款额流量三角形示例'!$F$3,'表8 累积赔款额流量三角形示例'!C6/'表8 累积赔款额流量三角形示例'!B6))</f>
        <v>1.9241101410342512</v>
      </c>
      <c r="C6" s="6" t="str">
        <f>IF('表8 累积赔款额流量三角形示例'!D6="","",IF(AND('表8 累积赔款额流量三角形示例'!$A6=min_accident_year,'表8 累积赔款额流量三角形示例'!C$2=max_development_year),'表8 累积赔款额流量三角形示例'!$H$3/'表8 累积赔款额流量三角形示例'!$F$3,'表8 累积赔款额流量三角形示例'!D6/'表8 累积赔款额流量三角形示例'!C6))</f>
        <v/>
      </c>
      <c r="D6" s="6" t="str">
        <f>IF('表8 累积赔款额流量三角形示例'!E6="","",IF(AND('表8 累积赔款额流量三角形示例'!$A6=min_accident_year,'表8 累积赔款额流量三角形示例'!D$2=max_development_year),'表8 累积赔款额流量三角形示例'!$H$3/'表8 累积赔款额流量三角形示例'!$F$3,'表8 累积赔款额流量三角形示例'!E6/'表8 累积赔款额流量三角形示例'!D6))</f>
        <v/>
      </c>
      <c r="E6" s="6" t="str">
        <f>IF('表8 累积赔款额流量三角形示例'!F6="","",IF(AND('表8 累积赔款额流量三角形示例'!$A6=min_accident_year,'表8 累积赔款额流量三角形示例'!E$2=max_development_year),'表8 累积赔款额流量三角形示例'!$H$3/'表8 累积赔款额流量三角形示例'!$F$3,'表8 累积赔款额流量三角形示例'!F6/'表8 累积赔款额流量三角形示例'!E6))</f>
        <v/>
      </c>
      <c r="F6" s="6" t="str">
        <f>IF('表8 累积赔款额流量三角形示例'!G6="","",IF(AND('表8 累积赔款额流量三角形示例'!$A6=min_accident_year,'表8 累积赔款额流量三角形示例'!F$2=max_development_year),'表8 累积赔款额流量三角形示例'!$H$3/'表8 累积赔款额流量三角形示例'!$F$3,'表8 累积赔款额流量三角形示例'!G6/'表8 累积赔款额流量三角形示例'!F6))</f>
        <v/>
      </c>
    </row>
  </sheetData>
  <mergeCells count="2">
    <mergeCell ref="A1:A2"/>
    <mergeCell ref="B1:F1"/>
  </mergeCells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4C0A-9C4A-4E1E-BE10-5D527CE9000C}">
  <dimension ref="A1:F4"/>
  <sheetViews>
    <sheetView workbookViewId="0"/>
  </sheetViews>
  <sheetFormatPr defaultRowHeight="14.4"/>
  <cols>
    <col min="1" max="1" width="32.44140625" bestFit="1" customWidth="1"/>
    <col min="2" max="6" width="9.33203125" bestFit="1" customWidth="1"/>
  </cols>
  <sheetData>
    <row r="1" spans="1:6" ht="15.6">
      <c r="A1" s="25" t="s">
        <v>0</v>
      </c>
      <c r="B1" s="25" t="s">
        <v>50</v>
      </c>
      <c r="C1" s="25" t="s">
        <v>51</v>
      </c>
      <c r="D1" s="25" t="s">
        <v>52</v>
      </c>
      <c r="E1" s="25" t="s">
        <v>53</v>
      </c>
      <c r="F1" s="25" t="s">
        <v>54</v>
      </c>
    </row>
    <row r="2" spans="1:6" ht="15.6">
      <c r="A2" s="25" t="s">
        <v>67</v>
      </c>
      <c r="B2" s="26">
        <f>'表39 已报案案均赔款'!B7</f>
        <v>9.4169999999999998</v>
      </c>
      <c r="C2" s="26">
        <f>'表39 已报案案均赔款'!C6</f>
        <v>9.1283999999999992</v>
      </c>
      <c r="D2" s="26">
        <f>'表39 已报案案均赔款'!D5</f>
        <v>8.3216000000000001</v>
      </c>
      <c r="E2" s="26">
        <f>'表39 已报案案均赔款'!E4</f>
        <v>7.7759</v>
      </c>
      <c r="F2" s="26">
        <f>'表39 已报案案均赔款'!F3</f>
        <v>7.5243000000000002</v>
      </c>
    </row>
    <row r="3" spans="1:6" ht="15.6">
      <c r="A3" s="25" t="s">
        <v>48</v>
      </c>
      <c r="B3" s="26">
        <f>'表40 逐年进展因子及最终进展因子的估计'!B3</f>
        <v>1.1323000000000001</v>
      </c>
      <c r="C3" s="26">
        <f>'表40 逐年进展因子及最终进展因子的估计'!C3</f>
        <v>1.0687</v>
      </c>
      <c r="D3" s="26">
        <f>'表40 逐年进展因子及最终进展因子的估计'!D3</f>
        <v>1.0508</v>
      </c>
      <c r="E3" s="26">
        <f>'表40 逐年进展因子及最终进展因子的估计'!E3</f>
        <v>1.0203</v>
      </c>
      <c r="F3" s="26">
        <f>'表40 逐年进展因子及最终进展因子的估计'!F3</f>
        <v>0.996</v>
      </c>
    </row>
    <row r="4" spans="1:6" ht="15.6">
      <c r="A4" s="25" t="s">
        <v>68</v>
      </c>
      <c r="B4" s="25">
        <f>ROUND(B2*B3,4)</f>
        <v>10.6629</v>
      </c>
      <c r="C4" s="25">
        <f t="shared" ref="C4:E4" si="0">ROUND(C2*C3,4)</f>
        <v>9.7554999999999996</v>
      </c>
      <c r="D4" s="25">
        <f t="shared" si="0"/>
        <v>8.7443000000000008</v>
      </c>
      <c r="E4" s="25">
        <f t="shared" si="0"/>
        <v>7.9337999999999997</v>
      </c>
      <c r="F4" s="30">
        <f>'表39 已报案案均赔款'!G3</f>
        <v>7.4939999999999998</v>
      </c>
    </row>
  </sheetData>
  <phoneticPr fontId="3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386B4-ECB7-426E-AC32-4E161A3AAEF0}">
  <dimension ref="A1:F6"/>
  <sheetViews>
    <sheetView workbookViewId="0"/>
  </sheetViews>
  <sheetFormatPr defaultRowHeight="14.4"/>
  <cols>
    <col min="1" max="1" width="16.109375" bestFit="1" customWidth="1"/>
    <col min="2" max="2" width="10.5546875" bestFit="1" customWidth="1"/>
    <col min="6" max="6" width="9.5546875" bestFit="1" customWidth="1"/>
  </cols>
  <sheetData>
    <row r="1" spans="1:6">
      <c r="A1" s="18" t="s">
        <v>0</v>
      </c>
      <c r="B1" s="18" t="s">
        <v>50</v>
      </c>
      <c r="C1" s="18" t="s">
        <v>51</v>
      </c>
      <c r="D1" s="18" t="s">
        <v>52</v>
      </c>
      <c r="E1" s="18" t="s">
        <v>53</v>
      </c>
      <c r="F1" s="18" t="s">
        <v>54</v>
      </c>
    </row>
    <row r="2" spans="1:6">
      <c r="A2" s="18" t="s">
        <v>1</v>
      </c>
      <c r="B2" s="27" t="s">
        <v>56</v>
      </c>
      <c r="C2" s="27" t="s">
        <v>57</v>
      </c>
      <c r="D2" s="27" t="s">
        <v>58</v>
      </c>
      <c r="E2" s="27" t="s">
        <v>59</v>
      </c>
      <c r="F2" s="27" t="s">
        <v>8</v>
      </c>
    </row>
    <row r="3" spans="1:6">
      <c r="A3" s="18" t="s">
        <v>69</v>
      </c>
      <c r="B3" s="18">
        <f>'表38 累积已报案赔款次数流量三角形'!B7</f>
        <v>566</v>
      </c>
      <c r="C3" s="18">
        <f>'表38 累积已报案赔款次数流量三角形'!C6</f>
        <v>592</v>
      </c>
      <c r="D3" s="18">
        <f>'表38 累积已报案赔款次数流量三角形'!D5</f>
        <v>569</v>
      </c>
      <c r="E3" s="18">
        <f>'表38 累积已报案赔款次数流量三角形'!E4</f>
        <v>540</v>
      </c>
      <c r="F3" s="18">
        <f>'表38 累积已报案赔款次数流量三角形'!F3</f>
        <v>494</v>
      </c>
    </row>
    <row r="4" spans="1:6">
      <c r="A4" s="18" t="s">
        <v>46</v>
      </c>
      <c r="B4" s="28">
        <f>ROUND(SUM('表38 累积已报案赔款次数流量三角形'!C3:C6)/SUM('表38 累积已报案赔款次数流量三角形'!B3:B6),4)</f>
        <v>1.1198999999999999</v>
      </c>
      <c r="C4" s="28">
        <f>ROUND(SUM('表38 累积已报案赔款次数流量三角形'!D3:D5)/SUM('表38 累积已报案赔款次数流量三角形'!C3:C5),4)</f>
        <v>1.0457000000000001</v>
      </c>
      <c r="D4" s="28">
        <f>ROUND(SUM('表38 累积已报案赔款次数流量三角形'!E3:E4)/SUM('表38 累积已报案赔款次数流量三角形'!D3:D4),4)</f>
        <v>1.0207999999999999</v>
      </c>
      <c r="E4" s="28">
        <f>ROUND('表38 累积已报案赔款次数流量三角形'!F3/'表38 累积已报案赔款次数流量三角形'!E3,4)</f>
        <v>1.0082</v>
      </c>
      <c r="F4" s="28">
        <f>ROUND('表38 累积已报案赔款次数流量三角形'!G3/'表38 累积已报案赔款次数流量三角形'!F3,4)</f>
        <v>1.004</v>
      </c>
    </row>
    <row r="5" spans="1:6">
      <c r="A5" s="18" t="s">
        <v>48</v>
      </c>
      <c r="B5" s="28">
        <f>PRODUCT(B4:$F4)</f>
        <v>1.2100614346686911</v>
      </c>
      <c r="C5" s="28">
        <f>PRODUCT(C4:$F4)</f>
        <v>1.0805084692103679</v>
      </c>
      <c r="D5" s="28">
        <f>PRODUCT(D4:$F4)</f>
        <v>1.0332872422399999</v>
      </c>
      <c r="E5" s="28">
        <f>PRODUCT(E4:$F4)</f>
        <v>1.0122328</v>
      </c>
      <c r="F5" s="28">
        <f>PRODUCT(F4:$F4)</f>
        <v>1.004</v>
      </c>
    </row>
    <row r="6" spans="1:6" ht="28.8">
      <c r="A6" s="29" t="s">
        <v>70</v>
      </c>
      <c r="B6" s="31">
        <f>ROUND(B3*B5,0)</f>
        <v>685</v>
      </c>
      <c r="C6" s="31">
        <f t="shared" ref="C6:E6" si="0">ROUND(C3*C5,0)</f>
        <v>640</v>
      </c>
      <c r="D6" s="31">
        <f t="shared" si="0"/>
        <v>588</v>
      </c>
      <c r="E6" s="31">
        <f t="shared" si="0"/>
        <v>547</v>
      </c>
      <c r="F6" s="18">
        <f>'表38 累积已报案赔款次数流量三角形'!G3</f>
        <v>496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BBC4-62DC-45D9-92EC-0221528FDD48}">
  <dimension ref="A1:E7"/>
  <sheetViews>
    <sheetView workbookViewId="0">
      <selection activeCell="E13" sqref="E13"/>
    </sheetView>
  </sheetViews>
  <sheetFormatPr defaultRowHeight="14.4"/>
  <cols>
    <col min="1" max="5" width="21.88671875" customWidth="1"/>
  </cols>
  <sheetData>
    <row r="1" spans="1:5" ht="31.2">
      <c r="A1" s="1" t="s">
        <v>0</v>
      </c>
      <c r="B1" s="1" t="s">
        <v>63</v>
      </c>
      <c r="C1" s="1" t="s">
        <v>61</v>
      </c>
      <c r="D1" s="1" t="s">
        <v>64</v>
      </c>
      <c r="E1" s="1" t="s">
        <v>65</v>
      </c>
    </row>
    <row r="2" spans="1:5">
      <c r="A2" s="18">
        <v>2004</v>
      </c>
      <c r="B2" s="18">
        <v>7.4939999999999998</v>
      </c>
      <c r="C2" s="18">
        <v>496</v>
      </c>
      <c r="D2" s="18">
        <f>ROUND(B2*C2,0)</f>
        <v>3717</v>
      </c>
      <c r="E2" s="18">
        <f>D2-'表8 累积赔款额流量三角形示例'!F3</f>
        <v>380</v>
      </c>
    </row>
    <row r="3" spans="1:5">
      <c r="A3" s="18">
        <v>2005</v>
      </c>
      <c r="B3" s="18">
        <v>7.9337999999999997</v>
      </c>
      <c r="C3" s="18">
        <v>547</v>
      </c>
      <c r="D3" s="18">
        <f t="shared" ref="D3:D6" si="0">ROUND(B3*C3,0)</f>
        <v>4340</v>
      </c>
      <c r="E3" s="18">
        <f>D3-'表8 累积赔款额流量三角形示例'!E4</f>
        <v>940</v>
      </c>
    </row>
    <row r="4" spans="1:5">
      <c r="A4" s="18">
        <v>2006</v>
      </c>
      <c r="B4" s="18">
        <v>8.7443000000000008</v>
      </c>
      <c r="C4" s="18">
        <v>588</v>
      </c>
      <c r="D4" s="18">
        <f t="shared" si="0"/>
        <v>5142</v>
      </c>
      <c r="E4" s="18">
        <f>D4-'表8 累积赔款额流量三角形示例'!D5</f>
        <v>1907</v>
      </c>
    </row>
    <row r="5" spans="1:5">
      <c r="A5" s="18">
        <v>2007</v>
      </c>
      <c r="B5" s="18">
        <v>9.7554999999999996</v>
      </c>
      <c r="C5" s="18">
        <v>640</v>
      </c>
      <c r="D5" s="18">
        <f t="shared" si="0"/>
        <v>6244</v>
      </c>
      <c r="E5" s="18">
        <f>D5-'表8 累积赔款额流量三角形示例'!C6</f>
        <v>3379</v>
      </c>
    </row>
    <row r="6" spans="1:5">
      <c r="A6" s="18">
        <v>2008</v>
      </c>
      <c r="B6" s="18">
        <v>10.6629</v>
      </c>
      <c r="C6" s="18">
        <v>685</v>
      </c>
      <c r="D6" s="18">
        <f t="shared" si="0"/>
        <v>7304</v>
      </c>
      <c r="E6" s="18">
        <f>D6-'表8 累积赔款额流量三角形示例'!B7</f>
        <v>5574</v>
      </c>
    </row>
    <row r="7" spans="1:5">
      <c r="A7" s="18" t="s">
        <v>66</v>
      </c>
      <c r="B7" s="18"/>
      <c r="C7" s="18"/>
      <c r="D7" s="18">
        <f>SUM(D2:D6)</f>
        <v>26747</v>
      </c>
      <c r="E7" s="18">
        <f>SUM(E2:E6)</f>
        <v>12180</v>
      </c>
    </row>
  </sheetData>
  <phoneticPr fontId="3" type="noConversion"/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EA31A-2FE5-45FB-AB13-29BF143F90B5}">
  <dimension ref="A1:G7"/>
  <sheetViews>
    <sheetView workbookViewId="0">
      <selection activeCell="G11" sqref="G11"/>
    </sheetView>
  </sheetViews>
  <sheetFormatPr defaultRowHeight="14.4"/>
  <sheetData>
    <row r="1" spans="1:7">
      <c r="A1" s="18" t="s">
        <v>71</v>
      </c>
      <c r="B1" s="18" t="s">
        <v>77</v>
      </c>
      <c r="C1" s="18" t="s">
        <v>72</v>
      </c>
      <c r="D1" s="18" t="s">
        <v>73</v>
      </c>
      <c r="E1" s="18" t="s">
        <v>74</v>
      </c>
      <c r="F1" s="18" t="s">
        <v>75</v>
      </c>
      <c r="G1" s="18" t="s">
        <v>76</v>
      </c>
    </row>
    <row r="2" spans="1:7">
      <c r="A2" s="18">
        <v>1</v>
      </c>
      <c r="B2" s="18">
        <f>'表37 最终赔款和未决赔款准备金的估计'!D2</f>
        <v>3700</v>
      </c>
      <c r="C2" s="18">
        <f>'表8 累积赔款额流量三角形示例'!F3</f>
        <v>3337</v>
      </c>
      <c r="D2" s="18">
        <v>380</v>
      </c>
      <c r="E2" s="18">
        <f>C2+D2</f>
        <v>3717</v>
      </c>
      <c r="F2" s="18">
        <f>B2-C2</f>
        <v>363</v>
      </c>
      <c r="G2" s="18">
        <f>B2-C2-D2</f>
        <v>-17</v>
      </c>
    </row>
    <row r="3" spans="1:7">
      <c r="A3" s="18">
        <v>2</v>
      </c>
      <c r="B3" s="18">
        <f>'表37 最终赔款和未决赔款准备金的估计'!D3</f>
        <v>4194</v>
      </c>
      <c r="C3" s="18">
        <f>'表8 累积赔款额流量三角形示例'!E4</f>
        <v>3400</v>
      </c>
      <c r="D3" s="18">
        <v>799</v>
      </c>
      <c r="E3" s="18">
        <f t="shared" ref="E3:E6" si="0">C3+D3</f>
        <v>4199</v>
      </c>
      <c r="F3" s="18">
        <f>B3-C3</f>
        <v>794</v>
      </c>
      <c r="G3" s="18">
        <f t="shared" ref="G3:G6" si="1">B3-C3-D3</f>
        <v>-5</v>
      </c>
    </row>
    <row r="4" spans="1:7">
      <c r="A4" s="18">
        <v>3</v>
      </c>
      <c r="B4" s="18">
        <f>'表37 最终赔款和未决赔款准备金的估计'!D4</f>
        <v>4927</v>
      </c>
      <c r="C4" s="18">
        <f>'表8 累积赔款额流量三角形示例'!D5</f>
        <v>3235</v>
      </c>
      <c r="D4" s="18">
        <v>1500</v>
      </c>
      <c r="E4" s="18">
        <f t="shared" si="0"/>
        <v>4735</v>
      </c>
      <c r="F4" s="18">
        <f>B4-C4</f>
        <v>1692</v>
      </c>
      <c r="G4" s="18">
        <f t="shared" si="1"/>
        <v>192</v>
      </c>
    </row>
    <row r="5" spans="1:7">
      <c r="A5" s="18">
        <v>4</v>
      </c>
      <c r="B5" s="18">
        <f>'表37 最终赔款和未决赔款准备金的估计'!D5</f>
        <v>5739</v>
      </c>
      <c r="C5" s="18">
        <f>'表8 累积赔款额流量三角形示例'!C6</f>
        <v>2865</v>
      </c>
      <c r="D5" s="18">
        <v>2539</v>
      </c>
      <c r="E5" s="18">
        <f t="shared" si="0"/>
        <v>5404</v>
      </c>
      <c r="F5" s="18">
        <f>B5-C5</f>
        <v>2874</v>
      </c>
      <c r="G5" s="18">
        <f t="shared" si="1"/>
        <v>335</v>
      </c>
    </row>
    <row r="6" spans="1:7">
      <c r="A6" s="18">
        <v>5</v>
      </c>
      <c r="B6" s="18">
        <f>'表37 最终赔款和未决赔款准备金的估计'!D6</f>
        <v>6562</v>
      </c>
      <c r="C6" s="18">
        <f>'表8 累积赔款额流量三角形示例'!B7</f>
        <v>1730</v>
      </c>
      <c r="D6" s="18">
        <v>3600</v>
      </c>
      <c r="E6" s="18">
        <f t="shared" si="0"/>
        <v>5330</v>
      </c>
      <c r="F6" s="18">
        <f>B6-C6</f>
        <v>4832</v>
      </c>
      <c r="G6" s="18">
        <f t="shared" si="1"/>
        <v>1232</v>
      </c>
    </row>
    <row r="7" spans="1:7">
      <c r="A7" s="18" t="s">
        <v>78</v>
      </c>
      <c r="B7" s="18">
        <f>SUM(B2:B6)</f>
        <v>25122</v>
      </c>
      <c r="C7" s="18">
        <f t="shared" ref="C7:G7" si="2">SUM(C2:C6)</f>
        <v>14567</v>
      </c>
      <c r="D7" s="18">
        <f t="shared" si="2"/>
        <v>8818</v>
      </c>
      <c r="E7" s="18">
        <f t="shared" si="2"/>
        <v>23385</v>
      </c>
      <c r="F7" s="18">
        <f>SUM(F2:F6)</f>
        <v>10555</v>
      </c>
      <c r="G7" s="18">
        <f t="shared" si="2"/>
        <v>1737</v>
      </c>
    </row>
  </sheetData>
  <phoneticPr fontId="3" type="noConversion"/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B108-2815-41EB-AE04-C60CE81FE888}">
  <dimension ref="A1:G7"/>
  <sheetViews>
    <sheetView workbookViewId="0">
      <selection sqref="A1:G7"/>
    </sheetView>
  </sheetViews>
  <sheetFormatPr defaultRowHeight="14.4"/>
  <sheetData>
    <row r="1" spans="1:7">
      <c r="A1" s="18" t="s">
        <v>71</v>
      </c>
      <c r="B1" s="18" t="s">
        <v>77</v>
      </c>
      <c r="C1" s="18" t="s">
        <v>72</v>
      </c>
      <c r="D1" s="18" t="s">
        <v>73</v>
      </c>
      <c r="E1" s="18" t="s">
        <v>74</v>
      </c>
      <c r="F1" s="18" t="s">
        <v>75</v>
      </c>
      <c r="G1" s="18" t="s">
        <v>76</v>
      </c>
    </row>
    <row r="2" spans="1:7">
      <c r="A2" s="18">
        <v>1</v>
      </c>
      <c r="B2" s="18">
        <f>'表43 最终赔款和未决赔款准备金的估计'!D2</f>
        <v>3717</v>
      </c>
      <c r="C2" s="18">
        <f>'表8 累积赔款额流量三角形示例'!F3</f>
        <v>3337</v>
      </c>
      <c r="D2" s="18">
        <v>380</v>
      </c>
      <c r="E2" s="18">
        <f>C2+D2</f>
        <v>3717</v>
      </c>
      <c r="F2" s="18">
        <f>B2-C2</f>
        <v>380</v>
      </c>
      <c r="G2" s="18">
        <f>B2-C2-D2</f>
        <v>0</v>
      </c>
    </row>
    <row r="3" spans="1:7">
      <c r="A3" s="18">
        <v>2</v>
      </c>
      <c r="B3" s="18">
        <f>'表43 最终赔款和未决赔款准备金的估计'!D3</f>
        <v>4340</v>
      </c>
      <c r="C3" s="18">
        <f>'表8 累积赔款额流量三角形示例'!E4</f>
        <v>3400</v>
      </c>
      <c r="D3" s="18">
        <v>799</v>
      </c>
      <c r="E3" s="18">
        <f t="shared" ref="E3:E6" si="0">C3+D3</f>
        <v>4199</v>
      </c>
      <c r="F3" s="18">
        <f>B3-C3</f>
        <v>940</v>
      </c>
      <c r="G3" s="18">
        <f t="shared" ref="G3:G6" si="1">B3-C3-D3</f>
        <v>141</v>
      </c>
    </row>
    <row r="4" spans="1:7">
      <c r="A4" s="18">
        <v>3</v>
      </c>
      <c r="B4" s="18">
        <f>'表43 最终赔款和未决赔款准备金的估计'!D4</f>
        <v>5142</v>
      </c>
      <c r="C4" s="18">
        <f>'表8 累积赔款额流量三角形示例'!D5</f>
        <v>3235</v>
      </c>
      <c r="D4" s="18">
        <v>1500</v>
      </c>
      <c r="E4" s="18">
        <f t="shared" si="0"/>
        <v>4735</v>
      </c>
      <c r="F4" s="18">
        <f>B4-C4</f>
        <v>1907</v>
      </c>
      <c r="G4" s="18">
        <f t="shared" si="1"/>
        <v>407</v>
      </c>
    </row>
    <row r="5" spans="1:7">
      <c r="A5" s="18">
        <v>4</v>
      </c>
      <c r="B5" s="18">
        <f>'表43 最终赔款和未决赔款准备金的估计'!D5</f>
        <v>6244</v>
      </c>
      <c r="C5" s="18">
        <f>'表8 累积赔款额流量三角形示例'!C6</f>
        <v>2865</v>
      </c>
      <c r="D5" s="18">
        <v>2539</v>
      </c>
      <c r="E5" s="18">
        <f t="shared" si="0"/>
        <v>5404</v>
      </c>
      <c r="F5" s="18">
        <f>B5-C5</f>
        <v>3379</v>
      </c>
      <c r="G5" s="18">
        <f t="shared" si="1"/>
        <v>840</v>
      </c>
    </row>
    <row r="6" spans="1:7">
      <c r="A6" s="18">
        <v>5</v>
      </c>
      <c r="B6" s="18">
        <f>'表43 最终赔款和未决赔款准备金的估计'!D6</f>
        <v>7304</v>
      </c>
      <c r="C6" s="18">
        <f>'表8 累积赔款额流量三角形示例'!B7</f>
        <v>1730</v>
      </c>
      <c r="D6" s="18">
        <v>3600</v>
      </c>
      <c r="E6" s="18">
        <f t="shared" si="0"/>
        <v>5330</v>
      </c>
      <c r="F6" s="18">
        <f>B6-C6</f>
        <v>5574</v>
      </c>
      <c r="G6" s="18">
        <f t="shared" si="1"/>
        <v>1974</v>
      </c>
    </row>
    <row r="7" spans="1:7">
      <c r="A7" s="18" t="s">
        <v>78</v>
      </c>
      <c r="B7" s="18">
        <f>SUM(B2:B6)</f>
        <v>26747</v>
      </c>
      <c r="C7" s="18">
        <f t="shared" ref="C7:G7" si="2">SUM(C2:C6)</f>
        <v>14567</v>
      </c>
      <c r="D7" s="18">
        <f t="shared" si="2"/>
        <v>8818</v>
      </c>
      <c r="E7" s="18">
        <f t="shared" si="2"/>
        <v>23385</v>
      </c>
      <c r="F7" s="18">
        <f>SUM(F2:F6)</f>
        <v>12180</v>
      </c>
      <c r="G7" s="18">
        <f t="shared" si="2"/>
        <v>3362</v>
      </c>
    </row>
  </sheetData>
  <phoneticPr fontId="3" type="noConversion"/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A7FC7-AFE8-4DCA-8844-4E21C1BAE3AD}">
  <dimension ref="A1:F7"/>
  <sheetViews>
    <sheetView workbookViewId="0">
      <selection sqref="A1:F7"/>
    </sheetView>
  </sheetViews>
  <sheetFormatPr defaultRowHeight="14.4"/>
  <sheetData>
    <row r="1" spans="1:6" ht="15.6">
      <c r="A1" s="52" t="s">
        <v>0</v>
      </c>
      <c r="B1" s="52" t="s">
        <v>1</v>
      </c>
      <c r="C1" s="52"/>
      <c r="D1" s="52"/>
      <c r="E1" s="52"/>
      <c r="F1" s="52"/>
    </row>
    <row r="2" spans="1:6" ht="15.6">
      <c r="A2" s="52"/>
      <c r="B2" s="3">
        <v>0</v>
      </c>
      <c r="C2" s="3">
        <v>1</v>
      </c>
      <c r="D2" s="3">
        <v>2</v>
      </c>
      <c r="E2" s="3">
        <v>3</v>
      </c>
      <c r="F2" s="3">
        <v>4</v>
      </c>
    </row>
    <row r="3" spans="1:6" ht="15.6">
      <c r="A3" s="3">
        <v>2004</v>
      </c>
      <c r="B3" s="3">
        <f>IF('表8 累积赔款额流量三角形示例'!B$2=0,'表8 累积赔款额流量三角形示例'!B3,IF('表8 累积赔款额流量三角形示例'!B3="","",'表8 累积赔款额流量三角形示例'!B3-'表8 累积赔款额流量三角形示例'!A3))</f>
        <v>1003</v>
      </c>
      <c r="C3" s="3">
        <f>IF('表8 累积赔款额流量三角形示例'!C$2=0,'表8 累积赔款额流量三角形示例'!C3,IF('表8 累积赔款额流量三角形示例'!C3="","",'表8 累积赔款额流量三角形示例'!C3-'表8 累积赔款额流量三角形示例'!B3))</f>
        <v>852</v>
      </c>
      <c r="D3" s="3">
        <f>IF('表8 累积赔款额流量三角形示例'!D$2=0,'表8 累积赔款额流量三角形示例'!D3,IF('表8 累积赔款额流量三角形示例'!D3="","",'表8 累积赔款额流量三角形示例'!D3-'表8 累积赔款额流量三角形示例'!C3))</f>
        <v>558</v>
      </c>
      <c r="E3" s="3">
        <f>IF('表8 累积赔款额流量三角形示例'!E$2=0,'表8 累积赔款额流量三角形示例'!E3,IF('表8 累积赔款额流量三角形示例'!E3="","",'表8 累积赔款额流量三角形示例'!E3-'表8 累积赔款额流量三角形示例'!D3))</f>
        <v>586</v>
      </c>
      <c r="F3" s="3">
        <f>IF('表8 累积赔款额流量三角形示例'!F$2=0,'表8 累积赔款额流量三角形示例'!F3,IF('表8 累积赔款额流量三角形示例'!F3="","",'表8 累积赔款额流量三角形示例'!F3-'表8 累积赔款额流量三角形示例'!E3))</f>
        <v>338</v>
      </c>
    </row>
    <row r="4" spans="1:6" ht="15.6">
      <c r="A4" s="3">
        <v>2005</v>
      </c>
      <c r="B4" s="3">
        <f>IF('表8 累积赔款额流量三角形示例'!B$2=0,'表8 累积赔款额流量三角形示例'!B4,IF('表8 累积赔款额流量三角形示例'!B4="","",'表8 累积赔款额流量三角形示例'!B4-'表8 累积赔款额流量三角形示例'!A4))</f>
        <v>1120</v>
      </c>
      <c r="C4" s="3">
        <f>IF('表8 累积赔款额流量三角形示例'!C$2=0,'表8 累积赔款额流量三角形示例'!C4,IF('表8 累积赔款额流量三角形示例'!C4="","",'表8 累积赔款额流量三角形示例'!C4-'表8 累积赔款额流量三角形示例'!B4))</f>
        <v>993</v>
      </c>
      <c r="D4" s="3">
        <f>IF('表8 累积赔款额流量三角形示例'!D$2=0,'表8 累积赔款额流量三角形示例'!D4,IF('表8 累积赔款额流量三角形示例'!D4="","",'表8 累积赔款额流量三角形示例'!D4-'表8 累积赔款额流量三角形示例'!C4))</f>
        <v>663</v>
      </c>
      <c r="E4" s="3">
        <f>IF('表8 累积赔款额流量三角形示例'!E$2=0,'表8 累积赔款额流量三角形示例'!E4,IF('表8 累积赔款额流量三角形示例'!E4="","",'表8 累积赔款额流量三角形示例'!E4-'表8 累积赔款额流量三角形示例'!D4))</f>
        <v>624</v>
      </c>
      <c r="F4" s="3" t="str">
        <f>IF('表8 累积赔款额流量三角形示例'!F$2=0,'表8 累积赔款额流量三角形示例'!F4,IF('表8 累积赔款额流量三角形示例'!F4="","",'表8 累积赔款额流量三角形示例'!F4-'表8 累积赔款额流量三角形示例'!E4))</f>
        <v/>
      </c>
    </row>
    <row r="5" spans="1:6" ht="15.6">
      <c r="A5" s="3">
        <v>2006</v>
      </c>
      <c r="B5" s="3">
        <f>IF('表8 累积赔款额流量三角形示例'!B$2=0,'表8 累积赔款额流量三角形示例'!B5,IF('表8 累积赔款额流量三角形示例'!B5="","",'表8 累积赔款额流量三角形示例'!B5-'表8 累积赔款额流量三角形示例'!A5))</f>
        <v>1275</v>
      </c>
      <c r="C5" s="3">
        <f>IF('表8 累积赔款额流量三角形示例'!C$2=0,'表8 累积赔款额流量三角形示例'!C5,IF('表8 累积赔款额流量三角形示例'!C5="","",'表8 累积赔款额流量三角形示例'!C5-'表8 累积赔款额流量三角形示例'!B5))</f>
        <v>1148</v>
      </c>
      <c r="D5" s="3">
        <f>IF('表8 累积赔款额流量三角形示例'!D$2=0,'表8 累积赔款额流量三角形示例'!D5,IF('表8 累积赔款额流量三角形示例'!D5="","",'表8 累积赔款额流量三角形示例'!D5-'表8 累积赔款额流量三角形示例'!C5))</f>
        <v>812</v>
      </c>
      <c r="E5" s="3" t="str">
        <f>IF('表8 累积赔款额流量三角形示例'!E$2=0,'表8 累积赔款额流量三角形示例'!E5,IF('表8 累积赔款额流量三角形示例'!E5="","",'表8 累积赔款额流量三角形示例'!E5-'表8 累积赔款额流量三角形示例'!D5))</f>
        <v/>
      </c>
      <c r="F5" s="3" t="str">
        <f>IF('表8 累积赔款额流量三角形示例'!F$2=0,'表8 累积赔款额流量三角形示例'!F5,IF('表8 累积赔款额流量三角形示例'!F5="","",'表8 累积赔款额流量三角形示例'!F5-'表8 累积赔款额流量三角形示例'!E5))</f>
        <v/>
      </c>
    </row>
    <row r="6" spans="1:6" ht="15.6">
      <c r="A6" s="3">
        <v>2007</v>
      </c>
      <c r="B6" s="3">
        <f>IF('表8 累积赔款额流量三角形示例'!B$2=0,'表8 累积赔款额流量三角形示例'!B6,IF('表8 累积赔款额流量三角形示例'!B6="","",'表8 累积赔款额流量三角形示例'!B6-'表8 累积赔款额流量三角形示例'!A6))</f>
        <v>1489</v>
      </c>
      <c r="C6" s="3">
        <f>IF('表8 累积赔款额流量三角形示例'!C$2=0,'表8 累积赔款额流量三角形示例'!C6,IF('表8 累积赔款额流量三角形示例'!C6="","",'表8 累积赔款额流量三角形示例'!C6-'表8 累积赔款额流量三角形示例'!B6))</f>
        <v>1376</v>
      </c>
      <c r="D6" s="3" t="str">
        <f>IF('表8 累积赔款额流量三角形示例'!D$2=0,'表8 累积赔款额流量三角形示例'!D6,IF('表8 累积赔款额流量三角形示例'!D6="","",'表8 累积赔款额流量三角形示例'!D6-'表8 累积赔款额流量三角形示例'!C6))</f>
        <v/>
      </c>
      <c r="E6" s="3" t="str">
        <f>IF('表8 累积赔款额流量三角形示例'!E$2=0,'表8 累积赔款额流量三角形示例'!E6,IF('表8 累积赔款额流量三角形示例'!E6="","",'表8 累积赔款额流量三角形示例'!E6-'表8 累积赔款额流量三角形示例'!D6))</f>
        <v/>
      </c>
      <c r="F6" s="3" t="str">
        <f>IF('表8 累积赔款额流量三角形示例'!F$2=0,'表8 累积赔款额流量三角形示例'!F6,IF('表8 累积赔款额流量三角形示例'!F6="","",'表8 累积赔款额流量三角形示例'!F6-'表8 累积赔款额流量三角形示例'!E6))</f>
        <v/>
      </c>
    </row>
    <row r="7" spans="1:6" ht="15.6">
      <c r="A7" s="3">
        <v>2008</v>
      </c>
      <c r="B7" s="3">
        <f>IF('表8 累积赔款额流量三角形示例'!B$2=0,'表8 累积赔款额流量三角形示例'!B7,IF('表8 累积赔款额流量三角形示例'!B7="","",'表8 累积赔款额流量三角形示例'!B7-'表8 累积赔款额流量三角形示例'!A7))</f>
        <v>1730</v>
      </c>
      <c r="C7" s="3" t="str">
        <f>IF('表8 累积赔款额流量三角形示例'!C$2=0,'表8 累积赔款额流量三角形示例'!C7,IF('表8 累积赔款额流量三角形示例'!C7="","",'表8 累积赔款额流量三角形示例'!C7-'表8 累积赔款额流量三角形示例'!B7))</f>
        <v/>
      </c>
      <c r="D7" s="3" t="str">
        <f>IF('表8 累积赔款额流量三角形示例'!D$2=0,'表8 累积赔款额流量三角形示例'!D7,IF('表8 累积赔款额流量三角形示例'!D7="","",'表8 累积赔款额流量三角形示例'!D7-'表8 累积赔款额流量三角形示例'!C7))</f>
        <v/>
      </c>
      <c r="E7" s="3" t="str">
        <f>IF('表8 累积赔款额流量三角形示例'!E$2=0,'表8 累积赔款额流量三角形示例'!E7,IF('表8 累积赔款额流量三角形示例'!E7="","",'表8 累积赔款额流量三角形示例'!E7-'表8 累积赔款额流量三角形示例'!D7))</f>
        <v/>
      </c>
      <c r="F7" s="3" t="str">
        <f>IF('表8 累积赔款额流量三角形示例'!F$2=0,'表8 累积赔款额流量三角形示例'!F7,IF('表8 累积赔款额流量三角形示例'!F7="","",'表8 累积赔款额流量三角形示例'!F7-'表8 累积赔款额流量三角形示例'!E7))</f>
        <v/>
      </c>
    </row>
  </sheetData>
  <mergeCells count="2">
    <mergeCell ref="A1:A2"/>
    <mergeCell ref="B1:F1"/>
  </mergeCells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8460C-DFBD-467D-B66F-970921A80903}">
  <dimension ref="A1:E7"/>
  <sheetViews>
    <sheetView workbookViewId="0">
      <selection activeCell="G19" sqref="G19"/>
    </sheetView>
  </sheetViews>
  <sheetFormatPr defaultRowHeight="14.4"/>
  <cols>
    <col min="2" max="5" width="9.33203125" bestFit="1" customWidth="1"/>
  </cols>
  <sheetData>
    <row r="1" spans="1:5" ht="15.6">
      <c r="A1" s="52" t="s">
        <v>0</v>
      </c>
      <c r="B1" s="52" t="s">
        <v>1</v>
      </c>
      <c r="C1" s="52"/>
      <c r="D1" s="52"/>
      <c r="E1" s="52"/>
    </row>
    <row r="2" spans="1:5" ht="15.6">
      <c r="A2" s="52"/>
      <c r="B2" s="5" t="s">
        <v>4</v>
      </c>
      <c r="C2" s="5" t="s">
        <v>5</v>
      </c>
      <c r="D2" s="5" t="s">
        <v>6</v>
      </c>
      <c r="E2" s="5" t="s">
        <v>7</v>
      </c>
    </row>
    <row r="3" spans="1:5" ht="15.6">
      <c r="A3" s="3">
        <v>2004</v>
      </c>
      <c r="B3" s="6">
        <f>IFERROR(ROUND(('表15 已报案未决赔款准备金三角形'!C3+'表46 增量已付赔款流量三角形'!C3)/'表15 已报案未决赔款准备金三角形'!B3,4),"")</f>
        <v>1.2708999999999999</v>
      </c>
      <c r="C3" s="6">
        <f>IFERROR(ROUND(('表15 已报案未决赔款准备金三角形'!D3+'表46 增量已付赔款流量三角形'!D3)/'表15 已报案未决赔款准备金三角形'!C3,4),"")</f>
        <v>1.1329</v>
      </c>
      <c r="D3" s="6">
        <f>IFERROR(ROUND(('表15 已报案未决赔款准备金三角形'!E3+'表46 增量已付赔款流量三角形'!E3)/'表15 已报案未决赔款准备金三角形'!D3,4),"")</f>
        <v>1.1536999999999999</v>
      </c>
      <c r="E3" s="6">
        <f>IFERROR(ROUND(('表15 已报案未决赔款准备金三角形'!F3+'表46 增量已付赔款流量三角形'!F3)/'表15 已报案未决赔款准备金三角形'!E3,4),"")</f>
        <v>1.1967000000000001</v>
      </c>
    </row>
    <row r="4" spans="1:5" ht="15.6">
      <c r="A4" s="3">
        <v>2005</v>
      </c>
      <c r="B4" s="6">
        <f>IFERROR(ROUND(('表15 已报案未决赔款准备金三角形'!C4+'表46 增量已付赔款流量三角形'!C4)/'表15 已报案未决赔款准备金三角形'!B4,4),"")</f>
        <v>1.2628999999999999</v>
      </c>
      <c r="C4" s="6">
        <f>IFERROR(ROUND(('表15 已报案未决赔款准备金三角形'!D4+'表46 增量已付赔款流量三角形'!D4)/'表15 已报案未决赔款准备金三角形'!C4,4),"")</f>
        <v>1.1217999999999999</v>
      </c>
      <c r="D4" s="6">
        <f>IFERROR(ROUND(('表15 已报案未决赔款准备金三角形'!E4+'表46 增量已付赔款流量三角形'!E4)/'表15 已报案未决赔款准备金三角形'!D4,4),"")</f>
        <v>1.1878</v>
      </c>
      <c r="E4" s="6" t="str">
        <f>IFERROR(ROUND(('表15 已报案未决赔款准备金三角形'!F4+'表46 增量已付赔款流量三角形'!F4)/'表15 已报案未决赔款准备金三角形'!E4,4),"")</f>
        <v/>
      </c>
    </row>
    <row r="5" spans="1:5" ht="15.6">
      <c r="A5" s="3">
        <v>2006</v>
      </c>
      <c r="B5" s="6">
        <f>IFERROR(ROUND(('表15 已报案未决赔款准备金三角形'!C5+'表46 增量已付赔款流量三角形'!C5)/'表15 已报案未决赔款准备金三角形'!B5,4),"")</f>
        <v>1.3111999999999999</v>
      </c>
      <c r="C5" s="6">
        <f>IFERROR(ROUND(('表15 已报案未决赔款准备金三角形'!D5+'表46 增量已付赔款流量三角形'!D5)/'表15 已报案未决赔款准备金三角形'!C5,4),"")</f>
        <v>1.1736</v>
      </c>
      <c r="D5" s="6" t="str">
        <f>IFERROR(ROUND(('表15 已报案未决赔款准备金三角形'!E5+'表46 增量已付赔款流量三角形'!E5)/'表15 已报案未决赔款准备金三角形'!D5,4),"")</f>
        <v/>
      </c>
      <c r="E5" s="6" t="str">
        <f>IFERROR(ROUND(('表15 已报案未决赔款准备金三角形'!F5+'表46 增量已付赔款流量三角形'!F5)/'表15 已报案未决赔款准备金三角形'!E5,4),"")</f>
        <v/>
      </c>
    </row>
    <row r="6" spans="1:5" ht="15.6">
      <c r="A6" s="3">
        <v>2007</v>
      </c>
      <c r="B6" s="6">
        <f>IFERROR(ROUND(('表15 已报案未决赔款准备金三角形'!C6+'表46 增量已付赔款流量三角形'!C6)/'表15 已报案未决赔款准备金三角形'!B6,4),"")</f>
        <v>1.2925</v>
      </c>
      <c r="C6" s="6" t="str">
        <f>IFERROR(ROUND(('表15 已报案未决赔款准备金三角形'!D6+'表46 增量已付赔款流量三角形'!D6)/'表15 已报案未决赔款准备金三角形'!C6,4),"")</f>
        <v/>
      </c>
      <c r="D6" s="6" t="str">
        <f>IFERROR(ROUND(('表15 已报案未决赔款准备金三角形'!E6+'表46 增量已付赔款流量三角形'!E6)/'表15 已报案未决赔款准备金三角形'!D6,4),"")</f>
        <v/>
      </c>
      <c r="E6" s="6" t="str">
        <f>IFERROR(ROUND(('表15 已报案未决赔款准备金三角形'!F6+'表46 增量已付赔款流量三角形'!F6)/'表15 已报案未决赔款准备金三角形'!E6,4),"")</f>
        <v/>
      </c>
    </row>
    <row r="7" spans="1:5" ht="15.6">
      <c r="A7" s="25" t="s">
        <v>79</v>
      </c>
      <c r="B7" s="32">
        <f>AVERAGE(B3:B6)</f>
        <v>1.2843749999999998</v>
      </c>
      <c r="C7" s="32">
        <f t="shared" ref="C7:E7" si="0">AVERAGE(C3:C6)</f>
        <v>1.1427666666666665</v>
      </c>
      <c r="D7" s="32">
        <f t="shared" si="0"/>
        <v>1.17075</v>
      </c>
      <c r="E7" s="32">
        <f t="shared" si="0"/>
        <v>1.1967000000000001</v>
      </c>
    </row>
  </sheetData>
  <mergeCells count="2">
    <mergeCell ref="A1:A2"/>
    <mergeCell ref="B1:E1"/>
  </mergeCells>
  <phoneticPr fontId="3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B324-A109-4E1B-9DAA-C3648225F8D1}">
  <dimension ref="A1:E7"/>
  <sheetViews>
    <sheetView workbookViewId="0">
      <selection activeCell="F7" sqref="F7"/>
    </sheetView>
  </sheetViews>
  <sheetFormatPr defaultRowHeight="14.4"/>
  <cols>
    <col min="2" max="2" width="9.33203125" bestFit="1" customWidth="1"/>
  </cols>
  <sheetData>
    <row r="1" spans="1:5" ht="15.6">
      <c r="A1" s="52" t="s">
        <v>0</v>
      </c>
      <c r="B1" s="52" t="s">
        <v>1</v>
      </c>
      <c r="C1" s="52"/>
      <c r="D1" s="52"/>
      <c r="E1" s="52"/>
    </row>
    <row r="2" spans="1:5" ht="15.6">
      <c r="A2" s="52"/>
      <c r="B2" s="5" t="s">
        <v>4</v>
      </c>
      <c r="C2" s="5" t="s">
        <v>5</v>
      </c>
      <c r="D2" s="5" t="s">
        <v>6</v>
      </c>
      <c r="E2" s="5" t="s">
        <v>7</v>
      </c>
    </row>
    <row r="3" spans="1:5" ht="15.6">
      <c r="A3" s="3">
        <v>2004</v>
      </c>
      <c r="B3" s="6">
        <f>IFERROR(ROUND('表46 增量已付赔款流量三角形'!C3/'表15 已报案未决赔款准备金三角形'!B3,4),"")</f>
        <v>0.48080000000000001</v>
      </c>
      <c r="C3" s="6">
        <f>IFERROR(ROUND('表46 增量已付赔款流量三角形'!D3/'表15 已报案未决赔款准备金三角形'!C3,4),"")</f>
        <v>0.39860000000000001</v>
      </c>
      <c r="D3" s="6">
        <f>IFERROR(ROUND('表46 增量已付赔款流量三角形'!E3/'表15 已报案未决赔款准备金三角形'!D3,4),"")</f>
        <v>0.56999999999999995</v>
      </c>
      <c r="E3" s="6">
        <f>IFERROR(ROUND('表46 增量已付赔款流量三角形'!F3/'表15 已报案未决赔款准备金三角形'!E3,4),"")</f>
        <v>0.56330000000000002</v>
      </c>
    </row>
    <row r="4" spans="1:5" ht="15.6">
      <c r="A4" s="3">
        <v>2005</v>
      </c>
      <c r="B4" s="6">
        <f>IFERROR(ROUND('表46 增量已付赔款流量三角形'!C4/'表15 已报案未决赔款准备金三角形'!B4,4),"")</f>
        <v>0.47289999999999999</v>
      </c>
      <c r="C4" s="6">
        <f>IFERROR(ROUND('表46 增量已付赔款流量三角形'!D4/'表15 已报案未决赔款准备金三角形'!C4,4),"")</f>
        <v>0.39960000000000001</v>
      </c>
      <c r="D4" s="6">
        <f>IFERROR(ROUND('表46 增量已付赔款流量三角形'!E4/'表15 已报案未决赔款准备金三角形'!D4,4),"")</f>
        <v>0.52090000000000003</v>
      </c>
      <c r="E4" s="6" t="str">
        <f>IFERROR(ROUND('表46 增量已付赔款流量三角形'!F4/'表15 已报案未决赔款准备金三角形'!E4,4),"")</f>
        <v/>
      </c>
    </row>
    <row r="5" spans="1:5" ht="15.6">
      <c r="A5" s="3">
        <v>2006</v>
      </c>
      <c r="B5" s="6">
        <f>IFERROR(ROUND('表46 增量已付赔款流量三角形'!C5/'表15 已报案未决赔款准备金三角形'!B5,4),"")</f>
        <v>0.48280000000000001</v>
      </c>
      <c r="C5" s="6">
        <f>IFERROR(ROUND('表46 增量已付赔款流量三角形'!D5/'表15 已报案未决赔款准备金三角形'!C5,4),"")</f>
        <v>0.41220000000000001</v>
      </c>
      <c r="D5" s="6" t="str">
        <f>IFERROR(ROUND('表46 增量已付赔款流量三角形'!E5/'表15 已报案未决赔款准备金三角形'!D5,4),"")</f>
        <v/>
      </c>
      <c r="E5" s="6" t="str">
        <f>IFERROR(ROUND('表46 增量已付赔款流量三角形'!F5/'表15 已报案未决赔款准备金三角形'!E5,4),"")</f>
        <v/>
      </c>
    </row>
    <row r="6" spans="1:5" ht="15.6">
      <c r="A6" s="3">
        <v>2007</v>
      </c>
      <c r="B6" s="6">
        <f>IFERROR(ROUND('表46 增量已付赔款流量三角形'!C6/'表15 已报案未决赔款准备金三角形'!B6,4),"")</f>
        <v>0.45429999999999998</v>
      </c>
      <c r="C6" s="6" t="str">
        <f>IFERROR(ROUND('表46 增量已付赔款流量三角形'!D6/'表15 已报案未决赔款准备金三角形'!C6,4),"")</f>
        <v/>
      </c>
      <c r="D6" s="6" t="str">
        <f>IFERROR(ROUND('表46 增量已付赔款流量三角形'!E6/'表15 已报案未决赔款准备金三角形'!D6,4),"")</f>
        <v/>
      </c>
      <c r="E6" s="6" t="str">
        <f>IFERROR(ROUND('表46 增量已付赔款流量三角形'!F6/'表15 已报案未决赔款准备金三角形'!E6,4),"")</f>
        <v/>
      </c>
    </row>
    <row r="7" spans="1:5" ht="15.6">
      <c r="A7" s="25" t="s">
        <v>79</v>
      </c>
      <c r="B7" s="32">
        <f>AVERAGE(B3:B6)</f>
        <v>0.47270000000000001</v>
      </c>
      <c r="C7" s="32">
        <f t="shared" ref="C7:E7" si="0">AVERAGE(C3:C6)</f>
        <v>0.40346666666666664</v>
      </c>
      <c r="D7" s="32">
        <f t="shared" si="0"/>
        <v>0.54544999999999999</v>
      </c>
      <c r="E7" s="32">
        <f t="shared" si="0"/>
        <v>0.56330000000000002</v>
      </c>
    </row>
  </sheetData>
  <mergeCells count="2">
    <mergeCell ref="A1:A2"/>
    <mergeCell ref="B1:E1"/>
  </mergeCells>
  <phoneticPr fontId="3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97262-1E17-44F0-8127-76AE8D145E28}">
  <dimension ref="A1:F7"/>
  <sheetViews>
    <sheetView workbookViewId="0">
      <selection activeCell="C6" sqref="C6"/>
    </sheetView>
  </sheetViews>
  <sheetFormatPr defaultRowHeight="14.4"/>
  <cols>
    <col min="2" max="5" width="7.109375" bestFit="1" customWidth="1"/>
    <col min="6" max="6" width="6" bestFit="1" customWidth="1"/>
  </cols>
  <sheetData>
    <row r="1" spans="1:6" ht="15.6">
      <c r="A1" s="52" t="s">
        <v>0</v>
      </c>
      <c r="B1" s="52" t="s">
        <v>1</v>
      </c>
      <c r="C1" s="52"/>
      <c r="D1" s="52"/>
      <c r="E1" s="52"/>
      <c r="F1" s="52"/>
    </row>
    <row r="2" spans="1:6" ht="15.6">
      <c r="A2" s="52"/>
      <c r="B2" s="3">
        <v>0</v>
      </c>
      <c r="C2" s="3">
        <v>1</v>
      </c>
      <c r="D2" s="3">
        <v>2</v>
      </c>
      <c r="E2" s="3">
        <v>3</v>
      </c>
      <c r="F2" s="3">
        <v>4</v>
      </c>
    </row>
    <row r="3" spans="1:6" ht="15.6">
      <c r="A3" s="3">
        <v>2004</v>
      </c>
      <c r="B3" s="10">
        <f>IF(B$2+$A3&lt;=2008,'表15 已报案未决赔款准备金三角形'!B3,A3*('表47 准备金进展率'!A$7-'表48 准备金支付率'!A$7))</f>
        <v>1772</v>
      </c>
      <c r="C3" s="10">
        <f>IF(C$2+$A3&lt;=2008,'表15 已报案未决赔款准备金三角形'!C3,B3*('表47 准备金进展率'!B$7-'表48 准备金支付率'!B$7))</f>
        <v>1400</v>
      </c>
      <c r="D3" s="10">
        <f>'表49 已报案未决赔款准备金的估计'!E4</f>
        <v>799</v>
      </c>
      <c r="E3" s="10">
        <f>IF(E$2+$A3&lt;=2008,'表15 已报案未决赔款准备金三角形'!E3,D3*('表47 准备金进展率'!D$7-'表48 准备金支付率'!D$7))</f>
        <v>600</v>
      </c>
      <c r="F3" s="23">
        <f>IF(F$2+$A3&lt;=2008,'表15 已报案未决赔款准备金三角形'!F3,E3*('表47 准备金进展率'!E$7-'表48 准备金支付率'!E$7))</f>
        <v>380</v>
      </c>
    </row>
    <row r="4" spans="1:6" ht="15.6">
      <c r="A4" s="3">
        <v>2005</v>
      </c>
      <c r="B4" s="10">
        <f>IF(B$2+$A4&lt;=2008,'表15 已报案未决赔款准备金三角形'!B4,A4*('表47 准备金进展率'!A$7-'表48 准备金支付率'!A$7))</f>
        <v>2100</v>
      </c>
      <c r="C4" s="10">
        <f>IF(C$2+$A4&lt;=2008,'表15 已报案未决赔款准备金三角形'!C4,B4*('表47 准备金进展率'!B$7-'表48 准备金支付率'!B$7))</f>
        <v>1659</v>
      </c>
      <c r="D4" s="10">
        <f>'表49 已报案未决赔款准备金的估计'!D5</f>
        <v>1500</v>
      </c>
      <c r="E4" s="23">
        <f>IF(E$2+$A4&lt;=2008,'表15 已报案未决赔款准备金三角形'!E4,D4*('表47 准备金进展率'!D$7-'表48 准备金支付率'!D$7))</f>
        <v>799</v>
      </c>
      <c r="F4" s="10">
        <f>IF(F$2+$A4&lt;=2008,'表15 已报案未决赔款准备金三角形'!F4,E4*('表47 准备金进展率'!E$7-'表48 准备金支付率'!E$7))</f>
        <v>506.08660000000003</v>
      </c>
    </row>
    <row r="5" spans="1:6" ht="15.6">
      <c r="A5" s="3">
        <v>2006</v>
      </c>
      <c r="B5" s="10">
        <f>IF(B$2+$A5&lt;=2008,'表15 已报案未决赔款准备金三角形'!B5,A5*('表47 准备金进展率'!A$7-'表48 准备金支付率'!A$7))</f>
        <v>2378</v>
      </c>
      <c r="C5" s="10">
        <f>IF(C$2+$A5&lt;=2008,'表15 已报案未决赔款准备金三角形'!C5,B5*('表47 准备金进展率'!B$7-'表48 准备金支付率'!B$7))</f>
        <v>1970</v>
      </c>
      <c r="D5" s="23">
        <f>IF(D$2+$A5&lt;=2008,'表15 已报案未决赔款准备金三角形'!D5,C5*('表47 准备金进展率'!C$7-'表48 准备金支付率'!C$7))</f>
        <v>1500</v>
      </c>
      <c r="E5" s="10">
        <f>IF(E$2+$A5&lt;=2008,'表15 已报案未决赔款准备金三角形'!E5,D5*('表47 准备金进展率'!D$7-'表48 准备金支付率'!D$7))</f>
        <v>937.94999999999993</v>
      </c>
      <c r="F5" s="10">
        <f>IF(F$2+$A5&lt;=2008,'表15 已报案未决赔款准备金三角形'!F5,E5*('表47 准备金进展率'!E$7-'表48 准备金支付率'!E$7))</f>
        <v>594.09753000000001</v>
      </c>
    </row>
    <row r="6" spans="1:6" ht="15.6">
      <c r="A6" s="3">
        <v>2007</v>
      </c>
      <c r="B6" s="10">
        <f>IF(B$2+$A6&lt;=2008,'表15 已报案未决赔款准备金三角形'!B6,A6*('表47 准备金进展率'!A$7-'表48 准备金支付率'!A$7))</f>
        <v>3029</v>
      </c>
      <c r="C6" s="23">
        <f>IF(C$2+$A6&lt;=2008,'表15 已报案未决赔款准备金三角形'!C6,B6*('表47 准备金进展率'!B$7-'表48 准备金支付率'!B$7))</f>
        <v>2539</v>
      </c>
      <c r="D6" s="10">
        <f>IF(D$2+$A6&lt;=2008,'表15 已报案未决赔款准备金三角形'!D6,C6*('表47 准备金进展率'!C$7-'表48 准备金支付率'!C$7))</f>
        <v>1877.0826999999997</v>
      </c>
      <c r="E6" s="10">
        <f>IF(E$2+$A6&lt;=2008,'表15 已报案未决赔款准备金三角形'!E6,D6*('表47 准备金进展率'!D$7-'表48 准备金支付率'!D$7))</f>
        <v>1173.7398123099997</v>
      </c>
      <c r="F6" s="10">
        <f>IF(F$2+$A6&lt;=2008,'表15 已报案未决赔款准备金三角形'!F6,E6*('表47 准备金进展率'!E$7-'表48 准备金支付率'!E$7))</f>
        <v>743.44679711715389</v>
      </c>
    </row>
    <row r="7" spans="1:6" ht="15.6">
      <c r="A7" s="3">
        <v>2008</v>
      </c>
      <c r="B7" s="23">
        <f>IF(B$2+$A7&lt;=2008,'表15 已报案未决赔款准备金三角形'!B7,A7*('表47 准备金进展率'!A$7-'表48 准备金支付率'!A$7))</f>
        <v>3600</v>
      </c>
      <c r="C7" s="10">
        <f>IF(C$2+$A7&lt;=2008,'表15 已报案未决赔款准备金三角形'!C7,B7*('表47 准备金进展率'!B$7-'表48 准备金支付率'!B$7))</f>
        <v>2922.0299999999993</v>
      </c>
      <c r="D7" s="10">
        <f>IF(D$2+$A7&lt;=2008,'表15 已报案未决赔款准备金三角形'!D7,C7*('表47 准备金进展率'!C$7-'表48 准备金支付率'!C$7))</f>
        <v>2160.2567789999989</v>
      </c>
      <c r="E7" s="10">
        <f>IF(E$2+$A7&lt;=2008,'表15 已报案未决赔款准备金三角形'!E7,D7*('表47 准备金进展率'!D$7-'表48 准备金支付率'!D$7))</f>
        <v>1350.8085639086992</v>
      </c>
      <c r="F7" s="10">
        <f>IF(F$2+$A7&lt;=2008,'表15 已报案未决赔款准备金三角形'!F7,E7*('表47 准备金进展率'!E$7-'表48 准备金支付率'!E$7))</f>
        <v>855.60214437977015</v>
      </c>
    </row>
  </sheetData>
  <mergeCells count="2">
    <mergeCell ref="A1:A2"/>
    <mergeCell ref="B1:F1"/>
  </mergeCells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D43A2-9BD5-46CF-9537-44581CF8A94F}">
  <dimension ref="A1:F7"/>
  <sheetViews>
    <sheetView workbookViewId="0">
      <selection sqref="A1:A2"/>
    </sheetView>
  </sheetViews>
  <sheetFormatPr defaultRowHeight="14.4"/>
  <cols>
    <col min="2" max="5" width="7.109375" bestFit="1" customWidth="1"/>
    <col min="6" max="6" width="6" bestFit="1" customWidth="1"/>
  </cols>
  <sheetData>
    <row r="1" spans="1:6" ht="15.6">
      <c r="A1" s="52" t="s">
        <v>0</v>
      </c>
      <c r="B1" s="52" t="s">
        <v>1</v>
      </c>
      <c r="C1" s="52"/>
      <c r="D1" s="52"/>
      <c r="E1" s="52"/>
      <c r="F1" s="52"/>
    </row>
    <row r="2" spans="1:6" ht="15.6">
      <c r="A2" s="52"/>
      <c r="B2" s="3">
        <v>0</v>
      </c>
      <c r="C2" s="3">
        <v>1</v>
      </c>
      <c r="D2" s="3">
        <v>2</v>
      </c>
      <c r="E2" s="3">
        <v>3</v>
      </c>
      <c r="F2" s="3">
        <v>4</v>
      </c>
    </row>
    <row r="3" spans="1:6" ht="15.6">
      <c r="A3" s="3">
        <v>2004</v>
      </c>
      <c r="B3" s="10">
        <f>IF(B$2+$A3&lt;=2008,'表46 增量已付赔款流量三角形'!B3,'表49 已报案未决赔款准备金的估计'!A3*'表48 准备金支付率'!A$7)</f>
        <v>1003</v>
      </c>
      <c r="C3" s="10">
        <f>IF(C$2+$A3&lt;=2008,'表46 增量已付赔款流量三角形'!C3,'表49 已报案未决赔款准备金的估计'!B3*'表48 准备金支付率'!B$7)</f>
        <v>852</v>
      </c>
      <c r="D3" s="10">
        <f>IF(D$2+$A3&lt;=2008,'表46 增量已付赔款流量三角形'!D3,'表49 已报案未决赔款准备金的估计'!C3*'表48 准备金支付率'!C$7)</f>
        <v>558</v>
      </c>
      <c r="E3" s="10">
        <f>IF(E$2+$A3&lt;=2008,'表46 增量已付赔款流量三角形'!E3,'表49 已报案未决赔款准备金的估计'!D3*'表48 准备金支付率'!D$7)</f>
        <v>586</v>
      </c>
      <c r="F3" s="23">
        <f>IF(F$2+$A3&lt;=2008,'表46 增量已付赔款流量三角形'!F3,'表49 已报案未决赔款准备金的估计'!E3*'表48 准备金支付率'!E$7)</f>
        <v>338</v>
      </c>
    </row>
    <row r="4" spans="1:6" ht="15.6">
      <c r="A4" s="3">
        <v>2005</v>
      </c>
      <c r="B4" s="10">
        <f>IF(B$2+$A4&lt;=2008,'表46 增量已付赔款流量三角形'!B4,'表49 已报案未决赔款准备金的估计'!A4*'表48 准备金支付率'!A$7)</f>
        <v>1120</v>
      </c>
      <c r="C4" s="10">
        <f>IF(C$2+$A4&lt;=2008,'表46 增量已付赔款流量三角形'!C4,'表49 已报案未决赔款准备金的估计'!B4*'表48 准备金支付率'!B$7)</f>
        <v>993</v>
      </c>
      <c r="D4" s="10">
        <f>IF(D$2+$A4&lt;=2008,'表46 增量已付赔款流量三角形'!D4,'表49 已报案未决赔款准备金的估计'!C4*'表48 准备金支付率'!C$7)</f>
        <v>663</v>
      </c>
      <c r="E4" s="23">
        <f>IF(E$2+$A4&lt;=2008,'表46 增量已付赔款流量三角形'!E4,'表49 已报案未决赔款准备金的估计'!D4*'表48 准备金支付率'!D$7)</f>
        <v>624</v>
      </c>
      <c r="F4" s="10">
        <f>IF(F$2+$A4&lt;=2008,'表46 增量已付赔款流量三角形'!F4,'表49 已报案未决赔款准备金的估计'!E4*'表48 准备金支付率'!E$7)</f>
        <v>450.07670000000002</v>
      </c>
    </row>
    <row r="5" spans="1:6" ht="15.6">
      <c r="A5" s="3">
        <v>2006</v>
      </c>
      <c r="B5" s="10">
        <f>IF(B$2+$A5&lt;=2008,'表46 增量已付赔款流量三角形'!B5,'表49 已报案未决赔款准备金的估计'!A5*'表48 准备金支付率'!A$7)</f>
        <v>1275</v>
      </c>
      <c r="C5" s="10">
        <f>IF(C$2+$A5&lt;=2008,'表46 增量已付赔款流量三角形'!C5,'表49 已报案未决赔款准备金的估计'!B5*'表48 准备金支付率'!B$7)</f>
        <v>1148</v>
      </c>
      <c r="D5" s="23">
        <f>IF(D$2+$A5&lt;=2008,'表46 增量已付赔款流量三角形'!D5,'表49 已报案未决赔款准备金的估计'!C5*'表48 准备金支付率'!C$7)</f>
        <v>812</v>
      </c>
      <c r="E5" s="10">
        <f>IF(E$2+$A5&lt;=2008,'表46 增量已付赔款流量三角形'!E5,'表49 已报案未决赔款准备金的估计'!D5*'表48 准备金支付率'!D$7)</f>
        <v>818.17499999999995</v>
      </c>
      <c r="F5" s="10">
        <f>IF(F$2+$A5&lt;=2008,'表46 增量已付赔款流量三角形'!F5,'表49 已报案未决赔款准备金的估计'!E5*'表48 准备金支付率'!E$7)</f>
        <v>528.34723499999996</v>
      </c>
    </row>
    <row r="6" spans="1:6" ht="15.6">
      <c r="A6" s="3">
        <v>2007</v>
      </c>
      <c r="B6" s="10">
        <f>IF(B$2+$A6&lt;=2008,'表46 增量已付赔款流量三角形'!B6,'表49 已报案未决赔款准备金的估计'!A6*'表48 准备金支付率'!A$7)</f>
        <v>1489</v>
      </c>
      <c r="C6" s="23">
        <f>IF(C$2+$A6&lt;=2008,'表46 增量已付赔款流量三角形'!C6,'表49 已报案未决赔款准备金的估计'!B6*'表48 准备金支付率'!B$7)</f>
        <v>1376</v>
      </c>
      <c r="D6" s="10">
        <f>IF(D$2+$A6&lt;=2008,'表46 增量已付赔款流量三角形'!D6,'表49 已报案未决赔款准备金的估计'!C6*'表48 准备金支付率'!C$7)</f>
        <v>1024.4018666666666</v>
      </c>
      <c r="E6" s="10">
        <f>IF(E$2+$A6&lt;=2008,'表46 增量已付赔款流量三角形'!E6,'表49 已报案未决赔款准备金的估计'!D6*'表48 准备金支付率'!D$7)</f>
        <v>1023.8547587149998</v>
      </c>
      <c r="F6" s="10">
        <f>IF(F$2+$A6&lt;=2008,'表46 增量已付赔款流量三角形'!F6,'表49 已报案未决赔款准备金的估计'!E6*'表48 准备金支付率'!E$7)</f>
        <v>661.1676362742229</v>
      </c>
    </row>
    <row r="7" spans="1:6" ht="15.6">
      <c r="A7" s="3">
        <v>2008</v>
      </c>
      <c r="B7" s="23">
        <f>IF(B$2+$A7&lt;=2008,'表46 增量已付赔款流量三角形'!B7,'表49 已报案未决赔款准备金的估计'!A7*'表48 准备金支付率'!A$7)</f>
        <v>1730</v>
      </c>
      <c r="C7" s="10">
        <f>IF(C$2+$A7&lt;=2008,'表46 增量已付赔款流量三角形'!C7,'表49 已报案未决赔款准备金的估计'!B7*'表48 准备金支付率'!B$7)</f>
        <v>1701.72</v>
      </c>
      <c r="D7" s="10">
        <f>IF(D$2+$A7&lt;=2008,'表46 增量已付赔款流量三角形'!D7,'表49 已报案未决赔款准备金的估计'!C7*'表48 准备金支付率'!C$7)</f>
        <v>1178.9417039999996</v>
      </c>
      <c r="E7" s="10">
        <f>IF(E$2+$A7&lt;=2008,'表46 增量已付赔款流量三角形'!E7,'表49 已报案未决赔款准备金的估计'!D7*'表48 准备金支付率'!D$7)</f>
        <v>1178.3120601055493</v>
      </c>
      <c r="F7" s="10">
        <f>IF(F$2+$A7&lt;=2008,'表46 增量已付赔款流量三角形'!F7,'表49 已报案未决赔款准备金的估计'!E7*'表48 准备金支付率'!E$7)</f>
        <v>760.91046404977033</v>
      </c>
    </row>
  </sheetData>
  <mergeCells count="2">
    <mergeCell ref="A1:A2"/>
    <mergeCell ref="B1:F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651F8-0E86-440D-A7FB-ECA45FCC852C}">
  <dimension ref="A1:F7"/>
  <sheetViews>
    <sheetView workbookViewId="0">
      <selection sqref="A1:A2"/>
    </sheetView>
  </sheetViews>
  <sheetFormatPr defaultRowHeight="14.4"/>
  <cols>
    <col min="1" max="1" width="25.109375" customWidth="1"/>
    <col min="2" max="6" width="9.33203125" style="2" customWidth="1"/>
  </cols>
  <sheetData>
    <row r="1" spans="1:6" ht="15.6">
      <c r="A1" s="52" t="s">
        <v>0</v>
      </c>
      <c r="B1" s="52" t="s">
        <v>1</v>
      </c>
      <c r="C1" s="52"/>
      <c r="D1" s="52"/>
      <c r="E1" s="52"/>
      <c r="F1" s="52"/>
    </row>
    <row r="2" spans="1:6" ht="15.6">
      <c r="A2" s="52"/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</row>
    <row r="3" spans="1:6" ht="15.6">
      <c r="A3" s="1" t="s">
        <v>9</v>
      </c>
      <c r="B3" s="8">
        <f>ROUND(AVERAGE('表10 累积赔款额的逐年进展因子'!B3:B6),4)</f>
        <v>1.8900999999999999</v>
      </c>
      <c r="C3" s="8">
        <f>ROUND(AVERAGE('表10 累积赔款额的逐年进展因子'!C3:C6),4)</f>
        <v>1.3166</v>
      </c>
      <c r="D3" s="8">
        <f>ROUND(AVERAGE('表10 累积赔款额的逐年进展因子'!D3:D6),4)</f>
        <v>1.2338</v>
      </c>
      <c r="E3" s="8">
        <f>ROUND(AVERAGE('表10 累积赔款额的逐年进展因子'!E3:E6),4)</f>
        <v>1.1127</v>
      </c>
      <c r="F3" s="8">
        <f>ROUND(AVERAGE('表10 累积赔款额的逐年进展因子'!F3:F6),4)</f>
        <v>1.1088</v>
      </c>
    </row>
    <row r="4" spans="1:6" ht="15.6">
      <c r="A4" s="1" t="s">
        <v>10</v>
      </c>
      <c r="B4" s="8">
        <f>IF(AND('表8 累积赔款额流量三角形示例'!$A3=min_accident_year,'表8 累积赔款额流量三角形示例'!B2=max_development_year),ROUND('表8 累积赔款额流量三角形示例'!$H$3/'表8 累积赔款额流量三角形示例'!$F$3,4),ROUND(SUM('表8 累积赔款额流量三角形示例'!C3:INDEX('表8 累积赔款额流量三角形示例'!C3:C7,max_development_year-'表8 累积赔款额流量三角形示例'!B2))/SUM('表8 累积赔款额流量三角形示例'!B3:INDEX('表8 累积赔款额流量三角形示例'!B3:B7,max_development_year-'表8 累积赔款额流量三角形示例'!B2)),4))</f>
        <v>1.8939999999999999</v>
      </c>
      <c r="C4" s="8">
        <f>IF(AND('表8 累积赔款额流量三角形示例'!$A3=min_accident_year,'表8 累积赔款额流量三角形示例'!C2=max_development_year),ROUND('表8 累积赔款额流量三角形示例'!$H$3/'表8 累积赔款额流量三角形示例'!$F$3,4),ROUND(SUM('表8 累积赔款额流量三角形示例'!D3:INDEX('表8 累积赔款额流量三角形示例'!D3:D7,max_development_year-'表8 累积赔款额流量三角形示例'!C2))/SUM('表8 累积赔款额流量三角形示例'!C3:INDEX('表8 累积赔款额流量三角形示例'!C3:C7,max_development_year-'表8 累积赔款额流量三角形示例'!C2)),4))</f>
        <v>1.3181</v>
      </c>
      <c r="D4" s="8">
        <f>IF(AND('表8 累积赔款额流量三角形示例'!$A3=min_accident_year,'表8 累积赔款额流量三角形示例'!D2=max_development_year),ROUND('表8 累积赔款额流量三角形示例'!$H$3/'表8 累积赔款额流量三角形示例'!$F$3,4),ROUND(SUM('表8 累积赔款额流量三角形示例'!E3:INDEX('表8 累积赔款额流量三角形示例'!E3:E7,max_development_year-'表8 累积赔款额流量三角形示例'!D2))/SUM('表8 累积赔款额流量三角形示例'!D3:INDEX('表8 累积赔款额流量三角形示例'!D3:D7,max_development_year-'表8 累积赔款额流量三角形示例'!D2)),4))</f>
        <v>1.2332000000000001</v>
      </c>
      <c r="E4" s="8">
        <f>IF(AND('表8 累积赔款额流量三角形示例'!$A3=min_accident_year,'表8 累积赔款额流量三角形示例'!E2=max_development_year),ROUND('表8 累积赔款额流量三角形示例'!$H$3/'表8 累积赔款额流量三角形示例'!$F$3,4),ROUND(SUM('表8 累积赔款额流量三角形示例'!F3:INDEX('表8 累积赔款额流量三角形示例'!F3:F7,max_development_year-'表8 累积赔款额流量三角形示例'!E2))/SUM('表8 累积赔款额流量三角形示例'!E3:INDEX('表8 累积赔款额流量三角形示例'!E3:E7,max_development_year-'表8 累积赔款额流量三角形示例'!E2)),4))</f>
        <v>1.1127</v>
      </c>
      <c r="F4" s="8">
        <f>IF(AND('表8 累积赔款额流量三角形示例'!$A3=min_accident_year,'表8 累积赔款额流量三角形示例'!F2=max_development_year),ROUND('表8 累积赔款额流量三角形示例'!$H$3/'表8 累积赔款额流量三角形示例'!$F$3,4),ROUND(SUM('表8 累积赔款额流量三角形示例'!G3:INDEX('表8 累积赔款额流量三角形示例'!G3:G7,max_development_year-'表8 累积赔款额流量三角形示例'!F2))/SUM('表8 累积赔款额流量三角形示例'!F3:INDEX('表8 累积赔款额流量三角形示例'!F3:F7,max_development_year-'表8 累积赔款额流量三角形示例'!F2)),4))</f>
        <v>1.1088</v>
      </c>
    </row>
    <row r="5" spans="1:6" ht="15.6">
      <c r="A5" s="1" t="s">
        <v>11</v>
      </c>
      <c r="B5" s="8">
        <f>ROUND(PRODUCT('表10 累积赔款额的逐年进展因子'!B3:B6)^(1/COUNTIF('表10 累积赔款额的逐年进展因子'!B3:B6,"&gt;0")),4)</f>
        <v>1.8898999999999999</v>
      </c>
      <c r="C5" s="8">
        <f>ROUND(PRODUCT('表10 累积赔款额的逐年进展因子'!C3:C6)^(1/COUNTIF('表10 累积赔款额的逐年进展因子'!C3:C6,"&gt;0")),4)</f>
        <v>1.3165</v>
      </c>
      <c r="D5" s="8">
        <f>ROUND(PRODUCT('表10 累积赔款额的逐年进展因子'!D3:D6)^(1/COUNTIF('表10 累积赔款额的逐年进展因子'!D3:D6,"&gt;0")),4)</f>
        <v>1.2338</v>
      </c>
      <c r="E5" s="8">
        <f>ROUND(PRODUCT('表10 累积赔款额的逐年进展因子'!E3:E6)^(1/COUNTIF('表10 累积赔款额的逐年进展因子'!E3:E6,"&gt;0")),4)</f>
        <v>1.1127</v>
      </c>
      <c r="F5" s="8">
        <f>ROUND(PRODUCT('表10 累积赔款额的逐年进展因子'!F3:F6)^(1/COUNTIF('表10 累积赔款额的逐年进展因子'!F3:F6,"&gt;0")),4)</f>
        <v>1.1088</v>
      </c>
    </row>
    <row r="6" spans="1:6" ht="15.6">
      <c r="A6" s="1" t="s">
        <v>12</v>
      </c>
      <c r="B6" s="8">
        <f>ROUND(AVERAGE(INDEX('表10 累积赔款额的逐年进展因子'!B$3:B$7,COUNTIF('表10 累积赔款额的逐年进展因子'!B$3:B$7,"&gt;0")):INDEX('表10 累积赔款额的逐年进展因子'!B$3:B$7,MAX(COUNTIF('表10 累积赔款额的逐年进展因子'!B$3:B$7,"&gt;0")-2,1))),4)</f>
        <v>1.9036999999999999</v>
      </c>
      <c r="C6" s="8">
        <f>ROUND(AVERAGE(INDEX('表10 累积赔款额的逐年进展因子'!C$3:C$7,COUNTIF('表10 累积赔款额的逐年进展因子'!C$3:C$7,"&gt;0")):INDEX('表10 累积赔款额的逐年进展因子'!C$3:C$7,MAX(COUNTIF('表10 累积赔款额的逐年进展因子'!C$3:C$7,"&gt;0")-2,1))),4)</f>
        <v>1.3166</v>
      </c>
      <c r="D6" s="8">
        <f>ROUND(AVERAGE(INDEX('表10 累积赔款额的逐年进展因子'!D$3:D$7,COUNTIF('表10 累积赔款额的逐年进展因子'!D$3:D$7,"&gt;0")):INDEX('表10 累积赔款额的逐年进展因子'!D$3:D$7,MAX(COUNTIF('表10 累积赔款额的逐年进展因子'!D$3:D$7,"&gt;0")-2,1))),4)</f>
        <v>1.2338</v>
      </c>
      <c r="E6" s="8">
        <f>ROUND(AVERAGE(INDEX('表10 累积赔款额的逐年进展因子'!E$3:E$7,COUNTIF('表10 累积赔款额的逐年进展因子'!E$3:E$7,"&gt;0")):INDEX('表10 累积赔款额的逐年进展因子'!E$3:E$7,MAX(COUNTIF('表10 累积赔款额的逐年进展因子'!E$3:E$7,"&gt;0")-2,1))),4)</f>
        <v>1.1127</v>
      </c>
      <c r="F6" s="8">
        <f>ROUND(AVERAGE(INDEX('表10 累积赔款额的逐年进展因子'!F$3:F$7,COUNTIF('表10 累积赔款额的逐年进展因子'!F$3:F$7,"&gt;0")):INDEX('表10 累积赔款额的逐年进展因子'!F$3:F$7,MAX(COUNTIF('表10 累积赔款额的逐年进展因子'!F$3:F$7,"&gt;0")-2,1))),4)</f>
        <v>1.1088</v>
      </c>
    </row>
    <row r="7" spans="1:6" ht="15.6">
      <c r="A7" s="1" t="s">
        <v>13</v>
      </c>
      <c r="B7" s="8">
        <f>IF(AND('表8 累积赔款额流量三角形示例'!$A3=min_accident_year,'表8 累积赔款额流量三角形示例'!B2=max_development_year),ROUND('表8 累积赔款额流量三角形示例'!$H$3/'表8 累积赔款额流量三角形示例'!$F$3,4),ROUND(SUM(INDEX('表8 累积赔款额流量三角形示例'!C$3:C$7,COUNTIF('表8 累积赔款额流量三角形示例'!B$3:B$7,"&gt;0")-1):INDEX('表8 累积赔款额流量三角形示例'!C$3:C$7,MAX(COUNTIF('表8 累积赔款额流量三角形示例'!B$3:B$7,"&gt;0")-3,1)))/SUM(INDEX('表8 累积赔款额流量三角形示例'!B$3:B$7,COUNTIF('表8 累积赔款额流量三角形示例'!B$3:B$7,"&gt;0")-1):INDEX('表8 累积赔款额流量三角形示例'!B$3:B$7,MAX(COUNTIF('表8 累积赔款额流量三角形示例'!B$3:B$7,"&gt;0")-3,1))),4))</f>
        <v>1.9055</v>
      </c>
      <c r="C7" s="8">
        <f>IF(AND('表8 累积赔款额流量三角形示例'!$A3=min_accident_year,'表8 累积赔款额流量三角形示例'!C2=max_development_year),ROUND('表8 累积赔款额流量三角形示例'!$H$3/'表8 累积赔款额流量三角形示例'!$F$3,4),ROUND(SUM(INDEX('表8 累积赔款额流量三角形示例'!D$3:D$7,COUNTIF('表8 累积赔款额流量三角形示例'!C$3:C$7,"&gt;0")-1):INDEX('表8 累积赔款额流量三角形示例'!D$3:D$7,MAX(COUNTIF('表8 累积赔款额流量三角形示例'!C$3:C$7,"&gt;0")-3,1)))/SUM(INDEX('表8 累积赔款额流量三角形示例'!C$3:C$7,COUNTIF('表8 累积赔款额流量三角形示例'!C$3:C$7,"&gt;0")-1):INDEX('表8 累积赔款额流量三角形示例'!C$3:C$7,MAX(COUNTIF('表8 累积赔款额流量三角形示例'!C$3:C$7,"&gt;0")-3,1))),4))</f>
        <v>1.3181</v>
      </c>
      <c r="D7" s="8">
        <f>IF(AND('表8 累积赔款额流量三角形示例'!$A3=min_accident_year,'表8 累积赔款额流量三角形示例'!D2=max_development_year),ROUND('表8 累积赔款额流量三角形示例'!$H$3/'表8 累积赔款额流量三角形示例'!$F$3,4),ROUND(SUM(INDEX('表8 累积赔款额流量三角形示例'!E$3:E$7,COUNTIF('表8 累积赔款额流量三角形示例'!D$3:D$7,"&gt;0")-1):INDEX('表8 累积赔款额流量三角形示例'!E$3:E$7,MAX(COUNTIF('表8 累积赔款额流量三角形示例'!D$3:D$7,"&gt;0")-3,1)))/SUM(INDEX('表8 累积赔款额流量三角形示例'!D$3:D$7,COUNTIF('表8 累积赔款额流量三角形示例'!D$3:D$7,"&gt;0")-1):INDEX('表8 累积赔款额流量三角形示例'!D$3:D$7,MAX(COUNTIF('表8 累积赔款额流量三角形示例'!D$3:D$7,"&gt;0")-3,1))),4))</f>
        <v>1.2332000000000001</v>
      </c>
      <c r="E7" s="8">
        <f>IF(AND('表8 累积赔款额流量三角形示例'!$A3=min_accident_year,'表8 累积赔款额流量三角形示例'!E2=max_development_year),ROUND('表8 累积赔款额流量三角形示例'!$H$3/'表8 累积赔款额流量三角形示例'!$F$3,4),ROUND(SUM(INDEX('表8 累积赔款额流量三角形示例'!F$3:F$7,COUNTIF('表8 累积赔款额流量三角形示例'!E$3:E$7,"&gt;0")-1):INDEX('表8 累积赔款额流量三角形示例'!F$3:F$7,MAX(COUNTIF('表8 累积赔款额流量三角形示例'!E$3:E$7,"&gt;0")-3,1)))/SUM(INDEX('表8 累积赔款额流量三角形示例'!E$3:E$7,COUNTIF('表8 累积赔款额流量三角形示例'!E$3:E$7,"&gt;0")-1):INDEX('表8 累积赔款额流量三角形示例'!E$3:E$7,MAX(COUNTIF('表8 累积赔款额流量三角形示例'!E$3:E$7,"&gt;0")-3,1))),4))</f>
        <v>1.1127</v>
      </c>
      <c r="F7" s="8">
        <f>IF(AND('表8 累积赔款额流量三角形示例'!$A3=min_accident_year,'表8 累积赔款额流量三角形示例'!F2=max_development_year),ROUND('表8 累积赔款额流量三角形示例'!$H$3/'表8 累积赔款额流量三角形示例'!$F$3,4),ROUND(SUM(INDEX('表8 累积赔款额流量三角形示例'!G$3:G$7,COUNTIF('表8 累积赔款额流量三角形示例'!F$3:F$7,"&gt;0")-1):INDEX('表8 累积赔款额流量三角形示例'!G$3:G$7,MAX(COUNTIF('表8 累积赔款额流量三角形示例'!F$3:F$7,"&gt;0")-3,1)))/SUM(INDEX('表8 累积赔款额流量三角形示例'!F$3:F$7,COUNTIF('表8 累积赔款额流量三角形示例'!F$3:F$7,"&gt;0")-1):INDEX('表8 累积赔款额流量三角形示例'!F$3:F$7,MAX(COUNTIF('表8 累积赔款额流量三角形示例'!F$3:F$7,"&gt;0")-3,1))),4))</f>
        <v>1.1088</v>
      </c>
    </row>
  </sheetData>
  <mergeCells count="2">
    <mergeCell ref="A1:A2"/>
    <mergeCell ref="B1:F1"/>
  </mergeCells>
  <phoneticPr fontId="3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4928-D4EE-4C19-B382-BC0F15C58387}">
  <dimension ref="A1:F8"/>
  <sheetViews>
    <sheetView workbookViewId="0">
      <selection sqref="A1:A2"/>
    </sheetView>
  </sheetViews>
  <sheetFormatPr defaultRowHeight="14.4"/>
  <sheetData>
    <row r="1" spans="1:6" ht="15.6">
      <c r="A1" s="52" t="s">
        <v>0</v>
      </c>
      <c r="B1" s="52" t="s">
        <v>1</v>
      </c>
      <c r="C1" s="52"/>
      <c r="D1" s="52"/>
      <c r="E1" s="52"/>
      <c r="F1" s="52"/>
    </row>
    <row r="2" spans="1:6" ht="15.6">
      <c r="A2" s="52"/>
      <c r="B2" s="3">
        <v>0</v>
      </c>
      <c r="C2" s="3">
        <v>1</v>
      </c>
      <c r="D2" s="3">
        <v>2</v>
      </c>
      <c r="E2" s="3">
        <v>3</v>
      </c>
      <c r="F2" s="3">
        <v>4</v>
      </c>
    </row>
    <row r="3" spans="1:6" ht="15.6">
      <c r="A3" s="3">
        <v>2004</v>
      </c>
      <c r="B3" s="10">
        <f>IF(B$2=0,'表50 未来增量已付赔款额的估计'!B3,'表50 未来增量已付赔款额的估计'!B3+'表51 未来的累积已付赔款额流量三角形'!A3)</f>
        <v>1003</v>
      </c>
      <c r="C3" s="10">
        <f>IF(C$2=0,'表50 未来增量已付赔款额的估计'!C3,'表50 未来增量已付赔款额的估计'!C3+'表51 未来的累积已付赔款额流量三角形'!B3)</f>
        <v>1855</v>
      </c>
      <c r="D3" s="10">
        <f>IF(D$2=0,'表50 未来增量已付赔款额的估计'!D3,'表50 未来增量已付赔款额的估计'!D3+'表51 未来的累积已付赔款额流量三角形'!C3)</f>
        <v>2413</v>
      </c>
      <c r="E3" s="10">
        <f>IF(E$2=0,'表50 未来增量已付赔款额的估计'!E3,'表50 未来增量已付赔款额的估计'!E3+'表51 未来的累积已付赔款额流量三角形'!D3)</f>
        <v>2999</v>
      </c>
      <c r="F3" s="10">
        <f>IF(F$2=0,'表50 未来增量已付赔款额的估计'!F3,'表50 未来增量已付赔款额的估计'!F3+'表51 未来的累积已付赔款额流量三角形'!E3)</f>
        <v>3337</v>
      </c>
    </row>
    <row r="4" spans="1:6" ht="15.6">
      <c r="A4" s="3">
        <v>2005</v>
      </c>
      <c r="B4" s="10">
        <f>IF(B$2=0,'表50 未来增量已付赔款额的估计'!B4,'表50 未来增量已付赔款额的估计'!B4+'表51 未来的累积已付赔款额流量三角形'!A4)</f>
        <v>1120</v>
      </c>
      <c r="C4" s="10">
        <f>IF(C$2=0,'表50 未来增量已付赔款额的估计'!C4,'表50 未来增量已付赔款额的估计'!C4+'表51 未来的累积已付赔款额流量三角形'!B4)</f>
        <v>2113</v>
      </c>
      <c r="D4" s="10">
        <f>IF(D$2=0,'表50 未来增量已付赔款额的估计'!D4,'表50 未来增量已付赔款额的估计'!D4+'表51 未来的累积已付赔款额流量三角形'!C4)</f>
        <v>2776</v>
      </c>
      <c r="E4" s="10">
        <f>IF(E$2=0,'表50 未来增量已付赔款额的估计'!E4,'表50 未来增量已付赔款额的估计'!E4+'表51 未来的累积已付赔款额流量三角形'!D4)</f>
        <v>3400</v>
      </c>
      <c r="F4" s="10">
        <f>IF(F$2=0,'表50 未来增量已付赔款额的估计'!F4,'表50 未来增量已付赔款额的估计'!F4+'表51 未来的累积已付赔款额流量三角形'!E4)</f>
        <v>3850.0767000000001</v>
      </c>
    </row>
    <row r="5" spans="1:6" ht="15.6">
      <c r="A5" s="3">
        <v>2006</v>
      </c>
      <c r="B5" s="10">
        <f>IF(B$2=0,'表50 未来增量已付赔款额的估计'!B5,'表50 未来增量已付赔款额的估计'!B5+'表51 未来的累积已付赔款额流量三角形'!A5)</f>
        <v>1275</v>
      </c>
      <c r="C5" s="10">
        <f>IF(C$2=0,'表50 未来增量已付赔款额的估计'!C5,'表50 未来增量已付赔款额的估计'!C5+'表51 未来的累积已付赔款额流量三角形'!B5)</f>
        <v>2423</v>
      </c>
      <c r="D5" s="10">
        <f>IF(D$2=0,'表50 未来增量已付赔款额的估计'!D5,'表50 未来增量已付赔款额的估计'!D5+'表51 未来的累积已付赔款额流量三角形'!C5)</f>
        <v>3235</v>
      </c>
      <c r="E5" s="10">
        <f>IF(E$2=0,'表50 未来增量已付赔款额的估计'!E5,'表50 未来增量已付赔款额的估计'!E5+'表51 未来的累积已付赔款额流量三角形'!D5)</f>
        <v>4053.1750000000002</v>
      </c>
      <c r="F5" s="10">
        <f>IF(F$2=0,'表50 未来增量已付赔款额的估计'!F5,'表50 未来增量已付赔款额的估计'!F5+'表51 未来的累积已付赔款额流量三角形'!E5)</f>
        <v>4581.5222350000004</v>
      </c>
    </row>
    <row r="6" spans="1:6" ht="15.6">
      <c r="A6" s="3">
        <v>2007</v>
      </c>
      <c r="B6" s="10">
        <f>IF(B$2=0,'表50 未来增量已付赔款额的估计'!B6,'表50 未来增量已付赔款额的估计'!B6+'表51 未来的累积已付赔款额流量三角形'!A6)</f>
        <v>1489</v>
      </c>
      <c r="C6" s="10">
        <f>IF(C$2=0,'表50 未来增量已付赔款额的估计'!C6,'表50 未来增量已付赔款额的估计'!C6+'表51 未来的累积已付赔款额流量三角形'!B6)</f>
        <v>2865</v>
      </c>
      <c r="D6" s="10">
        <f>IF(D$2=0,'表50 未来增量已付赔款额的估计'!D6,'表50 未来增量已付赔款额的估计'!D6+'表51 未来的累积已付赔款额流量三角形'!C6)</f>
        <v>3889.4018666666666</v>
      </c>
      <c r="E6" s="10">
        <f>IF(E$2=0,'表50 未来增量已付赔款额的估计'!E6,'表50 未来增量已付赔款额的估计'!E6+'表51 未来的累积已付赔款额流量三角形'!D6)</f>
        <v>4913.2566253816667</v>
      </c>
      <c r="F6" s="10">
        <f>IF(F$2=0,'表50 未来增量已付赔款额的估计'!F6,'表50 未来增量已付赔款额的估计'!F6+'表51 未来的累积已付赔款额流量三角形'!E6)</f>
        <v>5574.4242616558895</v>
      </c>
    </row>
    <row r="7" spans="1:6" ht="15.6">
      <c r="A7" s="3">
        <v>2008</v>
      </c>
      <c r="B7" s="10">
        <f>IF(B$2=0,'表50 未来增量已付赔款额的估计'!B7,'表50 未来增量已付赔款额的估计'!B7+'表51 未来的累积已付赔款额流量三角形'!A7)</f>
        <v>1730</v>
      </c>
      <c r="C7" s="10">
        <f>IF(C$2=0,'表50 未来增量已付赔款额的估计'!C7,'表50 未来增量已付赔款额的估计'!C7+'表51 未来的累积已付赔款额流量三角形'!B7)</f>
        <v>3431.7200000000003</v>
      </c>
      <c r="D7" s="10">
        <f>IF(D$2=0,'表50 未来增量已付赔款额的估计'!D7,'表50 未来增量已付赔款额的估计'!D7+'表51 未来的累积已付赔款额流量三角形'!C7)</f>
        <v>4610.6617040000001</v>
      </c>
      <c r="E7" s="10">
        <f>IF(E$2=0,'表50 未来增量已付赔款额的估计'!E7,'表50 未来增量已付赔款额的估计'!E7+'表51 未来的累积已付赔款额流量三角形'!D7)</f>
        <v>5788.973764105549</v>
      </c>
      <c r="F7" s="10">
        <f>IF(F$2=0,'表50 未来增量已付赔款额的估计'!F7,'表50 未来增量已付赔款额的估计'!F7+'表51 未来的累积已付赔款额流量三角形'!E7)</f>
        <v>6549.8842281553189</v>
      </c>
    </row>
    <row r="8" spans="1:6">
      <c r="F8" s="33"/>
    </row>
  </sheetData>
  <mergeCells count="2">
    <mergeCell ref="A1:A2"/>
    <mergeCell ref="B1:F1"/>
  </mergeCells>
  <phoneticPr fontId="3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3E1D-FB7E-4340-8667-F5BA8448BC29}">
  <dimension ref="A1:G7"/>
  <sheetViews>
    <sheetView workbookViewId="0">
      <selection activeCell="R2" sqref="R2"/>
    </sheetView>
  </sheetViews>
  <sheetFormatPr defaultRowHeight="14.4"/>
  <cols>
    <col min="1" max="1" width="8.21875" bestFit="1" customWidth="1"/>
    <col min="2" max="3" width="7.109375" bestFit="1" customWidth="1"/>
    <col min="4" max="4" width="6" bestFit="1" customWidth="1"/>
    <col min="5" max="5" width="7.109375" bestFit="1" customWidth="1"/>
    <col min="6" max="7" width="6" bestFit="1" customWidth="1"/>
  </cols>
  <sheetData>
    <row r="1" spans="1:7" ht="15.6">
      <c r="A1" s="25" t="s">
        <v>71</v>
      </c>
      <c r="B1" s="25" t="s">
        <v>77</v>
      </c>
      <c r="C1" s="25" t="s">
        <v>72</v>
      </c>
      <c r="D1" s="25" t="s">
        <v>73</v>
      </c>
      <c r="E1" s="25" t="s">
        <v>74</v>
      </c>
      <c r="F1" s="25" t="s">
        <v>75</v>
      </c>
      <c r="G1" s="25" t="s">
        <v>76</v>
      </c>
    </row>
    <row r="2" spans="1:7" ht="15.6">
      <c r="A2" s="25">
        <v>1</v>
      </c>
      <c r="B2" s="34">
        <f>'表51 未来的累积已付赔款额流量三角形'!F3</f>
        <v>3337</v>
      </c>
      <c r="C2" s="34">
        <f>'表51 未来的累积已付赔款额流量三角形'!F3</f>
        <v>3337</v>
      </c>
      <c r="D2" s="34">
        <f>'表49 已报案未决赔款准备金的估计'!F3</f>
        <v>380</v>
      </c>
      <c r="E2" s="34">
        <f>D2+C2</f>
        <v>3717</v>
      </c>
      <c r="F2" s="34">
        <f>B2-C2</f>
        <v>0</v>
      </c>
      <c r="G2" s="34">
        <f>B2-E2</f>
        <v>-380</v>
      </c>
    </row>
    <row r="3" spans="1:7" ht="15.6">
      <c r="A3" s="25">
        <v>2</v>
      </c>
      <c r="B3" s="34">
        <f>'表51 未来的累积已付赔款额流量三角形'!F4</f>
        <v>3850.0767000000001</v>
      </c>
      <c r="C3" s="34">
        <f>'表51 未来的累积已付赔款额流量三角形'!E4</f>
        <v>3400</v>
      </c>
      <c r="D3" s="34">
        <f>'表49 已报案未决赔款准备金的估计'!E4</f>
        <v>799</v>
      </c>
      <c r="E3" s="34">
        <f t="shared" ref="E3:E6" si="0">D3+C3</f>
        <v>4199</v>
      </c>
      <c r="F3" s="34">
        <f>B3-C3</f>
        <v>450.07670000000007</v>
      </c>
      <c r="G3" s="34">
        <f t="shared" ref="G3:G6" si="1">B3-E3</f>
        <v>-348.92329999999993</v>
      </c>
    </row>
    <row r="4" spans="1:7" ht="15.6">
      <c r="A4" s="25">
        <v>3</v>
      </c>
      <c r="B4" s="34">
        <f>'表51 未来的累积已付赔款额流量三角形'!F5</f>
        <v>4581.5222350000004</v>
      </c>
      <c r="C4" s="34">
        <f>'表51 未来的累积已付赔款额流量三角形'!D5</f>
        <v>3235</v>
      </c>
      <c r="D4" s="34">
        <f>'表49 已报案未决赔款准备金的估计'!D5</f>
        <v>1500</v>
      </c>
      <c r="E4" s="34">
        <f t="shared" si="0"/>
        <v>4735</v>
      </c>
      <c r="F4" s="34">
        <f t="shared" ref="F4:F6" si="2">B4-C4</f>
        <v>1346.5222350000004</v>
      </c>
      <c r="G4" s="34">
        <f t="shared" si="1"/>
        <v>-153.47776499999964</v>
      </c>
    </row>
    <row r="5" spans="1:7" ht="15.6">
      <c r="A5" s="25">
        <v>4</v>
      </c>
      <c r="B5" s="34">
        <f>'表51 未来的累积已付赔款额流量三角形'!F6</f>
        <v>5574.4242616558895</v>
      </c>
      <c r="C5" s="34">
        <f>'表51 未来的累积已付赔款额流量三角形'!C6</f>
        <v>2865</v>
      </c>
      <c r="D5" s="34">
        <f>'表49 已报案未决赔款准备金的估计'!C6</f>
        <v>2539</v>
      </c>
      <c r="E5" s="34">
        <f t="shared" si="0"/>
        <v>5404</v>
      </c>
      <c r="F5" s="34">
        <f t="shared" si="2"/>
        <v>2709.4242616558895</v>
      </c>
      <c r="G5" s="34">
        <f t="shared" si="1"/>
        <v>170.4242616558895</v>
      </c>
    </row>
    <row r="6" spans="1:7" ht="15.6">
      <c r="A6" s="25">
        <v>5</v>
      </c>
      <c r="B6" s="34">
        <f>'表51 未来的累积已付赔款额流量三角形'!F7</f>
        <v>6549.8842281553189</v>
      </c>
      <c r="C6" s="34">
        <f>'表51 未来的累积已付赔款额流量三角形'!B7</f>
        <v>1730</v>
      </c>
      <c r="D6" s="34">
        <f>'表49 已报案未决赔款准备金的估计'!B7</f>
        <v>3600</v>
      </c>
      <c r="E6" s="34">
        <f t="shared" si="0"/>
        <v>5330</v>
      </c>
      <c r="F6" s="34">
        <f t="shared" si="2"/>
        <v>4819.8842281553189</v>
      </c>
      <c r="G6" s="34">
        <f t="shared" si="1"/>
        <v>1219.8842281553189</v>
      </c>
    </row>
    <row r="7" spans="1:7" ht="15.6">
      <c r="A7" s="25" t="s">
        <v>78</v>
      </c>
      <c r="B7" s="34">
        <f>SUM(B2:B6)</f>
        <v>23892.907424811208</v>
      </c>
      <c r="C7" s="34">
        <f t="shared" ref="C7:G7" si="3">SUM(C2:C6)</f>
        <v>14567</v>
      </c>
      <c r="D7" s="34">
        <f t="shared" si="3"/>
        <v>8818</v>
      </c>
      <c r="E7" s="34">
        <f t="shared" si="3"/>
        <v>23385</v>
      </c>
      <c r="F7" s="34">
        <f>SUM(F2:F6)</f>
        <v>9325.9074248112083</v>
      </c>
      <c r="G7" s="34">
        <f t="shared" si="3"/>
        <v>507.90742481120878</v>
      </c>
    </row>
  </sheetData>
  <phoneticPr fontId="3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7F49-E1DB-457B-8FD2-98122112465D}">
  <dimension ref="A1:F2"/>
  <sheetViews>
    <sheetView workbookViewId="0">
      <selection activeCell="B2" sqref="B2:F2"/>
    </sheetView>
  </sheetViews>
  <sheetFormatPr defaultRowHeight="14.4"/>
  <cols>
    <col min="1" max="1" width="10.44140625" bestFit="1" customWidth="1"/>
  </cols>
  <sheetData>
    <row r="1" spans="1:6" ht="15.6">
      <c r="A1" s="25" t="s">
        <v>34</v>
      </c>
      <c r="B1" s="35">
        <v>2008</v>
      </c>
      <c r="C1" s="35">
        <v>2007</v>
      </c>
      <c r="D1" s="35">
        <v>2006</v>
      </c>
      <c r="E1" s="35">
        <v>2005</v>
      </c>
      <c r="F1" s="35">
        <v>2004</v>
      </c>
    </row>
    <row r="2" spans="1:6" ht="15.6">
      <c r="A2" s="35" t="s">
        <v>80</v>
      </c>
      <c r="B2" s="35">
        <v>7450</v>
      </c>
      <c r="C2" s="35">
        <v>6583</v>
      </c>
      <c r="D2" s="35">
        <v>5598</v>
      </c>
      <c r="E2" s="35">
        <v>5089</v>
      </c>
      <c r="F2" s="35">
        <v>4586</v>
      </c>
    </row>
  </sheetData>
  <phoneticPr fontId="3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558E-2C16-43B0-9ACF-C79E246C5589}">
  <dimension ref="A1:F4"/>
  <sheetViews>
    <sheetView workbookViewId="0">
      <selection activeCell="D8" sqref="D8"/>
    </sheetView>
  </sheetViews>
  <sheetFormatPr defaultRowHeight="14.4"/>
  <cols>
    <col min="1" max="1" width="19" bestFit="1" customWidth="1"/>
    <col min="2" max="6" width="9.33203125" bestFit="1" customWidth="1"/>
  </cols>
  <sheetData>
    <row r="1" spans="1:6" ht="15.6">
      <c r="A1" s="52" t="s">
        <v>42</v>
      </c>
      <c r="B1" s="52" t="s">
        <v>1</v>
      </c>
      <c r="C1" s="52"/>
      <c r="D1" s="52"/>
      <c r="E1" s="52"/>
      <c r="F1" s="52"/>
    </row>
    <row r="2" spans="1:6" ht="15.6">
      <c r="A2" s="52"/>
      <c r="B2" s="5" t="s">
        <v>16</v>
      </c>
      <c r="C2" s="5" t="s">
        <v>17</v>
      </c>
      <c r="D2" s="5" t="s">
        <v>18</v>
      </c>
      <c r="E2" s="5" t="s">
        <v>19</v>
      </c>
      <c r="F2" s="5" t="s">
        <v>8</v>
      </c>
    </row>
    <row r="3" spans="1:6" ht="15.6">
      <c r="A3" s="35" t="s">
        <v>81</v>
      </c>
      <c r="B3" s="37">
        <f>ROUND('表18 各方法下的累积已报案赔款流量三角形最终进展因子'!B4,4)</f>
        <v>1.3724000000000001</v>
      </c>
      <c r="C3" s="37">
        <f>ROUND('表18 各方法下的累积已报案赔款流量三角形最终进展因子'!C4,4)</f>
        <v>1.1556</v>
      </c>
      <c r="D3" s="37">
        <f>ROUND('表18 各方法下的累积已报案赔款流量三角形最终进展因子'!D4,4)</f>
        <v>1.0862000000000001</v>
      </c>
      <c r="E3" s="37">
        <f>ROUND('表18 各方法下的累积已报案赔款流量三角形最终进展因子'!E4,4)</f>
        <v>1.0327999999999999</v>
      </c>
      <c r="F3" s="37">
        <f>ROUND('表18 各方法下的累积已报案赔款流量三角形最终进展因子'!F4,4)</f>
        <v>1</v>
      </c>
    </row>
    <row r="4" spans="1:6" ht="15.6">
      <c r="A4" s="35" t="s">
        <v>82</v>
      </c>
      <c r="B4" s="37">
        <f>1-1/B3</f>
        <v>0.27134946079860101</v>
      </c>
      <c r="C4" s="37">
        <f t="shared" ref="C4:F4" si="0">1-1/C3</f>
        <v>0.13464866735894765</v>
      </c>
      <c r="D4" s="37">
        <f t="shared" si="0"/>
        <v>7.9359234026882719E-2</v>
      </c>
      <c r="E4" s="37">
        <f t="shared" si="0"/>
        <v>3.1758326878388754E-2</v>
      </c>
      <c r="F4" s="37">
        <f t="shared" si="0"/>
        <v>0</v>
      </c>
    </row>
  </sheetData>
  <mergeCells count="2">
    <mergeCell ref="A1:A2"/>
    <mergeCell ref="B1:F1"/>
  </mergeCells>
  <phoneticPr fontId="3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CA48-DBF0-42CD-9677-FBFBE497C20C}">
  <dimension ref="A1:F6"/>
  <sheetViews>
    <sheetView workbookViewId="0">
      <selection activeCell="D13" sqref="D13"/>
    </sheetView>
  </sheetViews>
  <sheetFormatPr defaultRowHeight="14.4"/>
  <cols>
    <col min="1" max="1" width="15.5546875" customWidth="1"/>
    <col min="2" max="6" width="17.44140625" customWidth="1"/>
  </cols>
  <sheetData>
    <row r="1" spans="1:6" ht="15.6">
      <c r="A1" s="39" t="s">
        <v>0</v>
      </c>
      <c r="B1" s="39" t="s">
        <v>86</v>
      </c>
      <c r="C1" s="39" t="s">
        <v>87</v>
      </c>
      <c r="D1" s="39" t="s">
        <v>88</v>
      </c>
      <c r="E1" s="39" t="s">
        <v>89</v>
      </c>
      <c r="F1" s="39" t="s">
        <v>90</v>
      </c>
    </row>
    <row r="2" spans="1:6" ht="15.6">
      <c r="A2" s="39" t="s">
        <v>91</v>
      </c>
      <c r="B2" s="39">
        <f>'表53 已赚保费'!B2</f>
        <v>7450</v>
      </c>
      <c r="C2" s="39">
        <f>'表53 已赚保费'!C2</f>
        <v>6583</v>
      </c>
      <c r="D2" s="39">
        <f>'表53 已赚保费'!D2</f>
        <v>5598</v>
      </c>
      <c r="E2" s="39">
        <f>'表53 已赚保费'!E2</f>
        <v>5089</v>
      </c>
      <c r="F2" s="39">
        <f>'表53 已赚保费'!F2</f>
        <v>4586</v>
      </c>
    </row>
    <row r="3" spans="1:6" ht="16.2">
      <c r="A3" s="39" t="s">
        <v>92</v>
      </c>
      <c r="B3" s="41">
        <v>0.87</v>
      </c>
      <c r="C3" s="41">
        <v>0.87</v>
      </c>
      <c r="D3" s="41">
        <v>0.87</v>
      </c>
      <c r="E3" s="41">
        <v>0.87</v>
      </c>
      <c r="F3" s="41">
        <v>0.87</v>
      </c>
    </row>
    <row r="4" spans="1:6" ht="31.2">
      <c r="A4" s="39" t="s">
        <v>84</v>
      </c>
      <c r="B4" s="42">
        <f>ROUND(B2*B3,0)</f>
        <v>6482</v>
      </c>
      <c r="C4" s="42">
        <f t="shared" ref="C4:F4" si="0">ROUND(C2*C3,0)</f>
        <v>5727</v>
      </c>
      <c r="D4" s="42">
        <f t="shared" si="0"/>
        <v>4870</v>
      </c>
      <c r="E4" s="42">
        <f t="shared" si="0"/>
        <v>4427</v>
      </c>
      <c r="F4" s="42">
        <f t="shared" si="0"/>
        <v>3990</v>
      </c>
    </row>
    <row r="5" spans="1:6" ht="15.6">
      <c r="A5" s="40" t="s">
        <v>82</v>
      </c>
      <c r="B5" s="43">
        <f>ROUND('表54 p''的估计值'!B4,4)</f>
        <v>0.27129999999999999</v>
      </c>
      <c r="C5" s="43">
        <f>ROUND('表54 p''的估计值'!C4,4)</f>
        <v>0.1346</v>
      </c>
      <c r="D5" s="43">
        <f>ROUND('表54 p''的估计值'!D4,4)</f>
        <v>7.9399999999999998E-2</v>
      </c>
      <c r="E5" s="43">
        <f>ROUND('表54 p''的估计值'!E4,4)</f>
        <v>3.1800000000000002E-2</v>
      </c>
      <c r="F5" s="43">
        <f>ROUND('表54 p''的估计值'!F4,4)</f>
        <v>0</v>
      </c>
    </row>
    <row r="6" spans="1:6" ht="31.2">
      <c r="A6" s="39" t="s">
        <v>85</v>
      </c>
      <c r="B6" s="42">
        <f>B4*B5</f>
        <v>1758.5665999999999</v>
      </c>
      <c r="C6" s="42">
        <f t="shared" ref="C6:F6" si="1">C4*C5</f>
        <v>770.85419999999999</v>
      </c>
      <c r="D6" s="42">
        <f t="shared" si="1"/>
        <v>386.678</v>
      </c>
      <c r="E6" s="42">
        <f t="shared" si="1"/>
        <v>140.77860000000001</v>
      </c>
      <c r="F6" s="42">
        <f t="shared" si="1"/>
        <v>0</v>
      </c>
    </row>
  </sheetData>
  <phoneticPr fontId="3" type="noConversion"/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534F-88C8-48CF-84E3-58BCAAAB491F}">
  <dimension ref="A1:F6"/>
  <sheetViews>
    <sheetView workbookViewId="0"/>
  </sheetViews>
  <sheetFormatPr defaultRowHeight="14.4"/>
  <cols>
    <col min="1" max="1" width="8.21875" style="44" bestFit="1" customWidth="1"/>
    <col min="2" max="6" width="11.6640625" style="44" bestFit="1" customWidth="1"/>
  </cols>
  <sheetData>
    <row r="1" spans="1:6" ht="15.6">
      <c r="A1" s="39" t="s">
        <v>0</v>
      </c>
      <c r="B1" s="39" t="s">
        <v>86</v>
      </c>
      <c r="C1" s="39" t="s">
        <v>87</v>
      </c>
      <c r="D1" s="39" t="s">
        <v>88</v>
      </c>
      <c r="E1" s="39" t="s">
        <v>89</v>
      </c>
      <c r="F1" s="39" t="s">
        <v>90</v>
      </c>
    </row>
    <row r="2" spans="1:6" ht="15.6">
      <c r="A2" s="40" t="s">
        <v>93</v>
      </c>
      <c r="B2" s="39">
        <f>'表15 已报案未决赔款准备金三角形'!B7</f>
        <v>3600</v>
      </c>
      <c r="C2" s="39">
        <f>'表15 已报案未决赔款准备金三角形'!C6</f>
        <v>2539</v>
      </c>
      <c r="D2" s="39">
        <f>'表15 已报案未决赔款准备金三角形'!D5</f>
        <v>1500</v>
      </c>
      <c r="E2" s="39">
        <f>'表15 已报案未决赔款准备金三角形'!E4</f>
        <v>799</v>
      </c>
      <c r="F2" s="39">
        <f>'表15 已报案未决赔款准备金三角形'!F3</f>
        <v>380</v>
      </c>
    </row>
    <row r="3" spans="1:6" ht="31.2">
      <c r="A3" s="39" t="s">
        <v>96</v>
      </c>
      <c r="B3" s="39">
        <f>ROUND('表55 预算 IBNR 方法下的 IBNR 准备金的估计结果'!B6,0)</f>
        <v>1759</v>
      </c>
      <c r="C3" s="39">
        <f>ROUND('表55 预算 IBNR 方法下的 IBNR 准备金的估计结果'!C6,0)</f>
        <v>771</v>
      </c>
      <c r="D3" s="39">
        <f>ROUND('表55 预算 IBNR 方法下的 IBNR 准备金的估计结果'!D6,0)</f>
        <v>387</v>
      </c>
      <c r="E3" s="39">
        <f>ROUND('表55 预算 IBNR 方法下的 IBNR 准备金的估计结果'!E6,0)</f>
        <v>141</v>
      </c>
      <c r="F3" s="39">
        <f>ROUND('表55 预算 IBNR 方法下的 IBNR 准备金的估计结果'!F6,0)</f>
        <v>0</v>
      </c>
    </row>
    <row r="4" spans="1:6" ht="15.6">
      <c r="A4" s="40" t="s">
        <v>94</v>
      </c>
      <c r="B4" s="39">
        <f>'表8 累积赔款额流量三角形示例'!B7</f>
        <v>1730</v>
      </c>
      <c r="C4" s="39">
        <f>'表8 累积赔款额流量三角形示例'!C6</f>
        <v>2865</v>
      </c>
      <c r="D4" s="39">
        <f>'表8 累积赔款额流量三角形示例'!D5</f>
        <v>3235</v>
      </c>
      <c r="E4" s="39">
        <f>'表8 累积赔款额流量三角形示例'!E4</f>
        <v>3400</v>
      </c>
      <c r="F4" s="39">
        <f>'表8 累积赔款额流量三角形示例'!F3</f>
        <v>3337</v>
      </c>
    </row>
    <row r="5" spans="1:6" ht="15.6">
      <c r="A5" s="40" t="s">
        <v>97</v>
      </c>
      <c r="B5" s="39">
        <f>B2+B3+B4</f>
        <v>7089</v>
      </c>
      <c r="C5" s="39">
        <f t="shared" ref="C5:F5" si="0">C2+C3+C4</f>
        <v>6175</v>
      </c>
      <c r="D5" s="39">
        <f t="shared" si="0"/>
        <v>5122</v>
      </c>
      <c r="E5" s="39">
        <f t="shared" si="0"/>
        <v>4340</v>
      </c>
      <c r="F5" s="39">
        <f t="shared" si="0"/>
        <v>3717</v>
      </c>
    </row>
    <row r="6" spans="1:6" ht="15.6">
      <c r="A6" s="40" t="s">
        <v>95</v>
      </c>
      <c r="B6" s="39">
        <f>B5-B4</f>
        <v>5359</v>
      </c>
      <c r="C6" s="39">
        <f t="shared" ref="C6:F6" si="1">C5-C4</f>
        <v>3310</v>
      </c>
      <c r="D6" s="39">
        <f t="shared" si="1"/>
        <v>1887</v>
      </c>
      <c r="E6" s="39">
        <f t="shared" si="1"/>
        <v>940</v>
      </c>
      <c r="F6" s="39">
        <f t="shared" si="1"/>
        <v>380</v>
      </c>
    </row>
  </sheetData>
  <phoneticPr fontId="3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50AB2-12A0-4F21-AAA5-242453E0EC12}">
  <dimension ref="A1:H8"/>
  <sheetViews>
    <sheetView workbookViewId="0"/>
  </sheetViews>
  <sheetFormatPr defaultRowHeight="14.4"/>
  <cols>
    <col min="1" max="1" width="22.33203125" style="44" customWidth="1"/>
    <col min="2" max="6" width="11.109375" style="44" customWidth="1"/>
    <col min="8" max="8" width="9.33203125" bestFit="1" customWidth="1"/>
  </cols>
  <sheetData>
    <row r="1" spans="1:8" ht="15.6">
      <c r="A1" s="39" t="s">
        <v>0</v>
      </c>
      <c r="B1" s="38" t="s">
        <v>86</v>
      </c>
      <c r="C1" s="38" t="s">
        <v>87</v>
      </c>
      <c r="D1" s="38" t="s">
        <v>88</v>
      </c>
      <c r="E1" s="38" t="s">
        <v>89</v>
      </c>
      <c r="F1" s="38" t="s">
        <v>90</v>
      </c>
    </row>
    <row r="2" spans="1:8" ht="31.2">
      <c r="A2" s="39" t="s">
        <v>83</v>
      </c>
      <c r="B2" s="39">
        <f>'表53 已赚保费'!B2</f>
        <v>7450</v>
      </c>
      <c r="C2" s="39">
        <f>'表53 已赚保费'!C2</f>
        <v>6583</v>
      </c>
      <c r="D2" s="39">
        <f>'表53 已赚保费'!D2</f>
        <v>5598</v>
      </c>
      <c r="E2" s="39">
        <f>'表53 已赚保费'!E2</f>
        <v>5089</v>
      </c>
      <c r="F2" s="39">
        <f>'表53 已赚保费'!F2</f>
        <v>4586</v>
      </c>
    </row>
    <row r="3" spans="1:8" ht="16.2">
      <c r="A3" s="39" t="s">
        <v>92</v>
      </c>
      <c r="B3" s="41">
        <v>0.87</v>
      </c>
      <c r="C3" s="41">
        <v>0.87</v>
      </c>
      <c r="D3" s="41">
        <v>0.87</v>
      </c>
      <c r="E3" s="41">
        <v>0.87</v>
      </c>
      <c r="F3" s="41">
        <v>0.87</v>
      </c>
    </row>
    <row r="4" spans="1:8" ht="15.6">
      <c r="A4" s="39" t="s">
        <v>98</v>
      </c>
      <c r="B4" s="39">
        <f>ROUND(B2*B3,0)</f>
        <v>6482</v>
      </c>
      <c r="C4" s="39">
        <f t="shared" ref="C4:F4" si="0">ROUND(C2*C3,0)</f>
        <v>5727</v>
      </c>
      <c r="D4" s="39">
        <f t="shared" si="0"/>
        <v>4870</v>
      </c>
      <c r="E4" s="39">
        <f t="shared" si="0"/>
        <v>4427</v>
      </c>
      <c r="F4" s="39">
        <f t="shared" si="0"/>
        <v>3990</v>
      </c>
      <c r="H4" s="45"/>
    </row>
    <row r="5" spans="1:8" ht="15.6">
      <c r="A5" s="40" t="s">
        <v>38</v>
      </c>
      <c r="B5" s="39">
        <f>ROUND(1-1/ROUND('表12 各方法下的累积赔款额流量三角形最终进展因子'!B4,4),4)</f>
        <v>0.73670000000000002</v>
      </c>
      <c r="C5" s="39">
        <f>ROUND(1-1/ROUND('表12 各方法下的累积赔款额流量三角形最终进展因子'!C4,4),4)</f>
        <v>0.50139999999999996</v>
      </c>
      <c r="D5" s="39">
        <f>ROUND(1-1/ROUND('表12 各方法下的累积赔款额流量三角形最终进展因子'!D4,4),4)</f>
        <v>0.34279999999999999</v>
      </c>
      <c r="E5" s="39">
        <f>ROUND(1-1/ROUND('表12 各方法下的累积赔款额流量三角形最终进展因子'!E4,4),4)</f>
        <v>0.1895</v>
      </c>
      <c r="F5" s="39">
        <f>ROUND(1-1/ROUND('表12 各方法下的累积赔款额流量三角形最终进展因子'!F4,4),4)</f>
        <v>9.8100000000000007E-2</v>
      </c>
    </row>
    <row r="6" spans="1:8" ht="15.6">
      <c r="A6" s="40" t="s">
        <v>94</v>
      </c>
      <c r="B6" s="39">
        <f>'表8 累积赔款额流量三角形示例'!B7</f>
        <v>1730</v>
      </c>
      <c r="C6" s="39">
        <f>'表8 累积赔款额流量三角形示例'!C6</f>
        <v>2865</v>
      </c>
      <c r="D6" s="39">
        <f>'表8 累积赔款额流量三角形示例'!D5</f>
        <v>3235</v>
      </c>
      <c r="E6" s="39">
        <f>'表8 累积赔款额流量三角形示例'!E4</f>
        <v>3400</v>
      </c>
      <c r="F6" s="39">
        <f>'表8 累积赔款额流量三角形示例'!F3</f>
        <v>3337</v>
      </c>
    </row>
    <row r="7" spans="1:8" ht="15.6">
      <c r="A7" s="39" t="s">
        <v>99</v>
      </c>
      <c r="B7" s="39">
        <f>ROUND(B4*B5,0)</f>
        <v>4775</v>
      </c>
      <c r="C7" s="39">
        <f t="shared" ref="C7:F7" si="1">ROUND(C4*C5,0)</f>
        <v>2872</v>
      </c>
      <c r="D7" s="39">
        <f t="shared" si="1"/>
        <v>1669</v>
      </c>
      <c r="E7" s="39">
        <f t="shared" si="1"/>
        <v>839</v>
      </c>
      <c r="F7" s="39">
        <f t="shared" si="1"/>
        <v>391</v>
      </c>
    </row>
    <row r="8" spans="1:8" ht="15.6">
      <c r="A8" s="40" t="s">
        <v>97</v>
      </c>
      <c r="B8" s="39">
        <f>B6+B7</f>
        <v>6505</v>
      </c>
      <c r="C8" s="39">
        <f t="shared" ref="C8:F8" si="2">C6+C7</f>
        <v>5737</v>
      </c>
      <c r="D8" s="39">
        <f t="shared" si="2"/>
        <v>4904</v>
      </c>
      <c r="E8" s="39">
        <f t="shared" si="2"/>
        <v>4239</v>
      </c>
      <c r="F8" s="39">
        <f t="shared" si="2"/>
        <v>3728</v>
      </c>
    </row>
  </sheetData>
  <phoneticPr fontId="3" type="noConversion"/>
  <pageMargins left="0.7" right="0.7" top="0.75" bottom="0.75" header="0.3" footer="0.3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6478-FFC2-4E49-BC10-D315D071E775}">
  <dimension ref="A1:F6"/>
  <sheetViews>
    <sheetView workbookViewId="0">
      <selection sqref="A1:A2"/>
    </sheetView>
  </sheetViews>
  <sheetFormatPr defaultRowHeight="14.4"/>
  <cols>
    <col min="1" max="1" width="8.21875" bestFit="1" customWidth="1"/>
    <col min="2" max="2" width="10.44140625" bestFit="1" customWidth="1"/>
    <col min="3" max="3" width="6" bestFit="1" customWidth="1"/>
    <col min="4" max="6" width="7.109375" bestFit="1" customWidth="1"/>
  </cols>
  <sheetData>
    <row r="1" spans="1:6" ht="15.6">
      <c r="A1" s="62" t="s">
        <v>34</v>
      </c>
      <c r="B1" s="62" t="s">
        <v>100</v>
      </c>
      <c r="C1" s="62" t="s">
        <v>47</v>
      </c>
      <c r="D1" s="62"/>
      <c r="E1" s="62"/>
      <c r="F1" s="62"/>
    </row>
    <row r="2" spans="1:6" ht="15.6">
      <c r="A2" s="62"/>
      <c r="B2" s="62"/>
      <c r="C2" s="35">
        <v>0</v>
      </c>
      <c r="D2" s="35">
        <v>1</v>
      </c>
      <c r="E2" s="35">
        <v>2</v>
      </c>
      <c r="F2" s="35">
        <v>3</v>
      </c>
    </row>
    <row r="3" spans="1:6" ht="15.6">
      <c r="A3" s="35">
        <v>2005</v>
      </c>
      <c r="B3" s="35">
        <v>20900</v>
      </c>
      <c r="C3" s="35">
        <v>5335</v>
      </c>
      <c r="D3" s="35">
        <v>10670</v>
      </c>
      <c r="E3" s="35">
        <v>15510</v>
      </c>
      <c r="F3" s="35">
        <v>17820</v>
      </c>
    </row>
    <row r="4" spans="1:6" ht="15.6">
      <c r="A4" s="35">
        <v>2006</v>
      </c>
      <c r="B4" s="35">
        <v>22000</v>
      </c>
      <c r="C4" s="35">
        <v>5665</v>
      </c>
      <c r="D4" s="35">
        <v>11330</v>
      </c>
      <c r="E4" s="35">
        <v>16390</v>
      </c>
      <c r="F4" s="35"/>
    </row>
    <row r="5" spans="1:6" ht="15.6">
      <c r="A5" s="35">
        <v>2007</v>
      </c>
      <c r="B5" s="35">
        <v>23100</v>
      </c>
      <c r="C5" s="35">
        <v>5940</v>
      </c>
      <c r="D5" s="35">
        <v>11880</v>
      </c>
      <c r="E5" s="35"/>
      <c r="F5" s="35"/>
    </row>
    <row r="6" spans="1:6" ht="15.6">
      <c r="A6" s="35">
        <v>2008</v>
      </c>
      <c r="B6" s="35">
        <v>24200</v>
      </c>
      <c r="C6" s="35">
        <v>7920</v>
      </c>
      <c r="D6" s="35"/>
      <c r="E6" s="35"/>
      <c r="F6" s="35"/>
    </row>
  </sheetData>
  <mergeCells count="3">
    <mergeCell ref="A1:A2"/>
    <mergeCell ref="B1:B2"/>
    <mergeCell ref="C1:F1"/>
  </mergeCells>
  <phoneticPr fontId="3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5F57-D953-4267-873B-E1E0425B3D1A}">
  <dimension ref="A1:D7"/>
  <sheetViews>
    <sheetView workbookViewId="0">
      <selection sqref="A1:A2"/>
    </sheetView>
  </sheetViews>
  <sheetFormatPr defaultRowHeight="14.4"/>
  <cols>
    <col min="1" max="1" width="15" bestFit="1" customWidth="1"/>
  </cols>
  <sheetData>
    <row r="1" spans="1:4">
      <c r="A1" s="63" t="s">
        <v>0</v>
      </c>
      <c r="B1" s="63" t="s">
        <v>101</v>
      </c>
      <c r="C1" s="63"/>
      <c r="D1" s="63"/>
    </row>
    <row r="2" spans="1:4">
      <c r="A2" s="63"/>
      <c r="B2" s="27" t="s">
        <v>56</v>
      </c>
      <c r="C2" s="27" t="s">
        <v>5</v>
      </c>
      <c r="D2" s="27" t="s">
        <v>6</v>
      </c>
    </row>
    <row r="3" spans="1:4">
      <c r="A3" s="18">
        <v>2005</v>
      </c>
      <c r="B3" s="46">
        <f>IF(COLUMN()+$A3&lt;=2009,表58!D3/表58!C3,"")</f>
        <v>2</v>
      </c>
      <c r="C3" s="46">
        <f>IF(COLUMN()+$A3&lt;=2009,表58!E3/表58!D3,"")</f>
        <v>1.4536082474226804</v>
      </c>
      <c r="D3" s="46">
        <f>IF(COLUMN()+$A3&lt;=2009,表58!F3/表58!E3,"")</f>
        <v>1.1489361702127661</v>
      </c>
    </row>
    <row r="4" spans="1:4">
      <c r="A4" s="18">
        <v>2006</v>
      </c>
      <c r="B4" s="46">
        <f>IF(COLUMN()+$A4&lt;=2009,表58!D4/表58!C4,"")</f>
        <v>2</v>
      </c>
      <c r="C4" s="46">
        <f>IF(COLUMN()+$A4&lt;=2009,表58!E4/表58!D4,"")</f>
        <v>1.4466019417475728</v>
      </c>
      <c r="D4" s="46" t="str">
        <f>IF(COLUMN()+$A4&lt;=2009,表58!F4/表58!E4,"")</f>
        <v/>
      </c>
    </row>
    <row r="5" spans="1:4">
      <c r="A5" s="18">
        <v>2007</v>
      </c>
      <c r="B5" s="46">
        <f>IF(COLUMN()+$A5&lt;=2009,表58!D5/表58!C5,"")</f>
        <v>2</v>
      </c>
      <c r="C5" s="46" t="str">
        <f>IF(COLUMN()+$A5&lt;=2009,表58!E5/表58!D5,"")</f>
        <v/>
      </c>
      <c r="D5" s="46" t="str">
        <f>IF(COLUMN()+$A5&lt;=2009,表58!F5/表58!E5,"")</f>
        <v/>
      </c>
    </row>
    <row r="6" spans="1:4">
      <c r="A6" s="18" t="s">
        <v>102</v>
      </c>
      <c r="B6" s="46">
        <f>ROUND(AVERAGE(B3:B5),4)</f>
        <v>2</v>
      </c>
      <c r="C6" s="46">
        <f t="shared" ref="C6:D6" si="0">ROUND(AVERAGE(C3:C5),4)</f>
        <v>1.4500999999999999</v>
      </c>
      <c r="D6" s="46">
        <f t="shared" si="0"/>
        <v>1.1489</v>
      </c>
    </row>
    <row r="7" spans="1:4">
      <c r="A7" s="18" t="s">
        <v>103</v>
      </c>
      <c r="B7" s="46">
        <f>PRODUCT(B6:$D6)</f>
        <v>3.3320397800000001</v>
      </c>
      <c r="C7" s="46">
        <f>PRODUCT(C6:$D6)</f>
        <v>1.6660198900000001</v>
      </c>
      <c r="D7" s="46">
        <f>PRODUCT(D6:$D6)</f>
        <v>1.1489</v>
      </c>
    </row>
  </sheetData>
  <mergeCells count="2">
    <mergeCell ref="A1:A2"/>
    <mergeCell ref="B1:D1"/>
  </mergeCells>
  <phoneticPr fontId="3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C7521-8F28-4B6F-AC39-DC011136982D}">
  <dimension ref="A1:D5"/>
  <sheetViews>
    <sheetView workbookViewId="0"/>
  </sheetViews>
  <sheetFormatPr defaultRowHeight="14.4"/>
  <cols>
    <col min="2" max="2" width="15.33203125" bestFit="1" customWidth="1"/>
    <col min="3" max="3" width="28.77734375" bestFit="1" customWidth="1"/>
    <col min="4" max="4" width="17.77734375" bestFit="1" customWidth="1"/>
  </cols>
  <sheetData>
    <row r="1" spans="1:4" ht="15.6">
      <c r="A1" s="39" t="s">
        <v>0</v>
      </c>
      <c r="B1" s="39" t="s">
        <v>103</v>
      </c>
      <c r="C1" s="39" t="s">
        <v>105</v>
      </c>
      <c r="D1" s="39" t="s">
        <v>104</v>
      </c>
    </row>
    <row r="2" spans="1:4" ht="15.6">
      <c r="A2" s="39">
        <v>2005</v>
      </c>
      <c r="B2" s="39">
        <f>ROUND(1,4)</f>
        <v>1</v>
      </c>
      <c r="C2" s="39">
        <f>表58!F3</f>
        <v>17820</v>
      </c>
      <c r="D2" s="42">
        <f>ROUND(B2*C2,0)</f>
        <v>17820</v>
      </c>
    </row>
    <row r="3" spans="1:4" ht="15.6">
      <c r="A3" s="39">
        <v>2006</v>
      </c>
      <c r="B3" s="47">
        <f>ROUND(表59!D7,4)</f>
        <v>1.1489</v>
      </c>
      <c r="C3" s="39">
        <f>表58!E4</f>
        <v>16390</v>
      </c>
      <c r="D3" s="42">
        <f t="shared" ref="D3:D5" si="0">ROUND(B3*C3,0)</f>
        <v>18830</v>
      </c>
    </row>
    <row r="4" spans="1:4" ht="15.6">
      <c r="A4" s="39">
        <v>2007</v>
      </c>
      <c r="B4" s="47">
        <f>ROUND(表59!C7,4)</f>
        <v>1.6659999999999999</v>
      </c>
      <c r="C4" s="39">
        <f>表58!D5</f>
        <v>11880</v>
      </c>
      <c r="D4" s="42">
        <f t="shared" si="0"/>
        <v>19792</v>
      </c>
    </row>
    <row r="5" spans="1:4" ht="15.6">
      <c r="A5" s="39">
        <v>2008</v>
      </c>
      <c r="B5" s="47">
        <f>ROUND(表59!B7,4)</f>
        <v>3.3319999999999999</v>
      </c>
      <c r="C5" s="39">
        <f>表58!C6</f>
        <v>7920</v>
      </c>
      <c r="D5" s="42">
        <f t="shared" si="0"/>
        <v>26389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57041-F2A9-4137-A891-A5D34706E5D6}">
  <dimension ref="A1:F7"/>
  <sheetViews>
    <sheetView workbookViewId="0">
      <selection activeCell="B4" sqref="B4"/>
    </sheetView>
  </sheetViews>
  <sheetFormatPr defaultRowHeight="14.4"/>
  <cols>
    <col min="1" max="1" width="25.109375" customWidth="1"/>
    <col min="2" max="6" width="9.33203125" customWidth="1"/>
  </cols>
  <sheetData>
    <row r="1" spans="1:6" ht="15.6">
      <c r="A1" s="52" t="s">
        <v>0</v>
      </c>
      <c r="B1" s="52" t="s">
        <v>1</v>
      </c>
      <c r="C1" s="52"/>
      <c r="D1" s="52"/>
      <c r="E1" s="52"/>
      <c r="F1" s="52"/>
    </row>
    <row r="2" spans="1:6" ht="15.6">
      <c r="A2" s="52"/>
      <c r="B2" s="5" t="s">
        <v>16</v>
      </c>
      <c r="C2" s="5" t="s">
        <v>17</v>
      </c>
      <c r="D2" s="5" t="s">
        <v>18</v>
      </c>
      <c r="E2" s="5" t="s">
        <v>19</v>
      </c>
      <c r="F2" s="5" t="s">
        <v>8</v>
      </c>
    </row>
    <row r="3" spans="1:6" ht="15.6">
      <c r="A3" s="1" t="s">
        <v>9</v>
      </c>
      <c r="B3" s="8">
        <f>PRODUCT('表11 各方法下的累积赔款额流量三角形逐年进展因子'!B3:$F3)</f>
        <v>3.7880412889742567</v>
      </c>
      <c r="C3" s="8">
        <f>PRODUCT('表11 各方法下的累积赔款额流量三角形逐年进展因子'!C3:$F3)</f>
        <v>2.0041486106419009</v>
      </c>
      <c r="D3" s="8">
        <f>PRODUCT('表11 各方法下的累积赔款额流量三角形逐年进展因子'!D3:$F3)</f>
        <v>1.5222152594880001</v>
      </c>
      <c r="E3" s="8">
        <f>PRODUCT('表11 各方法下的累积赔款额流量三角形逐年进展因子'!E3:$F3)</f>
        <v>1.2337617599999999</v>
      </c>
      <c r="F3" s="8">
        <f>PRODUCT('表11 各方法下的累积赔款额流量三角形逐年进展因子'!F3:$F3)</f>
        <v>1.1088</v>
      </c>
    </row>
    <row r="4" spans="1:6" ht="15.6">
      <c r="A4" s="1" t="s">
        <v>10</v>
      </c>
      <c r="B4" s="8">
        <f>PRODUCT('表11 各方法下的累积赔款额流量三角形逐年进展因子'!B4:$F4)</f>
        <v>3.798334044136443</v>
      </c>
      <c r="C4" s="8">
        <f>PRODUCT('表11 各方法下的累积赔款额流量三角形逐年进展因子'!C4:$F4)</f>
        <v>2.0054562007056194</v>
      </c>
      <c r="D4" s="8">
        <f>PRODUCT('表11 各方法下的累积赔款额流量三角形逐年进展因子'!D4:$F4)</f>
        <v>1.5214750024320003</v>
      </c>
      <c r="E4" s="8">
        <f>PRODUCT('表11 各方法下的累积赔款额流量三角形逐年进展因子'!E4:$F4)</f>
        <v>1.2337617599999999</v>
      </c>
      <c r="F4" s="8">
        <f>PRODUCT('表11 各方法下的累积赔款额流量三角形逐年进展因子'!F4:$F4)</f>
        <v>1.1088</v>
      </c>
    </row>
    <row r="5" spans="1:6" ht="15.6">
      <c r="A5" s="1" t="s">
        <v>11</v>
      </c>
      <c r="B5" s="8">
        <f>PRODUCT('表11 各方法下的累积赔款额流量三角形逐年进展因子'!B5:$F5)</f>
        <v>3.7873527757902377</v>
      </c>
      <c r="C5" s="8">
        <f>PRODUCT('表11 各方法下的累积赔款额流量三角形逐年进展因子'!C5:$F5)</f>
        <v>2.0039963891159522</v>
      </c>
      <c r="D5" s="8">
        <f>PRODUCT('表11 各方法下的累积赔款额流量三角形逐年进展因子'!D5:$F5)</f>
        <v>1.5222152594880001</v>
      </c>
      <c r="E5" s="8">
        <f>PRODUCT('表11 各方法下的累积赔款额流量三角形逐年进展因子'!E5:$F5)</f>
        <v>1.2337617599999999</v>
      </c>
      <c r="F5" s="8">
        <f>PRODUCT('表11 各方法下的累积赔款额流量三角形逐年进展因子'!F5:$F5)</f>
        <v>1.1088</v>
      </c>
    </row>
    <row r="6" spans="1:6" ht="15.6">
      <c r="A6" s="1" t="s">
        <v>12</v>
      </c>
      <c r="B6" s="8">
        <f>PRODUCT('表11 各方法下的累积赔款额流量三角形逐年进展因子'!B6:$F6)</f>
        <v>3.8152977100789864</v>
      </c>
      <c r="C6" s="8">
        <f>PRODUCT('表11 各方法下的累积赔款额流量三角形逐年进展因子'!C6:$F6)</f>
        <v>2.0041486106419009</v>
      </c>
      <c r="D6" s="8">
        <f>PRODUCT('表11 各方法下的累积赔款额流量三角形逐年进展因子'!D6:$F6)</f>
        <v>1.5222152594880001</v>
      </c>
      <c r="E6" s="8">
        <f>PRODUCT('表11 各方法下的累积赔款额流量三角形逐年进展因子'!E6:$F6)</f>
        <v>1.2337617599999999</v>
      </c>
      <c r="F6" s="8">
        <f>PRODUCT('表11 各方法下的累积赔款额流量三角形逐年进展因子'!F6:$F6)</f>
        <v>1.1088</v>
      </c>
    </row>
    <row r="7" spans="1:6" ht="15.6">
      <c r="A7" s="1" t="s">
        <v>13</v>
      </c>
      <c r="B7" s="8">
        <f>PRODUCT('表11 各方法下的累积赔款额流量三角形逐年进展因子'!B7:$F7)</f>
        <v>3.8213967904445578</v>
      </c>
      <c r="C7" s="8">
        <f>PRODUCT('表11 各方法下的累积赔款额流量三角形逐年进展因子'!C7:$F7)</f>
        <v>2.0054562007056194</v>
      </c>
      <c r="D7" s="8">
        <f>PRODUCT('表11 各方法下的累积赔款额流量三角形逐年进展因子'!D7:$F7)</f>
        <v>1.5214750024320003</v>
      </c>
      <c r="E7" s="8">
        <f>PRODUCT('表11 各方法下的累积赔款额流量三角形逐年进展因子'!E7:$F7)</f>
        <v>1.2337617599999999</v>
      </c>
      <c r="F7" s="8">
        <f>PRODUCT('表11 各方法下的累积赔款额流量三角形逐年进展因子'!F7:$F7)</f>
        <v>1.1088</v>
      </c>
    </row>
  </sheetData>
  <mergeCells count="2">
    <mergeCell ref="A1:A2"/>
    <mergeCell ref="B1:F1"/>
  </mergeCells>
  <phoneticPr fontId="3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C2AC2-8EAA-4925-8FA2-FCE84BE32ED0}">
  <dimension ref="A1:E4"/>
  <sheetViews>
    <sheetView workbookViewId="0"/>
  </sheetViews>
  <sheetFormatPr defaultRowHeight="15.6"/>
  <cols>
    <col min="1" max="1" width="20.44140625" style="36" bestFit="1" customWidth="1"/>
    <col min="2" max="5" width="8.88671875" style="36"/>
  </cols>
  <sheetData>
    <row r="1" spans="1:5">
      <c r="A1" s="25" t="s">
        <v>0</v>
      </c>
      <c r="B1" s="25">
        <v>2008</v>
      </c>
      <c r="C1" s="25">
        <v>2007</v>
      </c>
      <c r="D1" s="25">
        <v>2006</v>
      </c>
      <c r="E1" s="25">
        <v>2005</v>
      </c>
    </row>
    <row r="2" spans="1:5">
      <c r="A2" s="25" t="s">
        <v>106</v>
      </c>
      <c r="B2" s="25">
        <f>VLOOKUP(B1,表58!$A$3:$B$6,2,FALSE)</f>
        <v>24200</v>
      </c>
      <c r="C2" s="25">
        <f>VLOOKUP(C1,表58!$A$3:$B$6,2,FALSE)</f>
        <v>23100</v>
      </c>
      <c r="D2" s="25">
        <f>VLOOKUP(D1,表58!$A$3:$B$6,2,FALSE)</f>
        <v>22000</v>
      </c>
      <c r="E2" s="25">
        <f>VLOOKUP(E1,表58!$A$3:$B$6,2,FALSE)</f>
        <v>20900</v>
      </c>
    </row>
    <row r="3" spans="1:5">
      <c r="A3" s="25" t="s">
        <v>107</v>
      </c>
      <c r="B3" s="25">
        <v>0.8</v>
      </c>
      <c r="C3" s="25">
        <v>0.8</v>
      </c>
      <c r="D3" s="25">
        <v>0.8</v>
      </c>
      <c r="E3" s="25">
        <v>0.8</v>
      </c>
    </row>
    <row r="4" spans="1:5">
      <c r="A4" s="25" t="s">
        <v>108</v>
      </c>
      <c r="B4" s="25">
        <f>B2*B3</f>
        <v>19360</v>
      </c>
      <c r="C4" s="25">
        <f t="shared" ref="C4:E4" si="0">C2*C3</f>
        <v>18480</v>
      </c>
      <c r="D4" s="25">
        <f t="shared" si="0"/>
        <v>17600</v>
      </c>
      <c r="E4" s="25">
        <f t="shared" si="0"/>
        <v>16720</v>
      </c>
    </row>
  </sheetData>
  <phoneticPr fontId="3" type="noConversion"/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5C61-EBB8-4193-90E4-C5F76307310D}">
  <dimension ref="A1:E3"/>
  <sheetViews>
    <sheetView workbookViewId="0"/>
  </sheetViews>
  <sheetFormatPr defaultRowHeight="14.4"/>
  <cols>
    <col min="1" max="1" width="15" bestFit="1" customWidth="1"/>
  </cols>
  <sheetData>
    <row r="1" spans="1:5" ht="15.6">
      <c r="A1" s="25" t="s">
        <v>0</v>
      </c>
      <c r="B1" s="35">
        <v>2008</v>
      </c>
      <c r="C1" s="35">
        <v>2007</v>
      </c>
      <c r="D1" s="35">
        <v>2006</v>
      </c>
      <c r="E1" s="35">
        <v>2005</v>
      </c>
    </row>
    <row r="2" spans="1:5" ht="15.6">
      <c r="A2" s="35" t="s">
        <v>103</v>
      </c>
      <c r="B2" s="48">
        <f>ROUND(表59!B7,4)</f>
        <v>3.3319999999999999</v>
      </c>
      <c r="C2" s="48">
        <f>ROUND(表59!C7,4)</f>
        <v>1.6659999999999999</v>
      </c>
      <c r="D2" s="48">
        <f>ROUND(表59!D7,4)</f>
        <v>1.1489</v>
      </c>
      <c r="E2" s="35">
        <v>1</v>
      </c>
    </row>
    <row r="3" spans="1:5" ht="15.6">
      <c r="A3" s="35" t="s">
        <v>82</v>
      </c>
      <c r="B3" s="35">
        <f>ROUND(1-1/B2,4)</f>
        <v>0.69989999999999997</v>
      </c>
      <c r="C3" s="35">
        <f t="shared" ref="C3:E3" si="0">ROUND(1-1/C2,4)</f>
        <v>0.39979999999999999</v>
      </c>
      <c r="D3" s="35">
        <f t="shared" si="0"/>
        <v>0.12959999999999999</v>
      </c>
      <c r="E3" s="35">
        <f t="shared" si="0"/>
        <v>0</v>
      </c>
    </row>
  </sheetData>
  <phoneticPr fontId="3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19E34-F009-46AE-BB8D-C8F4D4CD42DE}">
  <dimension ref="A1:E4"/>
  <sheetViews>
    <sheetView workbookViewId="0"/>
  </sheetViews>
  <sheetFormatPr defaultRowHeight="14.4"/>
  <cols>
    <col min="1" max="1" width="22.6640625" bestFit="1" customWidth="1"/>
    <col min="2" max="4" width="8.21875" bestFit="1" customWidth="1"/>
    <col min="5" max="5" width="7.109375" bestFit="1" customWidth="1"/>
  </cols>
  <sheetData>
    <row r="1" spans="1:5" ht="15.6">
      <c r="A1" s="25" t="s">
        <v>0</v>
      </c>
      <c r="B1" s="25">
        <v>2008</v>
      </c>
      <c r="C1" s="25">
        <v>2007</v>
      </c>
      <c r="D1" s="25">
        <v>2006</v>
      </c>
      <c r="E1" s="25">
        <v>2005</v>
      </c>
    </row>
    <row r="2" spans="1:5" ht="15.6">
      <c r="A2" s="25" t="s">
        <v>108</v>
      </c>
      <c r="B2" s="25">
        <f>表61!B4</f>
        <v>19360</v>
      </c>
      <c r="C2" s="25">
        <f>表61!C4</f>
        <v>18480</v>
      </c>
      <c r="D2" s="25">
        <f>表61!D4</f>
        <v>17600</v>
      </c>
      <c r="E2" s="25">
        <f>表61!E4</f>
        <v>16720</v>
      </c>
    </row>
    <row r="3" spans="1:5" ht="15.6">
      <c r="A3" s="25" t="s">
        <v>82</v>
      </c>
      <c r="B3" s="25">
        <f>表62!B3</f>
        <v>0.69989999999999997</v>
      </c>
      <c r="C3" s="25">
        <f>表62!C3</f>
        <v>0.39979999999999999</v>
      </c>
      <c r="D3" s="25">
        <f>表62!D3</f>
        <v>0.12959999999999999</v>
      </c>
      <c r="E3" s="25">
        <f>表62!E3</f>
        <v>0</v>
      </c>
    </row>
    <row r="4" spans="1:5" ht="15.6">
      <c r="A4" s="25" t="s">
        <v>96</v>
      </c>
      <c r="B4" s="25">
        <f>ROUND(B2*B3,0)</f>
        <v>13550</v>
      </c>
      <c r="C4" s="25">
        <f t="shared" ref="C4:E4" si="0">ROUND(C2*C3,0)</f>
        <v>7388</v>
      </c>
      <c r="D4" s="25">
        <f t="shared" si="0"/>
        <v>2281</v>
      </c>
      <c r="E4" s="25">
        <f t="shared" si="0"/>
        <v>0</v>
      </c>
    </row>
  </sheetData>
  <phoneticPr fontId="3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0B42F-EB95-416B-A093-E9B5F629224E}">
  <dimension ref="A1:G7"/>
  <sheetViews>
    <sheetView workbookViewId="0">
      <selection sqref="A1:A2"/>
    </sheetView>
  </sheetViews>
  <sheetFormatPr defaultRowHeight="14.4"/>
  <cols>
    <col min="1" max="1" width="13.88671875" bestFit="1" customWidth="1"/>
  </cols>
  <sheetData>
    <row r="1" spans="1:7" ht="15.6">
      <c r="A1" s="62" t="s">
        <v>0</v>
      </c>
      <c r="B1" s="62" t="s">
        <v>1</v>
      </c>
      <c r="C1" s="62"/>
      <c r="D1" s="62"/>
      <c r="E1" s="62"/>
      <c r="F1" s="62"/>
      <c r="G1" s="62" t="s">
        <v>109</v>
      </c>
    </row>
    <row r="2" spans="1:7" ht="15.6">
      <c r="A2" s="62"/>
      <c r="B2" s="35">
        <v>0</v>
      </c>
      <c r="C2" s="35">
        <v>1</v>
      </c>
      <c r="D2" s="35">
        <v>2</v>
      </c>
      <c r="E2" s="35">
        <v>3</v>
      </c>
      <c r="F2" s="35">
        <v>4</v>
      </c>
      <c r="G2" s="62"/>
    </row>
    <row r="3" spans="1:7" ht="15.6">
      <c r="A3" s="35" t="s">
        <v>110</v>
      </c>
      <c r="B3" s="35">
        <v>31</v>
      </c>
      <c r="C3" s="35">
        <v>72</v>
      </c>
      <c r="D3" s="35">
        <v>140</v>
      </c>
      <c r="E3" s="35">
        <v>210</v>
      </c>
      <c r="F3" s="35">
        <v>261</v>
      </c>
      <c r="G3" s="35">
        <v>322</v>
      </c>
    </row>
    <row r="4" spans="1:7" ht="15.6">
      <c r="A4" s="35" t="s">
        <v>89</v>
      </c>
      <c r="B4" s="35">
        <v>36</v>
      </c>
      <c r="C4" s="35">
        <v>85</v>
      </c>
      <c r="D4" s="35">
        <v>163</v>
      </c>
      <c r="E4" s="35">
        <v>249</v>
      </c>
      <c r="F4" s="35"/>
      <c r="G4" s="35"/>
    </row>
    <row r="5" spans="1:7" ht="15.6">
      <c r="A5" s="35" t="s">
        <v>88</v>
      </c>
      <c r="B5" s="35">
        <v>40</v>
      </c>
      <c r="C5" s="35">
        <v>99</v>
      </c>
      <c r="D5" s="35">
        <v>200</v>
      </c>
      <c r="E5" s="35"/>
      <c r="F5" s="35"/>
      <c r="G5" s="35"/>
    </row>
    <row r="6" spans="1:7" ht="15.6">
      <c r="A6" s="35" t="s">
        <v>87</v>
      </c>
      <c r="B6" s="35">
        <v>51</v>
      </c>
      <c r="C6" s="35">
        <v>121</v>
      </c>
      <c r="D6" s="35"/>
      <c r="E6" s="35"/>
      <c r="F6" s="35"/>
      <c r="G6" s="35"/>
    </row>
    <row r="7" spans="1:7" ht="15.6">
      <c r="A7" s="35" t="s">
        <v>86</v>
      </c>
      <c r="B7" s="35">
        <v>53</v>
      </c>
      <c r="C7" s="35"/>
      <c r="D7" s="35"/>
      <c r="E7" s="35"/>
      <c r="F7" s="35"/>
      <c r="G7" s="35"/>
    </row>
  </sheetData>
  <mergeCells count="3">
    <mergeCell ref="A1:A2"/>
    <mergeCell ref="G1:G2"/>
    <mergeCell ref="B1:F1"/>
  </mergeCells>
  <phoneticPr fontId="3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1AD38-2B03-4AA5-95D8-E79DCE458F79}">
  <dimension ref="A1:G4"/>
  <sheetViews>
    <sheetView workbookViewId="0">
      <selection activeCell="F4" sqref="F4"/>
    </sheetView>
  </sheetViews>
  <sheetFormatPr defaultRowHeight="14.4"/>
  <cols>
    <col min="1" max="1" width="19.77734375" customWidth="1"/>
    <col min="2" max="2" width="10.44140625" bestFit="1" customWidth="1"/>
    <col min="3" max="6" width="9.33203125" bestFit="1" customWidth="1"/>
  </cols>
  <sheetData>
    <row r="1" spans="1:7" ht="15.6">
      <c r="A1" s="65" t="s">
        <v>0</v>
      </c>
      <c r="B1" s="64" t="s">
        <v>101</v>
      </c>
      <c r="C1" s="64"/>
      <c r="D1" s="64"/>
      <c r="E1" s="64"/>
      <c r="F1" s="64"/>
      <c r="G1" s="44"/>
    </row>
    <row r="2" spans="1:7" ht="15.6">
      <c r="A2" s="66"/>
      <c r="B2" s="50" t="s">
        <v>56</v>
      </c>
      <c r="C2" s="50" t="s">
        <v>57</v>
      </c>
      <c r="D2" s="50" t="s">
        <v>58</v>
      </c>
      <c r="E2" s="50" t="s">
        <v>59</v>
      </c>
      <c r="F2" s="50" t="s">
        <v>8</v>
      </c>
      <c r="G2" s="44"/>
    </row>
    <row r="3" spans="1:7" ht="15.6">
      <c r="A3" s="39" t="s">
        <v>46</v>
      </c>
      <c r="B3" s="43">
        <f>ROUND(SUM('表65 累积直接理赔费用流量三角形（单位 千元）'!C3:C6)/SUM('表65 累积直接理赔费用流量三角形（单位 千元）'!B3:B6),4)</f>
        <v>2.3860999999999999</v>
      </c>
      <c r="C3" s="43">
        <f>ROUND(SUM('表65 累积直接理赔费用流量三角形（单位 千元）'!D3:D5)/SUM('表65 累积直接理赔费用流量三角形（单位 千元）'!C3:C5),4)</f>
        <v>1.9648000000000001</v>
      </c>
      <c r="D3" s="43">
        <f>ROUND(SUM('表65 累积直接理赔费用流量三角形（单位 千元）'!E3:E4)/SUM('表65 累积直接理赔费用流量三角形（单位 千元）'!D3:D4),4)</f>
        <v>1.5148999999999999</v>
      </c>
      <c r="E3" s="43">
        <f>ROUND('表65 累积直接理赔费用流量三角形（单位 千元）'!F3/'表65 累积直接理赔费用流量三角形（单位 千元）'!E3,4)</f>
        <v>1.2428999999999999</v>
      </c>
      <c r="F3" s="43">
        <f>ROUND('表65 累积直接理赔费用流量三角形（单位 千元）'!G3/'表65 累积直接理赔费用流量三角形（单位 千元）'!F3,4)</f>
        <v>1.2337</v>
      </c>
      <c r="G3" s="44"/>
    </row>
    <row r="4" spans="1:7" ht="15.6">
      <c r="A4" s="39" t="s">
        <v>112</v>
      </c>
      <c r="B4" s="43">
        <f>ROUND(PRODUCT(B3:$F3),4)</f>
        <v>10.8902</v>
      </c>
      <c r="C4" s="43">
        <f>ROUND(PRODUCT(C3:$F3),4)</f>
        <v>4.5640000000000001</v>
      </c>
      <c r="D4" s="43">
        <f>ROUND(PRODUCT(D3:$F3),4)</f>
        <v>2.3229000000000002</v>
      </c>
      <c r="E4" s="43">
        <f>ROUND(PRODUCT(E3:$F3),4)</f>
        <v>1.5334000000000001</v>
      </c>
      <c r="F4" s="43">
        <f>ROUND(PRODUCT(F3:$F3),4)</f>
        <v>1.2337</v>
      </c>
      <c r="G4" s="44"/>
    </row>
  </sheetData>
  <mergeCells count="2">
    <mergeCell ref="B1:F1"/>
    <mergeCell ref="A1:A2"/>
  </mergeCells>
  <phoneticPr fontId="3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2D1B9-A418-4F01-AB74-1D70E6DF8AB2}">
  <dimension ref="A1:E7"/>
  <sheetViews>
    <sheetView workbookViewId="0">
      <selection activeCell="E1" sqref="E1"/>
    </sheetView>
  </sheetViews>
  <sheetFormatPr defaultRowHeight="14.4"/>
  <cols>
    <col min="1" max="2" width="18.44140625" customWidth="1"/>
    <col min="3" max="3" width="21.21875" customWidth="1"/>
    <col min="4" max="4" width="18.44140625" customWidth="1"/>
    <col min="5" max="5" width="20.88671875" customWidth="1"/>
  </cols>
  <sheetData>
    <row r="1" spans="1:5" ht="15.6">
      <c r="A1" s="39" t="s">
        <v>0</v>
      </c>
      <c r="B1" s="39" t="s">
        <v>115</v>
      </c>
      <c r="C1" s="39" t="s">
        <v>114</v>
      </c>
      <c r="D1" s="39" t="s">
        <v>116</v>
      </c>
      <c r="E1" s="39" t="s">
        <v>117</v>
      </c>
    </row>
    <row r="2" spans="1:5" ht="15.6">
      <c r="A2" s="39" t="s">
        <v>110</v>
      </c>
      <c r="B2" s="39">
        <f>'表65 累积直接理赔费用流量三角形（单位 千元）'!F3</f>
        <v>261</v>
      </c>
      <c r="C2" s="39">
        <f>'表66 已付 ALAE 逐年进展因子和最终累积进展因子'!F4</f>
        <v>1.2337</v>
      </c>
      <c r="D2" s="39">
        <f>ROUND(B2*C2,0)</f>
        <v>322</v>
      </c>
      <c r="E2" s="39">
        <f>D2-B2</f>
        <v>61</v>
      </c>
    </row>
    <row r="3" spans="1:5" ht="15.6">
      <c r="A3" s="39" t="s">
        <v>89</v>
      </c>
      <c r="B3" s="39">
        <f>'表65 累积直接理赔费用流量三角形（单位 千元）'!E4</f>
        <v>249</v>
      </c>
      <c r="C3" s="39">
        <f>'表66 已付 ALAE 逐年进展因子和最终累积进展因子'!E4</f>
        <v>1.5334000000000001</v>
      </c>
      <c r="D3" s="39">
        <f t="shared" ref="D3:D6" si="0">ROUND(B3*C3,0)</f>
        <v>382</v>
      </c>
      <c r="E3" s="39">
        <f t="shared" ref="E3:E6" si="1">D3-B3</f>
        <v>133</v>
      </c>
    </row>
    <row r="4" spans="1:5" ht="15.6">
      <c r="A4" s="39" t="s">
        <v>88</v>
      </c>
      <c r="B4" s="39">
        <f>'表65 累积直接理赔费用流量三角形（单位 千元）'!D5</f>
        <v>200</v>
      </c>
      <c r="C4" s="39">
        <f>'表66 已付 ALAE 逐年进展因子和最终累积进展因子'!D4</f>
        <v>2.3229000000000002</v>
      </c>
      <c r="D4" s="39">
        <f t="shared" si="0"/>
        <v>465</v>
      </c>
      <c r="E4" s="39">
        <f t="shared" si="1"/>
        <v>265</v>
      </c>
    </row>
    <row r="5" spans="1:5" ht="15.6">
      <c r="A5" s="39" t="s">
        <v>87</v>
      </c>
      <c r="B5" s="39">
        <f>'表65 累积直接理赔费用流量三角形（单位 千元）'!C6</f>
        <v>121</v>
      </c>
      <c r="C5" s="39">
        <f>'表66 已付 ALAE 逐年进展因子和最终累积进展因子'!C4</f>
        <v>4.5640000000000001</v>
      </c>
      <c r="D5" s="39">
        <f t="shared" si="0"/>
        <v>552</v>
      </c>
      <c r="E5" s="39">
        <f t="shared" si="1"/>
        <v>431</v>
      </c>
    </row>
    <row r="6" spans="1:5" ht="15.6">
      <c r="A6" s="39" t="s">
        <v>86</v>
      </c>
      <c r="B6" s="39">
        <f>'表65 累积直接理赔费用流量三角形（单位 千元）'!B7</f>
        <v>53</v>
      </c>
      <c r="C6" s="39">
        <f>'表66 已付 ALAE 逐年进展因子和最终累积进展因子'!B4</f>
        <v>10.8902</v>
      </c>
      <c r="D6" s="39">
        <f t="shared" si="0"/>
        <v>577</v>
      </c>
      <c r="E6" s="39">
        <f t="shared" si="1"/>
        <v>524</v>
      </c>
    </row>
    <row r="7" spans="1:5" ht="15.6">
      <c r="A7" s="39" t="s">
        <v>113</v>
      </c>
      <c r="B7" s="39">
        <f>SUM(B2:B6)</f>
        <v>884</v>
      </c>
      <c r="C7" s="39"/>
      <c r="D7" s="39">
        <f>SUM(D2:D6)</f>
        <v>2298</v>
      </c>
      <c r="E7" s="39">
        <f>SUM(E2:E6)</f>
        <v>1414</v>
      </c>
    </row>
  </sheetData>
  <phoneticPr fontId="3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EE5D-896C-447A-8267-4B292AEB1E36}">
  <dimension ref="A1:G9"/>
  <sheetViews>
    <sheetView workbookViewId="0">
      <selection sqref="A1:A2"/>
    </sheetView>
  </sheetViews>
  <sheetFormatPr defaultRowHeight="14.4"/>
  <cols>
    <col min="1" max="1" width="16.109375" bestFit="1" customWidth="1"/>
    <col min="7" max="7" width="17.77734375" bestFit="1" customWidth="1"/>
  </cols>
  <sheetData>
    <row r="1" spans="1:7" ht="15.6">
      <c r="A1" s="52" t="s">
        <v>0</v>
      </c>
      <c r="B1" s="53" t="s">
        <v>1</v>
      </c>
      <c r="C1" s="54"/>
      <c r="D1" s="54"/>
      <c r="E1" s="54"/>
      <c r="F1" s="55"/>
      <c r="G1" s="56" t="s">
        <v>20</v>
      </c>
    </row>
    <row r="2" spans="1:7" ht="15.6">
      <c r="A2" s="52"/>
      <c r="B2" s="10">
        <v>0</v>
      </c>
      <c r="C2" s="10">
        <v>1</v>
      </c>
      <c r="D2" s="10">
        <v>2</v>
      </c>
      <c r="E2" s="10">
        <v>3</v>
      </c>
      <c r="F2" s="10">
        <v>4</v>
      </c>
      <c r="G2" s="56"/>
    </row>
    <row r="3" spans="1:7" ht="15.6">
      <c r="A3" s="3">
        <v>2004</v>
      </c>
      <c r="B3" s="11">
        <f>IF(B$2+$A3&lt;=2008,'表8 累积赔款额流量三角形示例'!B3,"")</f>
        <v>1003</v>
      </c>
      <c r="C3" s="11">
        <f>IF(C$2+$A3&lt;=2008,'表8 累积赔款额流量三角形示例'!C3,"")</f>
        <v>1855</v>
      </c>
      <c r="D3" s="11">
        <f>IF(D$2+$A3&lt;=2008,'表8 累积赔款额流量三角形示例'!D3,"")</f>
        <v>2413</v>
      </c>
      <c r="E3" s="11">
        <f>IF(E$2+$A3&lt;=2008,'表8 累积赔款额流量三角形示例'!E3,"")</f>
        <v>2999</v>
      </c>
      <c r="F3" s="11">
        <f>IF(F$2+$A3&lt;=2008,'表8 累积赔款额流量三角形示例'!F3,"")</f>
        <v>3337</v>
      </c>
      <c r="G3" s="11">
        <f>'表13 赔款与最终赔款的估计值（以原始加权平均法为例）'!G3</f>
        <v>3700.0655999999999</v>
      </c>
    </row>
    <row r="4" spans="1:7" ht="15.6">
      <c r="A4" s="3">
        <v>2005</v>
      </c>
      <c r="B4" s="11">
        <f>IF(B$2+$A4&lt;=2008,'表8 累积赔款额流量三角形示例'!B4,"")</f>
        <v>1120</v>
      </c>
      <c r="C4" s="11">
        <f>IF(C$2+$A4&lt;=2008,'表8 累积赔款额流量三角形示例'!C4,"")</f>
        <v>2113</v>
      </c>
      <c r="D4" s="11">
        <f>IF(D$2+$A4&lt;=2008,'表8 累积赔款额流量三角形示例'!D4,"")</f>
        <v>2776</v>
      </c>
      <c r="E4" s="11">
        <f>IF(E$2+$A4&lt;=2008,'表8 累积赔款额流量三角形示例'!E4,"")</f>
        <v>3400</v>
      </c>
      <c r="F4" s="11" t="str">
        <f>IF(F$2+$A4&lt;=2008,'表8 累积赔款额流量三角形示例'!F4,"")</f>
        <v/>
      </c>
      <c r="G4" s="11">
        <f>'表13 赔款与最终赔款的估计值（以原始加权平均法为例）'!G4</f>
        <v>4194.789984</v>
      </c>
    </row>
    <row r="5" spans="1:7" ht="15.6">
      <c r="A5" s="3">
        <v>2006</v>
      </c>
      <c r="B5" s="11">
        <f>IF(B$2+$A5&lt;=2008,'表8 累积赔款额流量三角形示例'!B5,"")</f>
        <v>1275</v>
      </c>
      <c r="C5" s="11">
        <f>IF(C$2+$A5&lt;=2008,'表8 累积赔款额流量三角形示例'!C5,"")</f>
        <v>2423</v>
      </c>
      <c r="D5" s="11">
        <f>IF(D$2+$A5&lt;=2008,'表8 累积赔款额流量三角形示例'!D5,"")</f>
        <v>3235</v>
      </c>
      <c r="E5" s="11" t="str">
        <f>IF(E$2+$A5&lt;=2008,'表8 累积赔款额流量三角形示例'!E5,"")</f>
        <v/>
      </c>
      <c r="F5" s="11" t="str">
        <f>IF(F$2+$A5&lt;=2008,'表8 累积赔款额流量三角形示例'!F5,"")</f>
        <v/>
      </c>
      <c r="G5" s="11">
        <f>'表13 赔款与最终赔款的估计值（以原始加权平均法为例）'!G5</f>
        <v>4921.9716328675204</v>
      </c>
    </row>
    <row r="6" spans="1:7" ht="15.6">
      <c r="A6" s="3">
        <v>2007</v>
      </c>
      <c r="B6" s="11">
        <f>IF(B$2+$A6&lt;=2008,'表8 累积赔款额流量三角形示例'!B6,"")</f>
        <v>1489</v>
      </c>
      <c r="C6" s="11">
        <f>IF(C$2+$A6&lt;=2008,'表8 累积赔款额流量三角形示例'!C6,"")</f>
        <v>2865</v>
      </c>
      <c r="D6" s="11" t="str">
        <f>IF(D$2+$A6&lt;=2008,'表8 累积赔款额流量三角形示例'!D6,"")</f>
        <v/>
      </c>
      <c r="E6" s="11" t="str">
        <f>IF(E$2+$A6&lt;=2008,'表8 累积赔款额流量三角形示例'!E6,"")</f>
        <v/>
      </c>
      <c r="F6" s="11" t="str">
        <f>IF(F$2+$A6&lt;=2008,'表8 累积赔款额流量三角形示例'!F6,"")</f>
        <v/>
      </c>
      <c r="G6" s="11">
        <f>'表13 赔款与最终赔款的估计值（以原始加权平均法为例）'!G6</f>
        <v>5745.6320150215997</v>
      </c>
    </row>
    <row r="7" spans="1:7" ht="15.6">
      <c r="A7" s="3">
        <v>2008</v>
      </c>
      <c r="B7" s="11">
        <f>IF(B$2+$A7&lt;=2008,'表8 累积赔款额流量三角形示例'!B7,"")</f>
        <v>1730</v>
      </c>
      <c r="C7" s="11" t="str">
        <f>IF(C$2+$A7&lt;=2008,'表8 累积赔款额流量三角形示例'!C7,"")</f>
        <v/>
      </c>
      <c r="D7" s="11" t="str">
        <f>IF(D$2+$A7&lt;=2008,'表8 累积赔款额流量三角形示例'!D7,"")</f>
        <v/>
      </c>
      <c r="E7" s="11" t="str">
        <f>IF(E$2+$A7&lt;=2008,'表8 累积赔款额流量三角形示例'!E7,"")</f>
        <v/>
      </c>
      <c r="F7" s="11" t="str">
        <f>IF(F$2+$A7&lt;=2008,'表8 累积赔款额流量三角形示例'!F7,"")</f>
        <v/>
      </c>
      <c r="G7" s="11">
        <f>'表13 赔款与最终赔款的估计值（以原始加权平均法为例）'!G7</f>
        <v>6571.1178963560469</v>
      </c>
    </row>
    <row r="8" spans="1:7" ht="15.6">
      <c r="A8" s="49"/>
      <c r="B8" s="49"/>
      <c r="C8" s="49"/>
      <c r="D8" s="49"/>
      <c r="E8" s="49"/>
      <c r="F8" s="49"/>
      <c r="G8" s="49"/>
    </row>
    <row r="9" spans="1:7" ht="15.6">
      <c r="A9" s="49" t="s">
        <v>118</v>
      </c>
      <c r="B9" s="49"/>
      <c r="C9" s="49"/>
      <c r="D9" s="49"/>
      <c r="E9" s="49"/>
      <c r="F9" s="49"/>
      <c r="G9" s="49"/>
    </row>
  </sheetData>
  <mergeCells count="3">
    <mergeCell ref="A1:A2"/>
    <mergeCell ref="B1:F1"/>
    <mergeCell ref="G1:G2"/>
  </mergeCells>
  <phoneticPr fontId="3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DEA9F-072E-4448-B931-591B7FBC6451}">
  <dimension ref="A1:G7"/>
  <sheetViews>
    <sheetView workbookViewId="0">
      <selection sqref="A1:A2"/>
    </sheetView>
  </sheetViews>
  <sheetFormatPr defaultRowHeight="14.4"/>
  <cols>
    <col min="2" max="2" width="9.33203125" bestFit="1" customWidth="1"/>
    <col min="7" max="7" width="17.77734375" bestFit="1" customWidth="1"/>
  </cols>
  <sheetData>
    <row r="1" spans="1:7" ht="15.6">
      <c r="A1" s="52" t="s">
        <v>0</v>
      </c>
      <c r="B1" s="53" t="s">
        <v>1</v>
      </c>
      <c r="C1" s="54"/>
      <c r="D1" s="54"/>
      <c r="E1" s="54"/>
      <c r="F1" s="55"/>
      <c r="G1" s="56" t="s">
        <v>20</v>
      </c>
    </row>
    <row r="2" spans="1:7" ht="15.6">
      <c r="A2" s="52"/>
      <c r="B2" s="10">
        <v>0</v>
      </c>
      <c r="C2" s="10">
        <v>1</v>
      </c>
      <c r="D2" s="10">
        <v>2</v>
      </c>
      <c r="E2" s="10">
        <v>3</v>
      </c>
      <c r="F2" s="10">
        <v>4</v>
      </c>
      <c r="G2" s="56"/>
    </row>
    <row r="3" spans="1:7" ht="15.6">
      <c r="A3" s="3">
        <v>2004</v>
      </c>
      <c r="B3" s="8">
        <f>IF('表65 累积直接理赔费用流量三角形（单位 千元）'!B3="","",ROUND('表65 累积直接理赔费用流量三角形（单位 千元）'!B3/'表68 最终赔款的估计值'!B3,4))</f>
        <v>3.09E-2</v>
      </c>
      <c r="C3" s="8">
        <f>IF('表65 累积直接理赔费用流量三角形（单位 千元）'!C3="","",ROUND('表65 累积直接理赔费用流量三角形（单位 千元）'!C3/'表68 最终赔款的估计值'!C3,4))</f>
        <v>3.8800000000000001E-2</v>
      </c>
      <c r="D3" s="8">
        <f>IF('表65 累积直接理赔费用流量三角形（单位 千元）'!D3="","",ROUND('表65 累积直接理赔费用流量三角形（单位 千元）'!D3/'表68 最终赔款的估计值'!D3,4))</f>
        <v>5.8000000000000003E-2</v>
      </c>
      <c r="E3" s="8">
        <f>IF('表65 累积直接理赔费用流量三角形（单位 千元）'!E3="","",ROUND('表65 累积直接理赔费用流量三角形（单位 千元）'!E3/'表68 最终赔款的估计值'!E3,4))</f>
        <v>7.0000000000000007E-2</v>
      </c>
      <c r="F3" s="8">
        <f>IF('表65 累积直接理赔费用流量三角形（单位 千元）'!F3="","",ROUND('表65 累积直接理赔费用流量三角形（单位 千元）'!F3/'表68 最终赔款的估计值'!F3,4))</f>
        <v>7.8200000000000006E-2</v>
      </c>
      <c r="G3" s="8">
        <f>IF('表65 累积直接理赔费用流量三角形（单位 千元）'!G3="","",ROUND('表65 累积直接理赔费用流量三角形（单位 千元）'!G3/'表68 最终赔款的估计值'!G3,4))</f>
        <v>8.6999999999999994E-2</v>
      </c>
    </row>
    <row r="4" spans="1:7" ht="15.6">
      <c r="A4" s="3">
        <v>2005</v>
      </c>
      <c r="B4" s="8">
        <f>IF('表65 累积直接理赔费用流量三角形（单位 千元）'!B4="","",ROUND('表65 累积直接理赔费用流量三角形（单位 千元）'!B4/'表68 最终赔款的估计值'!B4,4))</f>
        <v>3.2099999999999997E-2</v>
      </c>
      <c r="C4" s="8">
        <f>IF('表65 累积直接理赔费用流量三角形（单位 千元）'!C4="","",ROUND('表65 累积直接理赔费用流量三角形（单位 千元）'!C4/'表68 最终赔款的估计值'!C4,4))</f>
        <v>4.02E-2</v>
      </c>
      <c r="D4" s="8">
        <f>IF('表65 累积直接理赔费用流量三角形（单位 千元）'!D4="","",ROUND('表65 累积直接理赔费用流量三角形（单位 千元）'!D4/'表68 最终赔款的估计值'!D4,4))</f>
        <v>5.8700000000000002E-2</v>
      </c>
      <c r="E4" s="8">
        <f>IF('表65 累积直接理赔费用流量三角形（单位 千元）'!E4="","",ROUND('表65 累积直接理赔费用流量三角形（单位 千元）'!E4/'表68 最终赔款的估计值'!E4,4))</f>
        <v>7.3200000000000001E-2</v>
      </c>
      <c r="F4" s="8" t="str">
        <f>IF('表65 累积直接理赔费用流量三角形（单位 千元）'!F4="","",ROUND('表65 累积直接理赔费用流量三角形（单位 千元）'!F4/'表68 最终赔款的估计值'!F4,4))</f>
        <v/>
      </c>
      <c r="G4" s="8" t="str">
        <f>IF('表65 累积直接理赔费用流量三角形（单位 千元）'!G4="","",ROUND('表65 累积直接理赔费用流量三角形（单位 千元）'!G4/'表68 最终赔款的估计值'!G4,4))</f>
        <v/>
      </c>
    </row>
    <row r="5" spans="1:7" ht="15.6">
      <c r="A5" s="3">
        <v>2006</v>
      </c>
      <c r="B5" s="8">
        <f>IF('表65 累积直接理赔费用流量三角形（单位 千元）'!B5="","",ROUND('表65 累积直接理赔费用流量三角形（单位 千元）'!B5/'表68 最终赔款的估计值'!B5,4))</f>
        <v>3.1399999999999997E-2</v>
      </c>
      <c r="C5" s="8">
        <f>IF('表65 累积直接理赔费用流量三角形（单位 千元）'!C5="","",ROUND('表65 累积直接理赔费用流量三角形（单位 千元）'!C5/'表68 最终赔款的估计值'!C5,4))</f>
        <v>4.0899999999999999E-2</v>
      </c>
      <c r="D5" s="8">
        <f>IF('表65 累积直接理赔费用流量三角形（单位 千元）'!D5="","",ROUND('表65 累积直接理赔费用流量三角形（单位 千元）'!D5/'表68 最终赔款的估计值'!D5,4))</f>
        <v>6.1800000000000001E-2</v>
      </c>
      <c r="E5" s="8" t="str">
        <f>IF('表65 累积直接理赔费用流量三角形（单位 千元）'!E5="","",ROUND('表65 累积直接理赔费用流量三角形（单位 千元）'!E5/'表68 最终赔款的估计值'!E5,4))</f>
        <v/>
      </c>
      <c r="F5" s="8" t="str">
        <f>IF('表65 累积直接理赔费用流量三角形（单位 千元）'!F5="","",ROUND('表65 累积直接理赔费用流量三角形（单位 千元）'!F5/'表68 最终赔款的估计值'!F5,4))</f>
        <v/>
      </c>
      <c r="G5" s="8" t="str">
        <f>IF('表65 累积直接理赔费用流量三角形（单位 千元）'!G5="","",ROUND('表65 累积直接理赔费用流量三角形（单位 千元）'!G5/'表68 最终赔款的估计值'!G5,4))</f>
        <v/>
      </c>
    </row>
    <row r="6" spans="1:7" ht="15.6">
      <c r="A6" s="3">
        <v>2007</v>
      </c>
      <c r="B6" s="8">
        <f>IF('表65 累积直接理赔费用流量三角形（单位 千元）'!B6="","",ROUND('表65 累积直接理赔费用流量三角形（单位 千元）'!B6/'表68 最终赔款的估计值'!B6,4))</f>
        <v>3.4299999999999997E-2</v>
      </c>
      <c r="C6" s="8">
        <f>IF('表65 累积直接理赔费用流量三角形（单位 千元）'!C6="","",ROUND('表65 累积直接理赔费用流量三角形（单位 千元）'!C6/'表68 最终赔款的估计值'!C6,4))</f>
        <v>4.2200000000000001E-2</v>
      </c>
      <c r="D6" s="8" t="str">
        <f>IF('表65 累积直接理赔费用流量三角形（单位 千元）'!D6="","",ROUND('表65 累积直接理赔费用流量三角形（单位 千元）'!D6/'表68 最终赔款的估计值'!D6,4))</f>
        <v/>
      </c>
      <c r="E6" s="8" t="str">
        <f>IF('表65 累积直接理赔费用流量三角形（单位 千元）'!E6="","",ROUND('表65 累积直接理赔费用流量三角形（单位 千元）'!E6/'表68 最终赔款的估计值'!E6,4))</f>
        <v/>
      </c>
      <c r="F6" s="8" t="str">
        <f>IF('表65 累积直接理赔费用流量三角形（单位 千元）'!F6="","",ROUND('表65 累积直接理赔费用流量三角形（单位 千元）'!F6/'表68 最终赔款的估计值'!F6,4))</f>
        <v/>
      </c>
      <c r="G6" s="8" t="str">
        <f>IF('表65 累积直接理赔费用流量三角形（单位 千元）'!G6="","",ROUND('表65 累积直接理赔费用流量三角形（单位 千元）'!G6/'表68 最终赔款的估计值'!G6,4))</f>
        <v/>
      </c>
    </row>
    <row r="7" spans="1:7" ht="15.6">
      <c r="A7" s="3">
        <v>2008</v>
      </c>
      <c r="B7" s="8">
        <f>IF('表65 累积直接理赔费用流量三角形（单位 千元）'!B7="","",ROUND('表65 累积直接理赔费用流量三角形（单位 千元）'!B7/'表68 最终赔款的估计值'!B7,4))</f>
        <v>3.0599999999999999E-2</v>
      </c>
      <c r="C7" s="8" t="str">
        <f>IF('表65 累积直接理赔费用流量三角形（单位 千元）'!C7="","",ROUND('表65 累积直接理赔费用流量三角形（单位 千元）'!C7/'表68 最终赔款的估计值'!C7,4))</f>
        <v/>
      </c>
      <c r="D7" s="8" t="str">
        <f>IF('表65 累积直接理赔费用流量三角形（单位 千元）'!D7="","",ROUND('表65 累积直接理赔费用流量三角形（单位 千元）'!D7/'表68 最终赔款的估计值'!D7,4))</f>
        <v/>
      </c>
      <c r="E7" s="8" t="str">
        <f>IF('表65 累积直接理赔费用流量三角形（单位 千元）'!E7="","",ROUND('表65 累积直接理赔费用流量三角形（单位 千元）'!E7/'表68 最终赔款的估计值'!E7,4))</f>
        <v/>
      </c>
      <c r="F7" s="8" t="str">
        <f>IF('表65 累积直接理赔费用流量三角形（单位 千元）'!F7="","",ROUND('表65 累积直接理赔费用流量三角形（单位 千元）'!F7/'表68 最终赔款的估计值'!F7,4))</f>
        <v/>
      </c>
      <c r="G7" s="8" t="str">
        <f>IF('表65 累积直接理赔费用流量三角形（单位 千元）'!G7="","",ROUND('表65 累积直接理赔费用流量三角形（单位 千元）'!G7/'表68 最终赔款的估计值'!G7,4))</f>
        <v/>
      </c>
    </row>
  </sheetData>
  <mergeCells count="3">
    <mergeCell ref="A1:A2"/>
    <mergeCell ref="B1:F1"/>
    <mergeCell ref="G1:G2"/>
  </mergeCells>
  <phoneticPr fontId="3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894E9-B1E6-4653-8D40-07E0F2400C8E}">
  <dimension ref="A1:F6"/>
  <sheetViews>
    <sheetView workbookViewId="0">
      <selection activeCell="E9" sqref="E9"/>
    </sheetView>
  </sheetViews>
  <sheetFormatPr defaultRowHeight="14.4"/>
  <cols>
    <col min="1" max="1" width="32.5546875" bestFit="1" customWidth="1"/>
  </cols>
  <sheetData>
    <row r="1" spans="1:6" ht="15.6">
      <c r="A1" s="25" t="s">
        <v>0</v>
      </c>
      <c r="B1" s="25">
        <v>2008</v>
      </c>
      <c r="C1" s="25">
        <v>2007</v>
      </c>
      <c r="D1" s="25">
        <v>2006</v>
      </c>
      <c r="E1" s="25">
        <v>2005</v>
      </c>
      <c r="F1" s="25">
        <v>2004</v>
      </c>
    </row>
    <row r="2" spans="1:6" ht="15.6">
      <c r="A2" s="25" t="s">
        <v>1</v>
      </c>
      <c r="B2" s="51" t="s">
        <v>56</v>
      </c>
      <c r="C2" s="51" t="s">
        <v>57</v>
      </c>
      <c r="D2" s="51" t="s">
        <v>58</v>
      </c>
      <c r="E2" s="51" t="s">
        <v>59</v>
      </c>
      <c r="F2" s="51" t="s">
        <v>8</v>
      </c>
    </row>
    <row r="3" spans="1:6" ht="15.6">
      <c r="A3" s="25" t="s">
        <v>119</v>
      </c>
      <c r="B3" s="25">
        <f>ROUND(SUM('表69 已付 ALAE 与已付赔款比率三角形'!C3:C6)/SUM('表69 已付 ALAE 与已付赔款比率三角形'!B3:B6),4)</f>
        <v>1.2595000000000001</v>
      </c>
      <c r="C3" s="25">
        <f>ROUND(SUM('表69 已付 ALAE 与已付赔款比率三角形'!D3:D5)/SUM('表69 已付 ALAE 与已付赔款比率三角形'!C3:C5),4)</f>
        <v>1.4886999999999999</v>
      </c>
      <c r="D3" s="25">
        <f>ROUND(SUM('表69 已付 ALAE 与已付赔款比率三角形'!E3:E4)/SUM('表69 已付 ALAE 与已付赔款比率三角形'!D3:D4),4)</f>
        <v>1.2271000000000001</v>
      </c>
      <c r="E3" s="25">
        <f>ROUND('表69 已付 ALAE 与已付赔款比率三角形'!F3/'表69 已付 ALAE 与已付赔款比率三角形'!E3,4)</f>
        <v>1.1171</v>
      </c>
      <c r="F3" s="25">
        <f>ROUND('表69 已付 ALAE 与已付赔款比率三角形'!G3/'表69 已付 ALAE 与已付赔款比率三角形'!F3,4)</f>
        <v>1.1125</v>
      </c>
    </row>
    <row r="4" spans="1:6" ht="15.6">
      <c r="A4" s="25" t="s">
        <v>111</v>
      </c>
      <c r="B4" s="25">
        <f>ROUND(PRODUCT(B3:$F3),4)</f>
        <v>2.8593999999999999</v>
      </c>
      <c r="C4" s="25">
        <f>ROUND(PRODUCT(C3:$F3),4)</f>
        <v>2.2703000000000002</v>
      </c>
      <c r="D4" s="25">
        <f>ROUND(PRODUCT(D3:$F3),4)</f>
        <v>1.5249999999999999</v>
      </c>
      <c r="E4" s="25">
        <f>ROUND(PRODUCT(E3:$F3),4)</f>
        <v>1.2427999999999999</v>
      </c>
      <c r="F4" s="25">
        <f>ROUND(PRODUCT(F3:$F3),4)</f>
        <v>1.1125</v>
      </c>
    </row>
    <row r="5" spans="1:6" ht="15.6">
      <c r="A5" s="25" t="s">
        <v>125</v>
      </c>
      <c r="B5" s="25">
        <f>'表69 已付 ALAE 与已付赔款比率三角形'!B7</f>
        <v>3.0599999999999999E-2</v>
      </c>
      <c r="C5" s="25">
        <f>'表69 已付 ALAE 与已付赔款比率三角形'!C6</f>
        <v>4.2200000000000001E-2</v>
      </c>
      <c r="D5" s="25">
        <f>'表69 已付 ALAE 与已付赔款比率三角形'!D5</f>
        <v>6.1800000000000001E-2</v>
      </c>
      <c r="E5" s="25">
        <f>'表69 已付 ALAE 与已付赔款比率三角形'!E4</f>
        <v>7.3200000000000001E-2</v>
      </c>
      <c r="F5" s="25">
        <f>'表69 已付 ALAE 与已付赔款比率三角形'!F3</f>
        <v>7.8200000000000006E-2</v>
      </c>
    </row>
    <row r="6" spans="1:6" ht="15.6">
      <c r="A6" s="25" t="s">
        <v>126</v>
      </c>
      <c r="B6" s="25">
        <f>ROUND(B4*B5,4)</f>
        <v>8.7499999999999994E-2</v>
      </c>
      <c r="C6" s="25">
        <f t="shared" ref="C6:F6" si="0">ROUND(C4*C5,4)</f>
        <v>9.5799999999999996E-2</v>
      </c>
      <c r="D6" s="25">
        <f t="shared" si="0"/>
        <v>9.4200000000000006E-2</v>
      </c>
      <c r="E6" s="25">
        <f t="shared" si="0"/>
        <v>9.0999999999999998E-2</v>
      </c>
      <c r="F6" s="25">
        <f t="shared" si="0"/>
        <v>8.6999999999999994E-2</v>
      </c>
    </row>
  </sheetData>
  <phoneticPr fontId="3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D7AC5-F666-451E-8CA5-21D1027F25FA}">
  <dimension ref="A1:G6"/>
  <sheetViews>
    <sheetView workbookViewId="0">
      <selection activeCell="Q8" sqref="Q8"/>
    </sheetView>
  </sheetViews>
  <sheetFormatPr defaultRowHeight="14.4"/>
  <cols>
    <col min="1" max="1" width="15.33203125" bestFit="1" customWidth="1"/>
    <col min="2" max="4" width="8.21875" bestFit="1" customWidth="1"/>
    <col min="5" max="7" width="7.109375" bestFit="1" customWidth="1"/>
  </cols>
  <sheetData>
    <row r="1" spans="1:7" ht="15.6">
      <c r="A1" s="25" t="s">
        <v>0</v>
      </c>
      <c r="B1" s="25">
        <v>2008</v>
      </c>
      <c r="C1" s="25">
        <v>2007</v>
      </c>
      <c r="D1" s="25">
        <v>2006</v>
      </c>
      <c r="E1" s="25">
        <v>2005</v>
      </c>
      <c r="F1" s="25">
        <v>2004</v>
      </c>
      <c r="G1" s="25" t="s">
        <v>120</v>
      </c>
    </row>
    <row r="2" spans="1:7" ht="15.6">
      <c r="A2" s="25" t="s">
        <v>25</v>
      </c>
      <c r="B2" s="25">
        <f>ROUND(VLOOKUP(B1,'表68 最终赔款的估计值'!$A$3:$G$7,7,FALSE),0)</f>
        <v>6571</v>
      </c>
      <c r="C2" s="25">
        <f>ROUND(VLOOKUP(C1,'表68 最终赔款的估计值'!$A$3:$G$7,7,FALSE),0)</f>
        <v>5746</v>
      </c>
      <c r="D2" s="25">
        <f>ROUND(VLOOKUP(D1,'表68 最终赔款的估计值'!$A$3:$G$7,7,FALSE),0)</f>
        <v>4922</v>
      </c>
      <c r="E2" s="25">
        <f>ROUND(VLOOKUP(E1,'表68 最终赔款的估计值'!$A$3:$G$7,7,FALSE),0)</f>
        <v>4195</v>
      </c>
      <c r="F2" s="25">
        <f>ROUND(VLOOKUP(F1,'表68 最终赔款的估计值'!$A$3:$G$7,7,FALSE),0)</f>
        <v>3700</v>
      </c>
      <c r="G2" s="25">
        <f>SUM(B2:F2)</f>
        <v>25134</v>
      </c>
    </row>
    <row r="3" spans="1:7" ht="15.6">
      <c r="A3" s="25" t="s">
        <v>121</v>
      </c>
      <c r="B3" s="25">
        <f>HLOOKUP(B1,'表70 已付 ALAE 与已付赔款最终比率的估计值'!$B$1:$F$6,6,FALSE)</f>
        <v>8.7499999999999994E-2</v>
      </c>
      <c r="C3" s="25">
        <f>HLOOKUP(C1,'表70 已付 ALAE 与已付赔款最终比率的估计值'!$B$1:$F$6,6,FALSE)</f>
        <v>9.5799999999999996E-2</v>
      </c>
      <c r="D3" s="25">
        <f>HLOOKUP(D1,'表70 已付 ALAE 与已付赔款最终比率的估计值'!$B$1:$F$6,6,FALSE)</f>
        <v>9.4200000000000006E-2</v>
      </c>
      <c r="E3" s="25">
        <f>HLOOKUP(E1,'表70 已付 ALAE 与已付赔款最终比率的估计值'!$B$1:$F$6,6,FALSE)</f>
        <v>9.0999999999999998E-2</v>
      </c>
      <c r="F3" s="25">
        <f>HLOOKUP(F1,'表70 已付 ALAE 与已付赔款最终比率的估计值'!$B$1:$F$6,6,FALSE)</f>
        <v>8.6999999999999994E-2</v>
      </c>
      <c r="G3" s="25"/>
    </row>
    <row r="4" spans="1:7" ht="15.6">
      <c r="A4" s="25" t="s">
        <v>122</v>
      </c>
      <c r="B4" s="25">
        <f>'表65 累积直接理赔费用流量三角形（单位 千元）'!B7</f>
        <v>53</v>
      </c>
      <c r="C4" s="25">
        <f>'表65 累积直接理赔费用流量三角形（单位 千元）'!C6</f>
        <v>121</v>
      </c>
      <c r="D4" s="25">
        <f>'表65 累积直接理赔费用流量三角形（单位 千元）'!D5</f>
        <v>200</v>
      </c>
      <c r="E4" s="25">
        <f>'表65 累积直接理赔费用流量三角形（单位 千元）'!E4</f>
        <v>249</v>
      </c>
      <c r="F4" s="25">
        <f>'表65 累积直接理赔费用流量三角形（单位 千元）'!F3</f>
        <v>261</v>
      </c>
      <c r="G4" s="25">
        <f>SUM(B4:F4)</f>
        <v>884</v>
      </c>
    </row>
    <row r="5" spans="1:7" ht="15.6">
      <c r="A5" s="25" t="s">
        <v>123</v>
      </c>
      <c r="B5" s="25">
        <f>ROUND(B2*B3,0)</f>
        <v>575</v>
      </c>
      <c r="C5" s="25">
        <f t="shared" ref="C5:F5" si="0">ROUND(C2*C3,0)</f>
        <v>550</v>
      </c>
      <c r="D5" s="25">
        <f t="shared" si="0"/>
        <v>464</v>
      </c>
      <c r="E5" s="25">
        <f t="shared" si="0"/>
        <v>382</v>
      </c>
      <c r="F5" s="25">
        <f t="shared" si="0"/>
        <v>322</v>
      </c>
      <c r="G5" s="25">
        <f>SUM(B5:F5)</f>
        <v>2293</v>
      </c>
    </row>
    <row r="6" spans="1:7" ht="15.6">
      <c r="A6" s="25" t="s">
        <v>124</v>
      </c>
      <c r="B6" s="25">
        <f>B5-B4</f>
        <v>522</v>
      </c>
      <c r="C6" s="25">
        <f t="shared" ref="C6:G6" si="1">C5-C4</f>
        <v>429</v>
      </c>
      <c r="D6" s="25">
        <f t="shared" si="1"/>
        <v>264</v>
      </c>
      <c r="E6" s="25">
        <f t="shared" si="1"/>
        <v>133</v>
      </c>
      <c r="F6" s="25">
        <f t="shared" si="1"/>
        <v>61</v>
      </c>
      <c r="G6" s="25">
        <f t="shared" si="1"/>
        <v>1409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B31B-22AE-48BD-B81E-CB241E1FC79D}">
  <dimension ref="A1:G7"/>
  <sheetViews>
    <sheetView workbookViewId="0">
      <selection sqref="A1:G7"/>
    </sheetView>
  </sheetViews>
  <sheetFormatPr defaultRowHeight="14.4"/>
  <cols>
    <col min="1" max="1" width="8.21875" customWidth="1"/>
    <col min="2" max="6" width="7.109375" customWidth="1"/>
    <col min="7" max="7" width="17.77734375" customWidth="1"/>
  </cols>
  <sheetData>
    <row r="1" spans="1:7" ht="15.6" customHeight="1">
      <c r="A1" s="52" t="s">
        <v>0</v>
      </c>
      <c r="B1" s="53" t="s">
        <v>1</v>
      </c>
      <c r="C1" s="54"/>
      <c r="D1" s="54"/>
      <c r="E1" s="54"/>
      <c r="F1" s="55"/>
      <c r="G1" s="56" t="s">
        <v>20</v>
      </c>
    </row>
    <row r="2" spans="1:7" ht="15.6">
      <c r="A2" s="52"/>
      <c r="B2" s="10">
        <v>0</v>
      </c>
      <c r="C2" s="10">
        <v>1</v>
      </c>
      <c r="D2" s="10">
        <v>2</v>
      </c>
      <c r="E2" s="10">
        <v>3</v>
      </c>
      <c r="F2" s="10">
        <v>4</v>
      </c>
      <c r="G2" s="56"/>
    </row>
    <row r="3" spans="1:7" ht="15.6">
      <c r="A3" s="3">
        <v>2004</v>
      </c>
      <c r="B3" s="11">
        <f>IF(AND($A3-min_accident_year+B$2&lt;=4,ISNUMBER(B$2)),'表8 累积赔款额流量三角形示例'!B3,A3*INDEX('表11 各方法下的累积赔款额流量三角形逐年进展因子'!$B$4:$F$4,MATCH(A3,$B3:$F3,0)))</f>
        <v>1003</v>
      </c>
      <c r="C3" s="11">
        <f>IF(AND($A3-min_accident_year+C$2&lt;=4,ISNUMBER(C$2)),'表8 累积赔款额流量三角形示例'!C3,B3*INDEX('表11 各方法下的累积赔款额流量三角形逐年进展因子'!$B$4:$F$4,MATCH(B3,$B3:$F3,0)))</f>
        <v>1855</v>
      </c>
      <c r="D3" s="11">
        <f>IF(AND($A3-min_accident_year+D$2&lt;=4,ISNUMBER(D$2)),'表8 累积赔款额流量三角形示例'!D3,C3*INDEX('表11 各方法下的累积赔款额流量三角形逐年进展因子'!$B$4:$F$4,MATCH(C3,$B3:$F3,0)))</f>
        <v>2413</v>
      </c>
      <c r="E3" s="11">
        <f>IF(AND($A3-min_accident_year+E$2&lt;=4,ISNUMBER(E$2)),'表8 累积赔款额流量三角形示例'!E3,D3*INDEX('表11 各方法下的累积赔款额流量三角形逐年进展因子'!$B$4:$F$4,MATCH(D3,$B3:$F3,0)))</f>
        <v>2999</v>
      </c>
      <c r="F3" s="12">
        <f>IF(AND($A3-min_accident_year+F$2&lt;=4,ISNUMBER(F$2)),'表8 累积赔款额流量三角形示例'!F3,E3*INDEX('表11 各方法下的累积赔款额流量三角形逐年进展因子'!$B$4:$F$4,MATCH(E3,$B3:$F3,0)))</f>
        <v>3337</v>
      </c>
      <c r="G3" s="11">
        <f>IF(AND($A3-min_accident_year+G$2&lt;=4,ISNUMBER(G$2)),'表8 累积赔款额流量三角形示例'!G3,F3*INDEX('表11 各方法下的累积赔款额流量三角形逐年进展因子'!$B$4:$F$4,MATCH(F3,$B3:$F3,0)))</f>
        <v>3700.0655999999999</v>
      </c>
    </row>
    <row r="4" spans="1:7" ht="15.6">
      <c r="A4" s="3">
        <v>2005</v>
      </c>
      <c r="B4" s="11">
        <f>IF(AND($A4-min_accident_year+B$2&lt;=4,ISNUMBER(B$2)),'表8 累积赔款额流量三角形示例'!B4,A4*INDEX('表11 各方法下的累积赔款额流量三角形逐年进展因子'!$B$4:$F$4,MATCH(A4,$B4:$F4,0)))</f>
        <v>1120</v>
      </c>
      <c r="C4" s="11">
        <f>IF(AND($A4-min_accident_year+C$2&lt;=4,ISNUMBER(C$2)),'表8 累积赔款额流量三角形示例'!C4,B4*INDEX('表11 各方法下的累积赔款额流量三角形逐年进展因子'!$B$4:$F$4,MATCH(B4,$B4:$F4,0)))</f>
        <v>2113</v>
      </c>
      <c r="D4" s="11">
        <f>IF(AND($A4-min_accident_year+D$2&lt;=4,ISNUMBER(D$2)),'表8 累积赔款额流量三角形示例'!D4,C4*INDEX('表11 各方法下的累积赔款额流量三角形逐年进展因子'!$B$4:$F$4,MATCH(C4,$B4:$F4,0)))</f>
        <v>2776</v>
      </c>
      <c r="E4" s="12">
        <f>IF(AND($A4-min_accident_year+E$2&lt;=4,ISNUMBER(E$2)),'表8 累积赔款额流量三角形示例'!E4,D4*INDEX('表11 各方法下的累积赔款额流量三角形逐年进展因子'!$B$4:$F$4,MATCH(D4,$B4:$F4,0)))</f>
        <v>3400</v>
      </c>
      <c r="F4" s="11">
        <f>IF(AND($A4-min_accident_year+F$2&lt;=4,ISNUMBER(F$2)),'表8 累积赔款额流量三角形示例'!F4,E4*INDEX('表11 各方法下的累积赔款额流量三角形逐年进展因子'!$B$4:$F$4,MATCH(E4,$B4:$F4,0)))</f>
        <v>3783.1800000000003</v>
      </c>
      <c r="G4" s="11">
        <f>IF(AND($A4-min_accident_year+G$2&lt;=4,ISNUMBER(G$2)),'表8 累积赔款额流量三角形示例'!G4,F4*INDEX('表11 各方法下的累积赔款额流量三角形逐年进展因子'!$B$4:$F$4,MATCH(F4,$B4:$F4,0)))</f>
        <v>4194.789984</v>
      </c>
    </row>
    <row r="5" spans="1:7" ht="15.6">
      <c r="A5" s="3">
        <v>2006</v>
      </c>
      <c r="B5" s="11">
        <f>IF(AND($A5-min_accident_year+B$2&lt;=4,ISNUMBER(B$2)),'表8 累积赔款额流量三角形示例'!B5,A5*INDEX('表11 各方法下的累积赔款额流量三角形逐年进展因子'!$B$4:$F$4,MATCH(A5,$B5:$F5,0)))</f>
        <v>1275</v>
      </c>
      <c r="C5" s="11">
        <f>IF(AND($A5-min_accident_year+C$2&lt;=4,ISNUMBER(C$2)),'表8 累积赔款额流量三角形示例'!C5,B5*INDEX('表11 各方法下的累积赔款额流量三角形逐年进展因子'!$B$4:$F$4,MATCH(B5,$B5:$F5,0)))</f>
        <v>2423</v>
      </c>
      <c r="D5" s="12">
        <f>IF(AND($A5-min_accident_year+D$2&lt;=4,ISNUMBER(D$2)),'表8 累积赔款额流量三角形示例'!D5,C5*INDEX('表11 各方法下的累积赔款额流量三角形逐年进展因子'!$B$4:$F$4,MATCH(C5,$B5:$F5,0)))</f>
        <v>3235</v>
      </c>
      <c r="E5" s="11">
        <f>IF(AND($A5-min_accident_year+E$2&lt;=4,ISNUMBER(E$2)),'表8 累积赔款额流量三角形示例'!E5,D5*INDEX('表11 各方法下的累积赔款额流量三角形逐年进展因子'!$B$4:$F$4,MATCH(D5,$B5:$F5,0)))</f>
        <v>3989.402</v>
      </c>
      <c r="F5" s="11">
        <f>IF(AND($A5-min_accident_year+F$2&lt;=4,ISNUMBER(F$2)),'表8 累积赔款额流量三角形示例'!F5,E5*INDEX('表11 各方法下的累积赔款额流量三角形逐年进展因子'!$B$4:$F$4,MATCH(E5,$B5:$F5,0)))</f>
        <v>4439.0076054000001</v>
      </c>
      <c r="G5" s="11">
        <f>IF(AND($A5-min_accident_year+G$2&lt;=4,ISNUMBER(G$2)),'表8 累积赔款额流量三角形示例'!G5,F5*INDEX('表11 各方法下的累积赔款额流量三角形逐年进展因子'!$B$4:$F$4,MATCH(F5,$B5:$F5,0)))</f>
        <v>4921.9716328675204</v>
      </c>
    </row>
    <row r="6" spans="1:7" ht="15.6">
      <c r="A6" s="3">
        <v>2007</v>
      </c>
      <c r="B6" s="11">
        <f>IF(AND($A6-min_accident_year+B$2&lt;=4,ISNUMBER(B$2)),'表8 累积赔款额流量三角形示例'!B6,A6*INDEX('表11 各方法下的累积赔款额流量三角形逐年进展因子'!$B$4:$F$4,MATCH(A6,$B6:$F6,0)))</f>
        <v>1489</v>
      </c>
      <c r="C6" s="12">
        <f>IF(AND($A6-min_accident_year+C$2&lt;=4,ISNUMBER(C$2)),'表8 累积赔款额流量三角形示例'!C6,B6*INDEX('表11 各方法下的累积赔款额流量三角形逐年进展因子'!$B$4:$F$4,MATCH(B6,$B6:$F6,0)))</f>
        <v>2865</v>
      </c>
      <c r="D6" s="11">
        <f>IF(AND($A6-min_accident_year+D$2&lt;=4,ISNUMBER(D$2)),'表8 累积赔款额流量三角形示例'!D6,C6*INDEX('表11 各方法下的累积赔款额流量三角形逐年进展因子'!$B$4:$F$4,MATCH(C6,$B6:$F6,0)))</f>
        <v>3776.3565000000003</v>
      </c>
      <c r="E6" s="11">
        <f>IF(AND($A6-min_accident_year+E$2&lt;=4,ISNUMBER(E$2)),'表8 累积赔款额流量三角形示例'!E6,D6*INDEX('表11 各方法下的累积赔款额流量三角形逐年进展因子'!$B$4:$F$4,MATCH(D6,$B6:$F6,0)))</f>
        <v>4657.0028358000009</v>
      </c>
      <c r="F6" s="11">
        <f>IF(AND($A6-min_accident_year+F$2&lt;=4,ISNUMBER(F$2)),'表8 累积赔款额流量三角形示例'!F6,E6*INDEX('表11 各方法下的累积赔款额流量三角形逐年进展因子'!$B$4:$F$4,MATCH(E6,$B6:$F6,0)))</f>
        <v>5181.8470553946609</v>
      </c>
      <c r="G6" s="11">
        <f>IF(AND($A6-min_accident_year+G$2&lt;=4,ISNUMBER(G$2)),'表8 累积赔款额流量三角形示例'!G6,F6*INDEX('表11 各方法下的累积赔款额流量三角形逐年进展因子'!$B$4:$F$4,MATCH(F6,$B6:$F6,0)))</f>
        <v>5745.6320150215997</v>
      </c>
    </row>
    <row r="7" spans="1:7" ht="15.6">
      <c r="A7" s="3">
        <v>2008</v>
      </c>
      <c r="B7" s="12">
        <f>IF(AND($A7-min_accident_year+B$2&lt;=4,ISNUMBER(B$2)),'表8 累积赔款额流量三角形示例'!B7,A7*INDEX('表11 各方法下的累积赔款额流量三角形逐年进展因子'!$B$4:$F$4,MATCH(A7,$B7:$F7,0)))</f>
        <v>1730</v>
      </c>
      <c r="C7" s="11">
        <f>IF(AND($A7-min_accident_year+C$2&lt;=4,ISNUMBER(C$2)),'表8 累积赔款额流量三角形示例'!C7,B7*INDEX('表11 各方法下的累积赔款额流量三角形逐年进展因子'!$B$4:$F$4,MATCH(B7,$B7:$F7,0)))</f>
        <v>3276.62</v>
      </c>
      <c r="D7" s="11">
        <f>IF(AND($A7-min_accident_year+D$2&lt;=4,ISNUMBER(D$2)),'表8 累积赔款额流量三角形示例'!D7,C7*INDEX('表11 各方法下的累积赔款额流量三角形逐年进展因子'!$B$4:$F$4,MATCH(C7,$B7:$F7,0)))</f>
        <v>4318.9128220000002</v>
      </c>
      <c r="E7" s="11">
        <f>IF(AND($A7-min_accident_year+E$2&lt;=4,ISNUMBER(E$2)),'表8 累积赔款额流量三角形示例'!E7,D7*INDEX('表11 各方法下的累积赔款额流量三角形逐年进展因子'!$B$4:$F$4,MATCH(D7,$B7:$F7,0)))</f>
        <v>5326.0832920904004</v>
      </c>
      <c r="F7" s="11">
        <f>IF(AND($A7-min_accident_year+F$2&lt;=4,ISNUMBER(F$2)),'表8 累积赔款额流量三角形示例'!F7,E7*INDEX('表11 各方法下的累积赔款额流量三角形逐年进展因子'!$B$4:$F$4,MATCH(E7,$B7:$F7,0)))</f>
        <v>5926.3328791089889</v>
      </c>
      <c r="G7" s="11">
        <f>IF(AND($A7-min_accident_year+G$2&lt;=4,ISNUMBER(G$2)),'表8 累积赔款额流量三角形示例'!G7,F7*INDEX('表11 各方法下的累积赔款额流量三角形逐年进展因子'!$B$4:$F$4,MATCH(F7,$B7:$F7,0)))</f>
        <v>6571.1178963560469</v>
      </c>
    </row>
  </sheetData>
  <mergeCells count="3">
    <mergeCell ref="A1:A2"/>
    <mergeCell ref="B1:F1"/>
    <mergeCell ref="G1:G2"/>
  </mergeCells>
  <phoneticPr fontId="3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D40F-1D6E-446F-8B6C-AB1DAEBE49DE}">
  <dimension ref="A1:F7"/>
  <sheetViews>
    <sheetView workbookViewId="0">
      <selection sqref="A1:A2"/>
    </sheetView>
  </sheetViews>
  <sheetFormatPr defaultRowHeight="14.4"/>
  <cols>
    <col min="1" max="1" width="11.6640625" bestFit="1" customWidth="1"/>
  </cols>
  <sheetData>
    <row r="1" spans="1:6" ht="15.6">
      <c r="A1" s="65" t="s">
        <v>130</v>
      </c>
      <c r="B1" s="67" t="s">
        <v>101</v>
      </c>
      <c r="C1" s="68"/>
      <c r="D1" s="68"/>
      <c r="E1" s="68"/>
      <c r="F1" s="68"/>
    </row>
    <row r="2" spans="1:6" ht="15.6">
      <c r="A2" s="66"/>
      <c r="B2" s="39">
        <v>0</v>
      </c>
      <c r="C2" s="39">
        <v>1</v>
      </c>
      <c r="D2" s="39">
        <v>2</v>
      </c>
      <c r="E2" s="39">
        <v>3</v>
      </c>
      <c r="F2" s="39">
        <v>4</v>
      </c>
    </row>
    <row r="3" spans="1:6" ht="15.6">
      <c r="A3" s="39" t="s">
        <v>110</v>
      </c>
      <c r="B3" s="39">
        <v>46757</v>
      </c>
      <c r="C3" s="39">
        <v>31940</v>
      </c>
      <c r="D3" s="39">
        <v>18830</v>
      </c>
      <c r="E3" s="39">
        <v>9600</v>
      </c>
      <c r="F3" s="39">
        <v>5000</v>
      </c>
    </row>
    <row r="4" spans="1:6" ht="15.6">
      <c r="A4" s="39" t="s">
        <v>89</v>
      </c>
      <c r="B4" s="39">
        <v>53402</v>
      </c>
      <c r="C4" s="39">
        <v>36607</v>
      </c>
      <c r="D4" s="39">
        <v>21220</v>
      </c>
      <c r="E4" s="39">
        <v>11400</v>
      </c>
      <c r="F4" s="39"/>
    </row>
    <row r="5" spans="1:6" ht="15.6">
      <c r="A5" s="39" t="s">
        <v>88</v>
      </c>
      <c r="B5" s="39">
        <v>41800</v>
      </c>
      <c r="C5" s="39">
        <v>28789</v>
      </c>
      <c r="D5" s="39">
        <v>15765</v>
      </c>
      <c r="E5" s="39"/>
      <c r="F5" s="39"/>
    </row>
    <row r="6" spans="1:6" ht="15.6">
      <c r="A6" s="39" t="s">
        <v>87</v>
      </c>
      <c r="B6" s="39">
        <v>40338</v>
      </c>
      <c r="C6" s="39">
        <v>28262</v>
      </c>
      <c r="D6" s="39"/>
      <c r="E6" s="39"/>
      <c r="F6" s="39"/>
    </row>
    <row r="7" spans="1:6" ht="15.6">
      <c r="A7" s="39" t="s">
        <v>86</v>
      </c>
      <c r="B7" s="39">
        <v>47589</v>
      </c>
      <c r="C7" s="39"/>
      <c r="D7" s="39"/>
      <c r="E7" s="39"/>
      <c r="F7" s="39"/>
    </row>
  </sheetData>
  <mergeCells count="2">
    <mergeCell ref="B1:F1"/>
    <mergeCell ref="A1:A2"/>
  </mergeCells>
  <phoneticPr fontId="3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EC9CF-6030-4CDF-8D13-545EDE9DCA2F}">
  <dimension ref="A1:N9"/>
  <sheetViews>
    <sheetView workbookViewId="0">
      <selection sqref="A1:A2"/>
    </sheetView>
  </sheetViews>
  <sheetFormatPr defaultRowHeight="14.4"/>
  <cols>
    <col min="1" max="1" width="11.6640625" bestFit="1" customWidth="1"/>
    <col min="2" max="5" width="7.109375" bestFit="1" customWidth="1"/>
    <col min="6" max="6" width="6" bestFit="1" customWidth="1"/>
  </cols>
  <sheetData>
    <row r="1" spans="1:14" ht="15.6">
      <c r="A1" s="65" t="s">
        <v>130</v>
      </c>
      <c r="B1" s="67" t="s">
        <v>101</v>
      </c>
      <c r="C1" s="68"/>
      <c r="D1" s="68"/>
      <c r="E1" s="68"/>
      <c r="F1" s="68"/>
      <c r="H1" s="69"/>
      <c r="I1" s="69"/>
      <c r="J1" s="69"/>
      <c r="K1" s="69"/>
      <c r="L1" s="69"/>
      <c r="M1" s="69"/>
      <c r="N1" s="69"/>
    </row>
    <row r="2" spans="1:14" ht="15.6">
      <c r="A2" s="66"/>
      <c r="B2" s="39">
        <v>0</v>
      </c>
      <c r="C2" s="39">
        <v>1</v>
      </c>
      <c r="D2" s="39">
        <v>2</v>
      </c>
      <c r="E2" s="39">
        <v>3</v>
      </c>
      <c r="F2" s="39">
        <v>4</v>
      </c>
      <c r="H2" s="69"/>
      <c r="I2" s="69"/>
      <c r="J2" s="69"/>
      <c r="K2" s="69"/>
      <c r="L2" s="69"/>
      <c r="M2" s="69"/>
      <c r="N2" s="69"/>
    </row>
    <row r="3" spans="1:14" ht="15.6">
      <c r="A3" s="39" t="s">
        <v>110</v>
      </c>
      <c r="B3" s="39">
        <v>29989</v>
      </c>
      <c r="C3" s="39">
        <v>16101</v>
      </c>
      <c r="D3" s="39">
        <v>14140</v>
      </c>
      <c r="E3" s="39">
        <v>8200</v>
      </c>
      <c r="F3" s="39">
        <v>5919</v>
      </c>
      <c r="H3" s="70"/>
      <c r="I3" s="70"/>
      <c r="J3" s="70"/>
      <c r="K3" s="70"/>
      <c r="L3" s="70"/>
      <c r="M3" s="69"/>
      <c r="N3" s="69"/>
    </row>
    <row r="4" spans="1:14" ht="15.6">
      <c r="A4" s="39" t="s">
        <v>89</v>
      </c>
      <c r="B4" s="39">
        <v>29420</v>
      </c>
      <c r="C4" s="39">
        <v>18049</v>
      </c>
      <c r="D4" s="39">
        <v>15999</v>
      </c>
      <c r="E4" s="39">
        <v>10801</v>
      </c>
      <c r="F4" s="39"/>
      <c r="H4" s="70"/>
      <c r="I4" s="70"/>
      <c r="J4" s="70"/>
      <c r="K4" s="70"/>
      <c r="L4" s="71"/>
      <c r="M4" s="69"/>
      <c r="N4" s="69"/>
    </row>
    <row r="5" spans="1:14" ht="15.6">
      <c r="A5" s="39" t="s">
        <v>88</v>
      </c>
      <c r="B5" s="39">
        <v>26598</v>
      </c>
      <c r="C5" s="39">
        <v>17049</v>
      </c>
      <c r="D5" s="39">
        <v>13178</v>
      </c>
      <c r="E5" s="39"/>
      <c r="F5" s="39"/>
      <c r="H5" s="70"/>
      <c r="I5" s="70"/>
      <c r="J5" s="70"/>
      <c r="K5" s="71"/>
      <c r="L5" s="71"/>
      <c r="M5" s="69"/>
      <c r="N5" s="69"/>
    </row>
    <row r="6" spans="1:14" ht="15.6">
      <c r="A6" s="39" t="s">
        <v>87</v>
      </c>
      <c r="B6" s="39">
        <v>24981</v>
      </c>
      <c r="C6" s="39">
        <v>15231</v>
      </c>
      <c r="D6" s="39"/>
      <c r="E6" s="39"/>
      <c r="F6" s="39"/>
      <c r="H6" s="70"/>
      <c r="I6" s="70"/>
      <c r="J6" s="71"/>
      <c r="K6" s="71"/>
      <c r="L6" s="71"/>
      <c r="M6" s="69"/>
      <c r="N6" s="69"/>
    </row>
    <row r="7" spans="1:14" ht="15.6">
      <c r="A7" s="39" t="s">
        <v>86</v>
      </c>
      <c r="B7" s="39">
        <v>27545</v>
      </c>
      <c r="C7" s="39"/>
      <c r="D7" s="39"/>
      <c r="E7" s="39"/>
      <c r="F7" s="39"/>
      <c r="H7" s="70"/>
      <c r="I7" s="71"/>
      <c r="J7" s="71"/>
      <c r="K7" s="71"/>
      <c r="L7" s="71"/>
      <c r="M7" s="69"/>
      <c r="N7" s="69"/>
    </row>
    <row r="8" spans="1:14">
      <c r="B8" s="2"/>
      <c r="C8" s="2"/>
      <c r="D8" s="2"/>
      <c r="E8" s="2"/>
      <c r="F8" s="2"/>
      <c r="H8" s="69"/>
      <c r="I8" s="69"/>
      <c r="J8" s="69"/>
      <c r="K8" s="69"/>
      <c r="L8" s="69"/>
      <c r="M8" s="69"/>
      <c r="N8" s="69"/>
    </row>
    <row r="9" spans="1:14">
      <c r="H9" s="69"/>
      <c r="I9" s="69"/>
      <c r="J9" s="69"/>
      <c r="K9" s="69"/>
      <c r="L9" s="69"/>
      <c r="M9" s="69"/>
      <c r="N9" s="69"/>
    </row>
  </sheetData>
  <mergeCells count="2">
    <mergeCell ref="A1:A2"/>
    <mergeCell ref="B1:F1"/>
  </mergeCells>
  <phoneticPr fontId="3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1D54-8F13-4EEB-8F85-9805889F1FF3}">
  <dimension ref="A1:E7"/>
  <sheetViews>
    <sheetView workbookViewId="0">
      <selection sqref="A1:A2"/>
    </sheetView>
  </sheetViews>
  <sheetFormatPr defaultRowHeight="14.4"/>
  <cols>
    <col min="1" max="1" width="12.88671875" bestFit="1" customWidth="1"/>
    <col min="2" max="5" width="9.33203125" bestFit="1" customWidth="1"/>
  </cols>
  <sheetData>
    <row r="1" spans="1:5" ht="15.6">
      <c r="A1" s="65" t="s">
        <v>130</v>
      </c>
      <c r="B1" s="64" t="s">
        <v>101</v>
      </c>
      <c r="C1" s="64"/>
      <c r="D1" s="64"/>
      <c r="E1" s="64"/>
    </row>
    <row r="2" spans="1:5" ht="15.6">
      <c r="A2" s="66"/>
      <c r="B2" s="39">
        <v>1</v>
      </c>
      <c r="C2" s="39">
        <v>2</v>
      </c>
      <c r="D2" s="39">
        <v>3</v>
      </c>
      <c r="E2" s="39">
        <v>4</v>
      </c>
    </row>
    <row r="3" spans="1:5" ht="15.6">
      <c r="A3" s="39" t="s">
        <v>110</v>
      </c>
      <c r="B3" s="43">
        <f>IF('表74 基于报案年的增量已付赔款'!C3="","",ROUND('表74 基于报案年的增量已付赔款'!C3/'表73 基于报案年的已报案未决赔款准备金'!B3,4))</f>
        <v>0.34439999999999998</v>
      </c>
      <c r="C3" s="43">
        <f>IF('表74 基于报案年的增量已付赔款'!D3="","",ROUND('表74 基于报案年的增量已付赔款'!D3/'表73 基于报案年的已报案未决赔款准备金'!C3,4))</f>
        <v>0.44269999999999998</v>
      </c>
      <c r="D3" s="43">
        <f>IF('表74 基于报案年的增量已付赔款'!E3="","",ROUND('表74 基于报案年的增量已付赔款'!E3/'表73 基于报案年的已报案未决赔款准备金'!D3,4))</f>
        <v>0.4355</v>
      </c>
      <c r="E3" s="43">
        <f>IF('表74 基于报案年的增量已付赔款'!F3="","",ROUND('表74 基于报案年的增量已付赔款'!F3/'表73 基于报案年的已报案未决赔款准备金'!E3,4))</f>
        <v>0.61660000000000004</v>
      </c>
    </row>
    <row r="4" spans="1:5" ht="15.6">
      <c r="A4" s="39" t="s">
        <v>89</v>
      </c>
      <c r="B4" s="43">
        <f>IF('表74 基于报案年的增量已付赔款'!C4="","",ROUND('表74 基于报案年的增量已付赔款'!C4/'表73 基于报案年的已报案未决赔款准备金'!B4,4))</f>
        <v>0.33800000000000002</v>
      </c>
      <c r="C4" s="43">
        <f>IF('表74 基于报案年的增量已付赔款'!D4="","",ROUND('表74 基于报案年的增量已付赔款'!D4/'表73 基于报案年的已报案未决赔款准备金'!C4,4))</f>
        <v>0.437</v>
      </c>
      <c r="D4" s="43">
        <f>IF('表74 基于报案年的增量已付赔款'!E4="","",ROUND('表74 基于报案年的增量已付赔款'!E4/'表73 基于报案年的已报案未决赔款准备金'!D4,4))</f>
        <v>0.50900000000000001</v>
      </c>
      <c r="E4" s="43" t="str">
        <f>IF('表74 基于报案年的增量已付赔款'!F4="","",ROUND('表74 基于报案年的增量已付赔款'!F4/'表73 基于报案年的已报案未决赔款准备金'!E4,4))</f>
        <v/>
      </c>
    </row>
    <row r="5" spans="1:5" ht="15.6">
      <c r="A5" s="39" t="s">
        <v>88</v>
      </c>
      <c r="B5" s="43">
        <f>IF('表74 基于报案年的增量已付赔款'!C5="","",ROUND('表74 基于报案年的增量已付赔款'!C5/'表73 基于报案年的已报案未决赔款准备金'!B5,4))</f>
        <v>0.40789999999999998</v>
      </c>
      <c r="C5" s="43">
        <f>IF('表74 基于报案年的增量已付赔款'!D5="","",ROUND('表74 基于报案年的增量已付赔款'!D5/'表73 基于报案年的已报案未决赔款准备金'!C5,4))</f>
        <v>0.4577</v>
      </c>
      <c r="D5" s="43" t="str">
        <f>IF('表74 基于报案年的增量已付赔款'!E5="","",ROUND('表74 基于报案年的增量已付赔款'!E5/'表73 基于报案年的已报案未决赔款准备金'!D5,4))</f>
        <v/>
      </c>
      <c r="E5" s="43" t="str">
        <f>IF('表74 基于报案年的增量已付赔款'!F5="","",ROUND('表74 基于报案年的增量已付赔款'!F5/'表73 基于报案年的已报案未决赔款准备金'!E5,4))</f>
        <v/>
      </c>
    </row>
    <row r="6" spans="1:5" ht="15.6">
      <c r="A6" s="39" t="s">
        <v>87</v>
      </c>
      <c r="B6" s="43">
        <f>IF('表74 基于报案年的增量已付赔款'!C6="","",ROUND('表74 基于报案年的增量已付赔款'!C6/'表73 基于报案年的已报案未决赔款准备金'!B6,4))</f>
        <v>0.37759999999999999</v>
      </c>
      <c r="C6" s="43" t="str">
        <f>IF('表74 基于报案年的增量已付赔款'!D6="","",ROUND('表74 基于报案年的增量已付赔款'!D6/'表73 基于报案年的已报案未决赔款准备金'!C6,4))</f>
        <v/>
      </c>
      <c r="D6" s="43" t="str">
        <f>IF('表74 基于报案年的增量已付赔款'!E6="","",ROUND('表74 基于报案年的增量已付赔款'!E6/'表73 基于报案年的已报案未决赔款准备金'!D6,4))</f>
        <v/>
      </c>
      <c r="E6" s="43" t="str">
        <f>IF('表74 基于报案年的增量已付赔款'!F6="","",ROUND('表74 基于报案年的增量已付赔款'!F6/'表73 基于报案年的已报案未决赔款准备金'!E6,4))</f>
        <v/>
      </c>
    </row>
    <row r="7" spans="1:5" ht="15.6">
      <c r="A7" s="72" t="s">
        <v>127</v>
      </c>
      <c r="B7" s="74">
        <f>ROUND(AVERAGE(B3:B6),4)</f>
        <v>0.36699999999999999</v>
      </c>
      <c r="C7" s="74">
        <f t="shared" ref="C7:E7" si="0">ROUND(AVERAGE(C3:C6),4)</f>
        <v>0.44579999999999997</v>
      </c>
      <c r="D7" s="74">
        <f t="shared" si="0"/>
        <v>0.4723</v>
      </c>
      <c r="E7" s="74">
        <f t="shared" si="0"/>
        <v>0.61660000000000004</v>
      </c>
    </row>
  </sheetData>
  <mergeCells count="2">
    <mergeCell ref="A1:A2"/>
    <mergeCell ref="B1:E1"/>
  </mergeCells>
  <phoneticPr fontId="3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2E05F-200C-450F-81DE-3C8D8BCC8BFC}">
  <dimension ref="A1:F7"/>
  <sheetViews>
    <sheetView workbookViewId="0">
      <selection activeCell="B3" sqref="B3"/>
    </sheetView>
  </sheetViews>
  <sheetFormatPr defaultRowHeight="14.4"/>
  <cols>
    <col min="1" max="1" width="11.6640625" bestFit="1" customWidth="1"/>
    <col min="2" max="6" width="9.33203125" bestFit="1" customWidth="1"/>
  </cols>
  <sheetData>
    <row r="1" spans="1:6" ht="15.6">
      <c r="A1" s="65" t="s">
        <v>130</v>
      </c>
      <c r="B1" s="64" t="s">
        <v>101</v>
      </c>
      <c r="C1" s="64"/>
      <c r="D1" s="64"/>
      <c r="E1" s="64"/>
      <c r="F1" s="64"/>
    </row>
    <row r="2" spans="1:6" ht="15.6">
      <c r="A2" s="66"/>
      <c r="B2" s="39">
        <v>1</v>
      </c>
      <c r="C2" s="39">
        <v>2</v>
      </c>
      <c r="D2" s="39">
        <v>3</v>
      </c>
      <c r="E2" s="39">
        <v>4</v>
      </c>
      <c r="F2" s="72" t="s">
        <v>129</v>
      </c>
    </row>
    <row r="3" spans="1:6" ht="15.6">
      <c r="A3" s="39" t="s">
        <v>110</v>
      </c>
      <c r="B3" s="43">
        <f>IF(ROW()+COLUMN()&lt;=8,'表75 基于报案年的准备金支付率'!B3,0.5)</f>
        <v>0.34439999999999998</v>
      </c>
      <c r="C3" s="43">
        <f>IF(ROW()+COLUMN()&lt;=8,'表75 基于报案年的准备金支付率'!C3,0.5)</f>
        <v>0.44269999999999998</v>
      </c>
      <c r="D3" s="43">
        <f>IF(ROW()+COLUMN()&lt;=8,'表75 基于报案年的准备金支付率'!D3,0.5)</f>
        <v>0.4355</v>
      </c>
      <c r="E3" s="43">
        <f>IF(ROW()+COLUMN()&lt;=8,'表75 基于报案年的准备金支付率'!E3,0.5)</f>
        <v>0.61660000000000004</v>
      </c>
      <c r="F3" s="73">
        <v>1</v>
      </c>
    </row>
    <row r="4" spans="1:6" ht="15.6">
      <c r="A4" s="39" t="s">
        <v>89</v>
      </c>
      <c r="B4" s="43">
        <f>IF(ROW()+COLUMN()&lt;=8,'表75 基于报案年的准备金支付率'!B4,0.5)</f>
        <v>0.33800000000000002</v>
      </c>
      <c r="C4" s="43">
        <f>IF(ROW()+COLUMN()&lt;=8,'表75 基于报案年的准备金支付率'!C4,0.5)</f>
        <v>0.437</v>
      </c>
      <c r="D4" s="43">
        <f>IF(ROW()+COLUMN()&lt;=8,'表75 基于报案年的准备金支付率'!D4,0.5)</f>
        <v>0.50900000000000001</v>
      </c>
      <c r="E4" s="43">
        <v>0.5</v>
      </c>
      <c r="F4" s="73">
        <v>1</v>
      </c>
    </row>
    <row r="5" spans="1:6" ht="15.6">
      <c r="A5" s="39" t="s">
        <v>88</v>
      </c>
      <c r="B5" s="43">
        <f>IF(ROW()+COLUMN()&lt;=8,'表75 基于报案年的准备金支付率'!B5,0.5)</f>
        <v>0.40789999999999998</v>
      </c>
      <c r="C5" s="43">
        <f>IF(ROW()+COLUMN()&lt;=8,'表75 基于报案年的准备金支付率'!C5,0.5)</f>
        <v>0.4577</v>
      </c>
      <c r="D5" s="43">
        <v>0.5</v>
      </c>
      <c r="E5" s="43">
        <v>0.5</v>
      </c>
      <c r="F5" s="73">
        <v>1</v>
      </c>
    </row>
    <row r="6" spans="1:6" ht="15.6">
      <c r="A6" s="39" t="s">
        <v>87</v>
      </c>
      <c r="B6" s="43">
        <f>IF(ROW()+COLUMN()&lt;=8,'表75 基于报案年的准备金支付率'!B6,0.5)</f>
        <v>0.37759999999999999</v>
      </c>
      <c r="C6" s="43">
        <v>0.5</v>
      </c>
      <c r="D6" s="43">
        <v>0.5</v>
      </c>
      <c r="E6" s="43">
        <v>0.5</v>
      </c>
      <c r="F6" s="73">
        <v>1</v>
      </c>
    </row>
    <row r="7" spans="1:6" ht="15.6">
      <c r="A7" s="39" t="s">
        <v>128</v>
      </c>
      <c r="B7" s="43">
        <f>0.38</f>
        <v>0.38</v>
      </c>
      <c r="C7" s="43">
        <v>0.5</v>
      </c>
      <c r="D7" s="43">
        <v>0.5</v>
      </c>
      <c r="E7" s="43">
        <v>0.5</v>
      </c>
      <c r="F7" s="73">
        <v>1</v>
      </c>
    </row>
  </sheetData>
  <mergeCells count="2">
    <mergeCell ref="A1:A2"/>
    <mergeCell ref="B1:F1"/>
  </mergeCells>
  <phoneticPr fontId="3" type="noConversion"/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9864B-886D-43A7-9615-72197D46CF6E}">
  <dimension ref="A1:E7"/>
  <sheetViews>
    <sheetView workbookViewId="0">
      <selection sqref="A1:A2"/>
    </sheetView>
  </sheetViews>
  <sheetFormatPr defaultRowHeight="14.4"/>
  <cols>
    <col min="1" max="1" width="12.88671875" bestFit="1" customWidth="1"/>
    <col min="2" max="2" width="9.33203125" bestFit="1" customWidth="1"/>
  </cols>
  <sheetData>
    <row r="1" spans="1:5" ht="15.6">
      <c r="A1" s="65" t="s">
        <v>130</v>
      </c>
      <c r="B1" s="64" t="s">
        <v>101</v>
      </c>
      <c r="C1" s="64"/>
      <c r="D1" s="64"/>
      <c r="E1" s="64"/>
    </row>
    <row r="2" spans="1:5" ht="15.6">
      <c r="A2" s="66"/>
      <c r="B2" s="39">
        <v>1</v>
      </c>
      <c r="C2" s="39">
        <v>2</v>
      </c>
      <c r="D2" s="39">
        <v>3</v>
      </c>
      <c r="E2" s="39">
        <v>4</v>
      </c>
    </row>
    <row r="3" spans="1:5" ht="15.6">
      <c r="A3" s="39" t="s">
        <v>110</v>
      </c>
      <c r="B3" s="43">
        <f>IF('表73 基于报案年的已报案未决赔款准备金'!C3="","",ROUND('表73 基于报案年的已报案未决赔款准备金'!C3/'表73 基于报案年的已报案未决赔款准备金'!B3,4))</f>
        <v>0.68310000000000004</v>
      </c>
      <c r="C3" s="43">
        <f>IF('表73 基于报案年的已报案未决赔款准备金'!D3="","",ROUND('表73 基于报案年的已报案未决赔款准备金'!D3/'表73 基于报案年的已报案未决赔款准备金'!C3,4))</f>
        <v>0.58950000000000002</v>
      </c>
      <c r="D3" s="43">
        <f>IF('表73 基于报案年的已报案未决赔款准备金'!E3="","",ROUND('表73 基于报案年的已报案未决赔款准备金'!E3/'表73 基于报案年的已报案未决赔款准备金'!D3,4))</f>
        <v>0.50980000000000003</v>
      </c>
      <c r="E3" s="43">
        <f>IF('表73 基于报案年的已报案未决赔款准备金'!F3="","",ROUND('表73 基于报案年的已报案未决赔款准备金'!F3/'表73 基于报案年的已报案未决赔款准备金'!E3,4))</f>
        <v>0.52080000000000004</v>
      </c>
    </row>
    <row r="4" spans="1:5" ht="15.6">
      <c r="A4" s="39" t="s">
        <v>89</v>
      </c>
      <c r="B4" s="43">
        <f>IF('表73 基于报案年的已报案未决赔款准备金'!C4="","",ROUND('表73 基于报案年的已报案未决赔款准备金'!C4/'表73 基于报案年的已报案未决赔款准备金'!B4,4))</f>
        <v>0.6855</v>
      </c>
      <c r="C4" s="43">
        <f>IF('表73 基于报案年的已报案未决赔款准备金'!D4="","",ROUND('表73 基于报案年的已报案未决赔款准备金'!D4/'表73 基于报案年的已报案未决赔款准备金'!C4,4))</f>
        <v>0.57969999999999999</v>
      </c>
      <c r="D4" s="43">
        <f>IF('表73 基于报案年的已报案未决赔款准备金'!E4="","",ROUND('表73 基于报案年的已报案未决赔款准备金'!E4/'表73 基于报案年的已报案未决赔款准备金'!D4,4))</f>
        <v>0.53720000000000001</v>
      </c>
      <c r="E4" s="43" t="str">
        <f>IF('表73 基于报案年的已报案未决赔款准备金'!F4="","",ROUND('表73 基于报案年的已报案未决赔款准备金'!F4/'表73 基于报案年的已报案未决赔款准备金'!E4,4))</f>
        <v/>
      </c>
    </row>
    <row r="5" spans="1:5" ht="15.6">
      <c r="A5" s="39" t="s">
        <v>88</v>
      </c>
      <c r="B5" s="43">
        <f>IF('表73 基于报案年的已报案未决赔款准备金'!C5="","",ROUND('表73 基于报案年的已报案未决赔款准备金'!C5/'表73 基于报案年的已报案未决赔款准备金'!B5,4))</f>
        <v>0.68869999999999998</v>
      </c>
      <c r="C5" s="43">
        <f>IF('表73 基于报案年的已报案未决赔款准备金'!D5="","",ROUND('表73 基于报案年的已报案未决赔款准备金'!D5/'表73 基于报案年的已报案未决赔款准备金'!C5,4))</f>
        <v>0.54759999999999998</v>
      </c>
      <c r="D5" s="43" t="str">
        <f>IF('表73 基于报案年的已报案未决赔款准备金'!E5="","",ROUND('表73 基于报案年的已报案未决赔款准备金'!E5/'表73 基于报案年的已报案未决赔款准备金'!D5,4))</f>
        <v/>
      </c>
      <c r="E5" s="43" t="str">
        <f>IF('表73 基于报案年的已报案未决赔款准备金'!F5="","",ROUND('表73 基于报案年的已报案未决赔款准备金'!F5/'表73 基于报案年的已报案未决赔款准备金'!E5,4))</f>
        <v/>
      </c>
    </row>
    <row r="6" spans="1:5" ht="15.6">
      <c r="A6" s="39" t="s">
        <v>87</v>
      </c>
      <c r="B6" s="43">
        <f>IF('表73 基于报案年的已报案未决赔款准备金'!C6="","",ROUND('表73 基于报案年的已报案未决赔款准备金'!C6/'表73 基于报案年的已报案未决赔款准备金'!B6,4))</f>
        <v>0.7006</v>
      </c>
      <c r="C6" s="43" t="str">
        <f>IF('表73 基于报案年的已报案未决赔款准备金'!D6="","",ROUND('表73 基于报案年的已报案未决赔款准备金'!D6/'表73 基于报案年的已报案未决赔款准备金'!C6,4))</f>
        <v/>
      </c>
      <c r="D6" s="43" t="str">
        <f>IF('表73 基于报案年的已报案未决赔款准备金'!E6="","",ROUND('表73 基于报案年的已报案未决赔款准备金'!E6/'表73 基于报案年的已报案未决赔款准备金'!D6,4))</f>
        <v/>
      </c>
      <c r="E6" s="43" t="str">
        <f>IF('表73 基于报案年的已报案未决赔款准备金'!F6="","",ROUND('表73 基于报案年的已报案未决赔款准备金'!F6/'表73 基于报案年的已报案未决赔款准备金'!E6,4))</f>
        <v/>
      </c>
    </row>
    <row r="7" spans="1:5" ht="15.6">
      <c r="A7" s="72" t="s">
        <v>127</v>
      </c>
      <c r="B7" s="74">
        <f>ROUND(AVERAGE(B3:B6),4)</f>
        <v>0.6895</v>
      </c>
      <c r="C7" s="74">
        <f t="shared" ref="C7:E7" si="0">ROUND(AVERAGE(C3:C6),4)</f>
        <v>0.57230000000000003</v>
      </c>
      <c r="D7" s="74">
        <f t="shared" si="0"/>
        <v>0.52349999999999997</v>
      </c>
      <c r="E7" s="74">
        <f t="shared" si="0"/>
        <v>0.52080000000000004</v>
      </c>
    </row>
  </sheetData>
  <mergeCells count="2">
    <mergeCell ref="A1:A2"/>
    <mergeCell ref="B1:E1"/>
  </mergeCells>
  <phoneticPr fontId="3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9E56-1282-4E69-8049-DAA82912F4FC}">
  <dimension ref="A1:F7"/>
  <sheetViews>
    <sheetView workbookViewId="0">
      <selection activeCell="E4" sqref="E4"/>
    </sheetView>
  </sheetViews>
  <sheetFormatPr defaultRowHeight="14.4"/>
  <cols>
    <col min="1" max="1" width="11.6640625" bestFit="1" customWidth="1"/>
    <col min="2" max="6" width="9.33203125" bestFit="1" customWidth="1"/>
  </cols>
  <sheetData>
    <row r="1" spans="1:6" ht="15.6">
      <c r="A1" s="65" t="s">
        <v>130</v>
      </c>
      <c r="B1" s="64" t="s">
        <v>101</v>
      </c>
      <c r="C1" s="64"/>
      <c r="D1" s="64"/>
      <c r="E1" s="64"/>
      <c r="F1" s="64"/>
    </row>
    <row r="2" spans="1:6" ht="15.6">
      <c r="A2" s="66"/>
      <c r="B2" s="39">
        <v>1</v>
      </c>
      <c r="C2" s="39">
        <v>2</v>
      </c>
      <c r="D2" s="39">
        <v>3</v>
      </c>
      <c r="E2" s="39">
        <v>4</v>
      </c>
      <c r="F2" s="72" t="s">
        <v>129</v>
      </c>
    </row>
    <row r="3" spans="1:6" ht="15.6">
      <c r="A3" s="39" t="s">
        <v>110</v>
      </c>
      <c r="B3" s="43">
        <v>0.68310000000000004</v>
      </c>
      <c r="C3" s="43">
        <v>0.58950000000000002</v>
      </c>
      <c r="D3" s="43">
        <v>0.50980000000000003</v>
      </c>
      <c r="E3" s="75">
        <v>0.52080000000000004</v>
      </c>
      <c r="F3" s="74">
        <v>0</v>
      </c>
    </row>
    <row r="4" spans="1:6" ht="15.6">
      <c r="A4" s="39" t="s">
        <v>89</v>
      </c>
      <c r="B4" s="43">
        <v>0.6855</v>
      </c>
      <c r="C4" s="43">
        <v>0.57969999999999999</v>
      </c>
      <c r="D4" s="75">
        <v>0.53720000000000001</v>
      </c>
      <c r="E4" s="43">
        <v>0.6</v>
      </c>
      <c r="F4" s="74">
        <v>0</v>
      </c>
    </row>
    <row r="5" spans="1:6" ht="15.6">
      <c r="A5" s="39" t="s">
        <v>88</v>
      </c>
      <c r="B5" s="43">
        <v>0.68869999999999998</v>
      </c>
      <c r="C5" s="75">
        <v>0.54759999999999998</v>
      </c>
      <c r="D5" s="43">
        <v>0.53</v>
      </c>
      <c r="E5" s="43">
        <v>0.6</v>
      </c>
      <c r="F5" s="74">
        <v>0</v>
      </c>
    </row>
    <row r="6" spans="1:6" ht="15.6">
      <c r="A6" s="39" t="s">
        <v>87</v>
      </c>
      <c r="B6" s="75">
        <v>0.7006</v>
      </c>
      <c r="C6" s="43">
        <v>0.63500000000000001</v>
      </c>
      <c r="D6" s="43">
        <v>0.53</v>
      </c>
      <c r="E6" s="43">
        <v>0.6</v>
      </c>
      <c r="F6" s="74">
        <v>0</v>
      </c>
    </row>
    <row r="7" spans="1:6" ht="15.6">
      <c r="A7" s="39" t="s">
        <v>128</v>
      </c>
      <c r="B7" s="43">
        <v>0.72</v>
      </c>
      <c r="C7" s="43">
        <v>0.63500000000000001</v>
      </c>
      <c r="D7" s="43">
        <v>0.53</v>
      </c>
      <c r="E7" s="43">
        <v>0.6</v>
      </c>
      <c r="F7" s="74">
        <v>0</v>
      </c>
    </row>
  </sheetData>
  <mergeCells count="2">
    <mergeCell ref="A1:A2"/>
    <mergeCell ref="B1:F1"/>
  </mergeCells>
  <phoneticPr fontId="3" type="noConversion"/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66E54-8D44-4C8F-B246-7BECF1878E6D}">
  <dimension ref="A1:F7"/>
  <sheetViews>
    <sheetView workbookViewId="0">
      <selection sqref="A1:A2"/>
    </sheetView>
  </sheetViews>
  <sheetFormatPr defaultRowHeight="14.4"/>
  <cols>
    <col min="1" max="1" width="11.6640625" bestFit="1" customWidth="1"/>
    <col min="2" max="5" width="9.33203125" bestFit="1" customWidth="1"/>
  </cols>
  <sheetData>
    <row r="1" spans="1:6" ht="15.6">
      <c r="A1" s="65" t="s">
        <v>130</v>
      </c>
      <c r="B1" s="64" t="s">
        <v>101</v>
      </c>
      <c r="C1" s="64"/>
      <c r="D1" s="64"/>
      <c r="E1" s="64"/>
      <c r="F1" s="64"/>
    </row>
    <row r="2" spans="1:6" ht="15.6">
      <c r="A2" s="66"/>
      <c r="B2" s="39">
        <v>1</v>
      </c>
      <c r="C2" s="39">
        <v>2</v>
      </c>
      <c r="D2" s="39">
        <v>3</v>
      </c>
      <c r="E2" s="39">
        <v>4</v>
      </c>
      <c r="F2" s="72" t="s">
        <v>129</v>
      </c>
    </row>
    <row r="3" spans="1:6" ht="15.6">
      <c r="A3" s="39" t="s">
        <v>110</v>
      </c>
      <c r="B3" s="43">
        <f>'表76 未来准备金支付率的估计值'!B3+'表78 未来准备金结转率的估计值'!B3</f>
        <v>1.0275000000000001</v>
      </c>
      <c r="C3" s="43">
        <f>'表76 未来准备金支付率的估计值'!C3+'表78 未来准备金结转率的估计值'!C3</f>
        <v>1.0322</v>
      </c>
      <c r="D3" s="43">
        <f>'表76 未来准备金支付率的估计值'!D3+'表78 未来准备金结转率的估计值'!D3</f>
        <v>0.94530000000000003</v>
      </c>
      <c r="E3" s="75">
        <f>'表76 未来准备金支付率的估计值'!E3+'表78 未来准备金结转率的估计值'!E3</f>
        <v>1.1374</v>
      </c>
      <c r="F3" s="43">
        <f>'表76 未来准备金支付率的估计值'!F3+'表78 未来准备金结转率的估计值'!F3</f>
        <v>1</v>
      </c>
    </row>
    <row r="4" spans="1:6" ht="15.6">
      <c r="A4" s="39" t="s">
        <v>89</v>
      </c>
      <c r="B4" s="43">
        <f>'表76 未来准备金支付率的估计值'!B4+'表78 未来准备金结转率的估计值'!B4</f>
        <v>1.0235000000000001</v>
      </c>
      <c r="C4" s="43">
        <f>'表76 未来准备金支付率的估计值'!C4+'表78 未来准备金结转率的估计值'!C4</f>
        <v>1.0166999999999999</v>
      </c>
      <c r="D4" s="75">
        <f>'表76 未来准备金支付率的估计值'!D4+'表78 未来准备金结转率的估计值'!D4</f>
        <v>1.0462</v>
      </c>
      <c r="E4" s="43">
        <f>'表76 未来准备金支付率的估计值'!E4+'表78 未来准备金结转率的估计值'!E4</f>
        <v>1.1000000000000001</v>
      </c>
      <c r="F4" s="43">
        <f>'表76 未来准备金支付率的估计值'!F4+'表78 未来准备金结转率的估计值'!F4</f>
        <v>1</v>
      </c>
    </row>
    <row r="5" spans="1:6" ht="15.6">
      <c r="A5" s="39" t="s">
        <v>88</v>
      </c>
      <c r="B5" s="43">
        <f>'表76 未来准备金支付率的估计值'!B5+'表78 未来准备金结转率的估计值'!B5</f>
        <v>1.0966</v>
      </c>
      <c r="C5" s="75">
        <f>'表76 未来准备金支付率的估计值'!C5+'表78 未来准备金结转率的估计值'!C5</f>
        <v>1.0053000000000001</v>
      </c>
      <c r="D5" s="43">
        <f>'表76 未来准备金支付率的估计值'!D5+'表78 未来准备金结转率的估计值'!D5</f>
        <v>1.03</v>
      </c>
      <c r="E5" s="43">
        <f>'表76 未来准备金支付率的估计值'!E5+'表78 未来准备金结转率的估计值'!E5</f>
        <v>1.1000000000000001</v>
      </c>
      <c r="F5" s="43">
        <f>'表76 未来准备金支付率的估计值'!F5+'表78 未来准备金结转率的估计值'!F5</f>
        <v>1</v>
      </c>
    </row>
    <row r="6" spans="1:6" ht="15.6">
      <c r="A6" s="39" t="s">
        <v>87</v>
      </c>
      <c r="B6" s="75">
        <f>'表76 未来准备金支付率的估计值'!B6+'表78 未来准备金结转率的估计值'!B6</f>
        <v>1.0782</v>
      </c>
      <c r="C6" s="43">
        <f>'表76 未来准备金支付率的估计值'!C6+'表78 未来准备金结转率的估计值'!C6</f>
        <v>1.135</v>
      </c>
      <c r="D6" s="43">
        <f>'表76 未来准备金支付率的估计值'!D6+'表78 未来准备金结转率的估计值'!D6</f>
        <v>1.03</v>
      </c>
      <c r="E6" s="43">
        <f>'表76 未来准备金支付率的估计值'!E6+'表78 未来准备金结转率的估计值'!E6</f>
        <v>1.1000000000000001</v>
      </c>
      <c r="F6" s="43">
        <f>'表76 未来准备金支付率的估计值'!F6+'表78 未来准备金结转率的估计值'!F6</f>
        <v>1</v>
      </c>
    </row>
    <row r="7" spans="1:6" ht="15.6">
      <c r="A7" s="39" t="s">
        <v>128</v>
      </c>
      <c r="B7" s="43">
        <f>'表76 未来准备金支付率的估计值'!B7+'表78 未来准备金结转率的估计值'!B7</f>
        <v>1.1000000000000001</v>
      </c>
      <c r="C7" s="43">
        <f>'表76 未来准备金支付率的估计值'!C7+'表78 未来准备金结转率的估计值'!C7</f>
        <v>1.135</v>
      </c>
      <c r="D7" s="43">
        <f>'表76 未来准备金支付率的估计值'!D7+'表78 未来准备金结转率的估计值'!D7</f>
        <v>1.03</v>
      </c>
      <c r="E7" s="43">
        <f>'表76 未来准备金支付率的估计值'!E7+'表78 未来准备金结转率的估计值'!E7</f>
        <v>1.1000000000000001</v>
      </c>
      <c r="F7" s="43">
        <f>'表76 未来准备金支付率的估计值'!F7+'表78 未来准备金结转率的估计值'!F7</f>
        <v>1</v>
      </c>
    </row>
  </sheetData>
  <mergeCells count="2">
    <mergeCell ref="A1:A2"/>
    <mergeCell ref="B1:F1"/>
  </mergeCells>
  <phoneticPr fontId="3" type="noConversion"/>
  <pageMargins left="0.7" right="0.7" top="0.75" bottom="0.75" header="0.3" footer="0.3"/>
  <legacy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34CA-B831-403A-82F0-EE5F9121345D}">
  <dimension ref="A1:G7"/>
  <sheetViews>
    <sheetView workbookViewId="0">
      <selection activeCell="C4" sqref="C4"/>
    </sheetView>
  </sheetViews>
  <sheetFormatPr defaultRowHeight="14.4"/>
  <cols>
    <col min="1" max="1" width="11.6640625" bestFit="1" customWidth="1"/>
  </cols>
  <sheetData>
    <row r="1" spans="1:7" ht="15.6">
      <c r="A1" s="65" t="s">
        <v>130</v>
      </c>
      <c r="B1" s="64" t="s">
        <v>101</v>
      </c>
      <c r="C1" s="64"/>
      <c r="D1" s="64"/>
      <c r="E1" s="64"/>
      <c r="F1" s="64"/>
      <c r="G1" s="64"/>
    </row>
    <row r="2" spans="1:7" ht="15.6">
      <c r="A2" s="66"/>
      <c r="B2" s="39">
        <v>0</v>
      </c>
      <c r="C2" s="39">
        <v>1</v>
      </c>
      <c r="D2" s="39">
        <v>2</v>
      </c>
      <c r="E2" s="39">
        <v>3</v>
      </c>
      <c r="F2" s="39">
        <v>4</v>
      </c>
      <c r="G2" s="35" t="s">
        <v>129</v>
      </c>
    </row>
    <row r="3" spans="1:7" ht="15.6">
      <c r="A3" s="39" t="s">
        <v>110</v>
      </c>
      <c r="B3" s="39">
        <f>IF(ROW()+COLUMN()&lt;=9,'表73 基于报案年的已报案未决赔款准备金'!B3,ROUND(A3*'表78 未来准备金结转率的估计值'!A3,0))</f>
        <v>46757</v>
      </c>
      <c r="C3" s="39">
        <f>IF(ROW()+COLUMN()&lt;=9,'表73 基于报案年的已报案未决赔款准备金'!C3,ROUND(B3*'表78 未来准备金结转率的估计值'!B3,0))</f>
        <v>31940</v>
      </c>
      <c r="D3" s="39">
        <f>IF(ROW()+COLUMN()&lt;=9,'表73 基于报案年的已报案未决赔款准备金'!D3,ROUND(C3*'表78 未来准备金结转率的估计值'!C3,0))</f>
        <v>18830</v>
      </c>
      <c r="E3" s="39">
        <f>IF(ROW()+COLUMN()&lt;=9,'表73 基于报案年的已报案未决赔款准备金'!E3,ROUND(D3*'表78 未来准备金结转率的估计值'!D3,0))</f>
        <v>9600</v>
      </c>
      <c r="F3" s="76">
        <f>IF(ROW()+COLUMN()&lt;=9,'表73 基于报案年的已报案未决赔款准备金'!F3,ROUND(E3*'表78 未来准备金结转率的估计值'!E3,0))</f>
        <v>5000</v>
      </c>
      <c r="G3" s="35">
        <f>F3*'表78 未来准备金结转率的估计值'!F3</f>
        <v>0</v>
      </c>
    </row>
    <row r="4" spans="1:7" ht="15.6">
      <c r="A4" s="39" t="s">
        <v>89</v>
      </c>
      <c r="B4" s="39">
        <f>IF(ROW()+COLUMN()&lt;=9,'表73 基于报案年的已报案未决赔款准备金'!B4,ROUND(A4*'表78 未来准备金结转率的估计值'!A4,0))</f>
        <v>53402</v>
      </c>
      <c r="C4" s="39">
        <f>IF(ROW()+COLUMN()&lt;=9,'表73 基于报案年的已报案未决赔款准备金'!C4,ROUND(B4*'表78 未来准备金结转率的估计值'!B4,0))</f>
        <v>36607</v>
      </c>
      <c r="D4" s="39">
        <f>IF(ROW()+COLUMN()&lt;=9,'表73 基于报案年的已报案未决赔款准备金'!D4,ROUND(C4*'表78 未来准备金结转率的估计值'!C4,0))</f>
        <v>21220</v>
      </c>
      <c r="E4" s="76">
        <f>IF(ROW()+COLUMN()&lt;=9,'表73 基于报案年的已报案未决赔款准备金'!E4,ROUND(D4*'表78 未来准备金结转率的估计值'!D4,0))</f>
        <v>11400</v>
      </c>
      <c r="F4" s="39">
        <f>IF(ROW()+COLUMN()&lt;=9,'表73 基于报案年的已报案未决赔款准备金'!F4,ROUND(E4*'表78 未来准备金结转率的估计值'!E4,0))</f>
        <v>6840</v>
      </c>
      <c r="G4" s="35">
        <f>F4*'表78 未来准备金结转率的估计值'!F4</f>
        <v>0</v>
      </c>
    </row>
    <row r="5" spans="1:7" ht="15.6">
      <c r="A5" s="39" t="s">
        <v>88</v>
      </c>
      <c r="B5" s="39">
        <f>IF(ROW()+COLUMN()&lt;=9,'表73 基于报案年的已报案未决赔款准备金'!B5,ROUND(A5*'表78 未来准备金结转率的估计值'!A5,0))</f>
        <v>41800</v>
      </c>
      <c r="C5" s="39">
        <f>IF(ROW()+COLUMN()&lt;=9,'表73 基于报案年的已报案未决赔款准备金'!C5,ROUND(B5*'表78 未来准备金结转率的估计值'!B5,0))</f>
        <v>28789</v>
      </c>
      <c r="D5" s="76">
        <f>IF(ROW()+COLUMN()&lt;=9,'表73 基于报案年的已报案未决赔款准备金'!D5,ROUND(C5*'表78 未来准备金结转率的估计值'!C5,0))</f>
        <v>15765</v>
      </c>
      <c r="E5" s="39">
        <f>IF(ROW()+COLUMN()&lt;=9,'表73 基于报案年的已报案未决赔款准备金'!E5,ROUND(D5*'表78 未来准备金结转率的估计值'!D5,0))</f>
        <v>8355</v>
      </c>
      <c r="F5" s="39">
        <f>IF(ROW()+COLUMN()&lt;=9,'表73 基于报案年的已报案未决赔款准备金'!F5,ROUND(E5*'表78 未来准备金结转率的估计值'!E5,0))</f>
        <v>5013</v>
      </c>
      <c r="G5" s="35">
        <f>F5*'表78 未来准备金结转率的估计值'!F5</f>
        <v>0</v>
      </c>
    </row>
    <row r="6" spans="1:7" ht="15.6">
      <c r="A6" s="39" t="s">
        <v>87</v>
      </c>
      <c r="B6" s="39">
        <f>IF(ROW()+COLUMN()&lt;=9,'表73 基于报案年的已报案未决赔款准备金'!B6,ROUND(A6*'表78 未来准备金结转率的估计值'!A6,0))</f>
        <v>40338</v>
      </c>
      <c r="C6" s="76">
        <f>IF(ROW()+COLUMN()&lt;=9,'表73 基于报案年的已报案未决赔款准备金'!C6,ROUND(B6*'表78 未来准备金结转率的估计值'!B6,0))</f>
        <v>28262</v>
      </c>
      <c r="D6" s="39">
        <f>IF(ROW()+COLUMN()&lt;=9,'表73 基于报案年的已报案未决赔款准备金'!D6,ROUND(C6*'表78 未来准备金结转率的估计值'!C6,0))</f>
        <v>17946</v>
      </c>
      <c r="E6" s="39">
        <f>IF(ROW()+COLUMN()&lt;=9,'表73 基于报案年的已报案未决赔款准备金'!E6,ROUND(D6*'表78 未来准备金结转率的估计值'!D6,0))</f>
        <v>9511</v>
      </c>
      <c r="F6" s="39">
        <f>IF(ROW()+COLUMN()&lt;=9,'表73 基于报案年的已报案未决赔款准备金'!F6,ROUND(E6*'表78 未来准备金结转率的估计值'!E6,0))</f>
        <v>5707</v>
      </c>
      <c r="G6" s="35">
        <f>F6*'表78 未来准备金结转率的估计值'!F6</f>
        <v>0</v>
      </c>
    </row>
    <row r="7" spans="1:7" ht="15.6">
      <c r="A7" s="39" t="s">
        <v>86</v>
      </c>
      <c r="B7" s="76">
        <f>IF(ROW()+COLUMN()&lt;=9,'表73 基于报案年的已报案未决赔款准备金'!B7,ROUND(A7*'表78 未来准备金结转率的估计值'!A7,0))</f>
        <v>47589</v>
      </c>
      <c r="C7" s="39">
        <f>IF(ROW()+COLUMN()&lt;=9,'表73 基于报案年的已报案未决赔款准备金'!C7,ROUND(B7*'表78 未来准备金结转率的估计值'!B7,0))</f>
        <v>34264</v>
      </c>
      <c r="D7" s="39">
        <f>IF(ROW()+COLUMN()&lt;=9,'表73 基于报案年的已报案未决赔款准备金'!D7,ROUND(C7*'表78 未来准备金结转率的估计值'!C7,0))</f>
        <v>21758</v>
      </c>
      <c r="E7" s="39">
        <f>IF(ROW()+COLUMN()&lt;=9,'表73 基于报案年的已报案未决赔款准备金'!E7,ROUND(D7*'表78 未来准备金结转率的估计值'!D7,0))</f>
        <v>11532</v>
      </c>
      <c r="F7" s="39">
        <f>IF(ROW()+COLUMN()&lt;=9,'表73 基于报案年的已报案未决赔款准备金'!F7,ROUND(E7*'表78 未来准备金结转率的估计值'!E7,0))</f>
        <v>6919</v>
      </c>
      <c r="G7" s="35">
        <f>F7*'表78 未来准备金结转率的估计值'!F7</f>
        <v>0</v>
      </c>
    </row>
  </sheetData>
  <mergeCells count="2">
    <mergeCell ref="A1:A2"/>
    <mergeCell ref="B1:G1"/>
  </mergeCells>
  <phoneticPr fontId="3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D62F4-52E3-476A-AD49-0120A3DBB225}">
  <dimension ref="A1:G7"/>
  <sheetViews>
    <sheetView workbookViewId="0">
      <selection sqref="A1:A2"/>
    </sheetView>
  </sheetViews>
  <sheetFormatPr defaultRowHeight="14.4"/>
  <cols>
    <col min="1" max="1" width="15.77734375" customWidth="1"/>
    <col min="2" max="6" width="7.109375" bestFit="1" customWidth="1"/>
    <col min="7" max="7" width="8.21875" bestFit="1" customWidth="1"/>
  </cols>
  <sheetData>
    <row r="1" spans="1:7" ht="15.6">
      <c r="A1" s="65" t="s">
        <v>130</v>
      </c>
      <c r="B1" s="64" t="s">
        <v>101</v>
      </c>
      <c r="C1" s="64"/>
      <c r="D1" s="64"/>
      <c r="E1" s="64"/>
      <c r="F1" s="64"/>
      <c r="G1" s="64"/>
    </row>
    <row r="2" spans="1:7" ht="15.6">
      <c r="A2" s="66"/>
      <c r="B2" s="39">
        <v>0</v>
      </c>
      <c r="C2" s="39">
        <v>1</v>
      </c>
      <c r="D2" s="39">
        <v>2</v>
      </c>
      <c r="E2" s="39">
        <v>3</v>
      </c>
      <c r="F2" s="39">
        <v>4</v>
      </c>
      <c r="G2" s="35" t="s">
        <v>129</v>
      </c>
    </row>
    <row r="3" spans="1:7" ht="15.6">
      <c r="A3" s="39" t="s">
        <v>110</v>
      </c>
      <c r="B3" s="39">
        <f>IF(ROW()+COLUMN()&lt;=9,'表74 基于报案年的增量已付赔款'!B3,ROUND('表80 各报案年已发生已报案未决赔款准备金的估计'!A3*'表76 未来准备金支付率的估计值'!A3,0))</f>
        <v>29989</v>
      </c>
      <c r="C3" s="39">
        <f>IF(ROW()+COLUMN()&lt;=9,'表74 基于报案年的增量已付赔款'!C3,ROUND('表80 各报案年已发生已报案未决赔款准备金的估计'!B3*'表76 未来准备金支付率的估计值'!B3,0))</f>
        <v>16101</v>
      </c>
      <c r="D3" s="39">
        <f>IF(ROW()+COLUMN()&lt;=9,'表74 基于报案年的增量已付赔款'!D3,ROUND('表80 各报案年已发生已报案未决赔款准备金的估计'!C3*'表76 未来准备金支付率的估计值'!C3,0))</f>
        <v>14140</v>
      </c>
      <c r="E3" s="39">
        <f>IF(ROW()+COLUMN()&lt;=9,'表74 基于报案年的增量已付赔款'!E3,ROUND('表80 各报案年已发生已报案未决赔款准备金的估计'!D3*'表76 未来准备金支付率的估计值'!D3,0))</f>
        <v>8200</v>
      </c>
      <c r="F3" s="76">
        <f>IF(ROW()+COLUMN()&lt;=9,'表74 基于报案年的增量已付赔款'!F3,ROUND('表80 各报案年已发生已报案未决赔款准备金的估计'!E3*'表76 未来准备金支付率的估计值'!E3,0))</f>
        <v>5919</v>
      </c>
      <c r="G3" s="35">
        <f>'表80 各报案年已发生已报案未决赔款准备金的估计'!F3*'表76 未来准备金支付率的估计值'!F3</f>
        <v>5000</v>
      </c>
    </row>
    <row r="4" spans="1:7" ht="15.6">
      <c r="A4" s="39" t="s">
        <v>89</v>
      </c>
      <c r="B4" s="39">
        <f>IF(ROW()+COLUMN()&lt;=9,'表74 基于报案年的增量已付赔款'!B4,ROUND('表80 各报案年已发生已报案未决赔款准备金的估计'!A4*'表76 未来准备金支付率的估计值'!A4,0))</f>
        <v>29420</v>
      </c>
      <c r="C4" s="39">
        <f>IF(ROW()+COLUMN()&lt;=9,'表74 基于报案年的增量已付赔款'!C4,ROUND('表80 各报案年已发生已报案未决赔款准备金的估计'!B4*'表76 未来准备金支付率的估计值'!B4,0))</f>
        <v>18049</v>
      </c>
      <c r="D4" s="39">
        <f>IF(ROW()+COLUMN()&lt;=9,'表74 基于报案年的增量已付赔款'!D4,ROUND('表80 各报案年已发生已报案未决赔款准备金的估计'!C4*'表76 未来准备金支付率的估计值'!C4,0))</f>
        <v>15999</v>
      </c>
      <c r="E4" s="76">
        <f>IF(ROW()+COLUMN()&lt;=9,'表74 基于报案年的增量已付赔款'!E4,ROUND('表80 各报案年已发生已报案未决赔款准备金的估计'!D4*'表76 未来准备金支付率的估计值'!D4,0))</f>
        <v>10801</v>
      </c>
      <c r="F4" s="39">
        <f>IF(ROW()+COLUMN()&lt;=9,'表74 基于报案年的增量已付赔款'!F4,ROUND('表80 各报案年已发生已报案未决赔款准备金的估计'!E4*'表76 未来准备金支付率的估计值'!E4,0))</f>
        <v>5700</v>
      </c>
      <c r="G4" s="35">
        <f>'表80 各报案年已发生已报案未决赔款准备金的估计'!F4*'表76 未来准备金支付率的估计值'!F4</f>
        <v>6840</v>
      </c>
    </row>
    <row r="5" spans="1:7" ht="15.6">
      <c r="A5" s="39" t="s">
        <v>88</v>
      </c>
      <c r="B5" s="39">
        <f>IF(ROW()+COLUMN()&lt;=9,'表74 基于报案年的增量已付赔款'!B5,ROUND('表80 各报案年已发生已报案未决赔款准备金的估计'!A5*'表76 未来准备金支付率的估计值'!A5,0))</f>
        <v>26598</v>
      </c>
      <c r="C5" s="39">
        <f>IF(ROW()+COLUMN()&lt;=9,'表74 基于报案年的增量已付赔款'!C5,ROUND('表80 各报案年已发生已报案未决赔款准备金的估计'!B5*'表76 未来准备金支付率的估计值'!B5,0))</f>
        <v>17049</v>
      </c>
      <c r="D5" s="76">
        <f>IF(ROW()+COLUMN()&lt;=9,'表74 基于报案年的增量已付赔款'!D5,ROUND('表80 各报案年已发生已报案未决赔款准备金的估计'!C5*'表76 未来准备金支付率的估计值'!C5,0))</f>
        <v>13178</v>
      </c>
      <c r="E5" s="39">
        <f>IF(ROW()+COLUMN()&lt;=9,'表74 基于报案年的增量已付赔款'!E5,ROUND('表80 各报案年已发生已报案未决赔款准备金的估计'!D5*'表76 未来准备金支付率的估计值'!D5,0))</f>
        <v>7883</v>
      </c>
      <c r="F5" s="39">
        <f>IF(ROW()+COLUMN()&lt;=9,'表74 基于报案年的增量已付赔款'!F5,ROUND('表80 各报案年已发生已报案未决赔款准备金的估计'!E5*'表76 未来准备金支付率的估计值'!E5,0))</f>
        <v>4178</v>
      </c>
      <c r="G5" s="35">
        <f>'表80 各报案年已发生已报案未决赔款准备金的估计'!F5*'表76 未来准备金支付率的估计值'!F5</f>
        <v>5013</v>
      </c>
    </row>
    <row r="6" spans="1:7" ht="15.6">
      <c r="A6" s="39" t="s">
        <v>87</v>
      </c>
      <c r="B6" s="39">
        <f>IF(ROW()+COLUMN()&lt;=9,'表74 基于报案年的增量已付赔款'!B6,ROUND('表80 各报案年已发生已报案未决赔款准备金的估计'!A6*'表76 未来准备金支付率的估计值'!A6,0))</f>
        <v>24981</v>
      </c>
      <c r="C6" s="76">
        <f>IF(ROW()+COLUMN()&lt;=9,'表74 基于报案年的增量已付赔款'!C6,ROUND('表80 各报案年已发生已报案未决赔款准备金的估计'!B6*'表76 未来准备金支付率的估计值'!B6,0))</f>
        <v>15231</v>
      </c>
      <c r="D6" s="39">
        <f>IF(ROW()+COLUMN()&lt;=9,'表74 基于报案年的增量已付赔款'!D6,ROUND('表80 各报案年已发生已报案未决赔款准备金的估计'!C6*'表76 未来准备金支付率的估计值'!C6,0))</f>
        <v>14131</v>
      </c>
      <c r="E6" s="39">
        <f>IF(ROW()+COLUMN()&lt;=9,'表74 基于报案年的增量已付赔款'!E6,ROUND('表80 各报案年已发生已报案未决赔款准备金的估计'!D6*'表76 未来准备金支付率的估计值'!D6,0))</f>
        <v>8973</v>
      </c>
      <c r="F6" s="39">
        <f>IF(ROW()+COLUMN()&lt;=9,'表74 基于报案年的增量已付赔款'!F6,ROUND('表80 各报案年已发生已报案未决赔款准备金的估计'!E6*'表76 未来准备金支付率的估计值'!E6,0))</f>
        <v>4756</v>
      </c>
      <c r="G6" s="35">
        <f>'表80 各报案年已发生已报案未决赔款准备金的估计'!F6*'表76 未来准备金支付率的估计值'!F6</f>
        <v>5707</v>
      </c>
    </row>
    <row r="7" spans="1:7" ht="15.6">
      <c r="A7" s="39" t="s">
        <v>86</v>
      </c>
      <c r="B7" s="76">
        <f>IF(ROW()+COLUMN()&lt;=9,'表74 基于报案年的增量已付赔款'!B7,ROUND('表80 各报案年已发生已报案未决赔款准备金的估计'!A7*'表76 未来准备金支付率的估计值'!A7,0))</f>
        <v>27545</v>
      </c>
      <c r="C7" s="39">
        <f>IF(ROW()+COLUMN()&lt;=9,'表74 基于报案年的增量已付赔款'!C7,ROUND('表80 各报案年已发生已报案未决赔款准备金的估计'!B7*'表76 未来准备金支付率的估计值'!B7,0))</f>
        <v>18084</v>
      </c>
      <c r="D7" s="39">
        <f>IF(ROW()+COLUMN()&lt;=9,'表74 基于报案年的增量已付赔款'!D7,ROUND('表80 各报案年已发生已报案未决赔款准备金的估计'!C7*'表76 未来准备金支付率的估计值'!C7,0))</f>
        <v>17132</v>
      </c>
      <c r="E7" s="39">
        <f>IF(ROW()+COLUMN()&lt;=9,'表74 基于报案年的增量已付赔款'!E7,ROUND('表80 各报案年已发生已报案未决赔款准备金的估计'!D7*'表76 未来准备金支付率的估计值'!D7,0))</f>
        <v>10879</v>
      </c>
      <c r="F7" s="39">
        <f>IF(ROW()+COLUMN()&lt;=9,'表74 基于报案年的增量已付赔款'!F7,ROUND('表80 各报案年已发生已报案未决赔款准备金的估计'!E7*'表76 未来准备金支付率的估计值'!E7,0))</f>
        <v>5766</v>
      </c>
      <c r="G7" s="35">
        <f>'表80 各报案年已发生已报案未决赔款准备金的估计'!F7*'表76 未来准备金支付率的估计值'!F7</f>
        <v>6919</v>
      </c>
    </row>
  </sheetData>
  <mergeCells count="2">
    <mergeCell ref="A1:A2"/>
    <mergeCell ref="B1:G1"/>
  </mergeCells>
  <phoneticPr fontId="3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B56AB-2D5C-4A13-8A7C-EB6EE78F481C}">
  <dimension ref="A1:G7"/>
  <sheetViews>
    <sheetView workbookViewId="0">
      <selection sqref="A1:A2"/>
    </sheetView>
  </sheetViews>
  <sheetFormatPr defaultRowHeight="14.4"/>
  <cols>
    <col min="1" max="1" width="11.6640625" bestFit="1" customWidth="1"/>
    <col min="2" max="6" width="7.109375" bestFit="1" customWidth="1"/>
    <col min="7" max="7" width="8.21875" bestFit="1" customWidth="1"/>
  </cols>
  <sheetData>
    <row r="1" spans="1:7" ht="15.6">
      <c r="A1" s="65" t="s">
        <v>130</v>
      </c>
      <c r="B1" s="64" t="s">
        <v>101</v>
      </c>
      <c r="C1" s="64"/>
      <c r="D1" s="64"/>
      <c r="E1" s="64"/>
      <c r="F1" s="64"/>
      <c r="G1" s="64"/>
    </row>
    <row r="2" spans="1:7" ht="15.6">
      <c r="A2" s="66"/>
      <c r="B2" s="39">
        <v>0</v>
      </c>
      <c r="C2" s="39">
        <v>1</v>
      </c>
      <c r="D2" s="39">
        <v>2</v>
      </c>
      <c r="E2" s="39">
        <v>3</v>
      </c>
      <c r="F2" s="39">
        <v>4</v>
      </c>
      <c r="G2" s="35" t="s">
        <v>129</v>
      </c>
    </row>
    <row r="3" spans="1:7" ht="15.6">
      <c r="A3" s="39" t="s">
        <v>110</v>
      </c>
      <c r="B3" s="39">
        <f>IF(B$2=0,'表81 各报案年已决赔款的估计值'!B3,'表82 各报案年未来累积已决赔款的估计值'!A3+'表81 各报案年已决赔款的估计值'!B3)</f>
        <v>29989</v>
      </c>
      <c r="C3" s="39">
        <f>IF(C$2=0,'表81 各报案年已决赔款的估计值'!C3,'表82 各报案年未来累积已决赔款的估计值'!B3+'表81 各报案年已决赔款的估计值'!C3)</f>
        <v>46090</v>
      </c>
      <c r="D3" s="39">
        <f>IF(D$2=0,'表81 各报案年已决赔款的估计值'!D3,'表82 各报案年未来累积已决赔款的估计值'!C3+'表81 各报案年已决赔款的估计值'!D3)</f>
        <v>60230</v>
      </c>
      <c r="E3" s="39">
        <f>IF(E$2=0,'表81 各报案年已决赔款的估计值'!E3,'表82 各报案年未来累积已决赔款的估计值'!D3+'表81 各报案年已决赔款的估计值'!E3)</f>
        <v>68430</v>
      </c>
      <c r="F3" s="39">
        <f>IF(F$2=0,'表81 各报案年已决赔款的估计值'!F3,'表82 各报案年未来累积已决赔款的估计值'!E3+'表81 各报案年已决赔款的估计值'!F3)</f>
        <v>74349</v>
      </c>
      <c r="G3" s="39">
        <f>IF(G$2=0,'表81 各报案年已决赔款的估计值'!G3,'表82 各报案年未来累积已决赔款的估计值'!F3+'表81 各报案年已决赔款的估计值'!G3)</f>
        <v>79349</v>
      </c>
    </row>
    <row r="4" spans="1:7" ht="15.6">
      <c r="A4" s="39" t="s">
        <v>89</v>
      </c>
      <c r="B4" s="39">
        <f>IF(B$2=0,'表81 各报案年已决赔款的估计值'!B4,'表82 各报案年未来累积已决赔款的估计值'!A4+'表81 各报案年已决赔款的估计值'!B4)</f>
        <v>29420</v>
      </c>
      <c r="C4" s="39">
        <f>IF(C$2=0,'表81 各报案年已决赔款的估计值'!C4,'表82 各报案年未来累积已决赔款的估计值'!B4+'表81 各报案年已决赔款的估计值'!C4)</f>
        <v>47469</v>
      </c>
      <c r="D4" s="39">
        <f>IF(D$2=0,'表81 各报案年已决赔款的估计值'!D4,'表82 各报案年未来累积已决赔款的估计值'!C4+'表81 各报案年已决赔款的估计值'!D4)</f>
        <v>63468</v>
      </c>
      <c r="E4" s="39">
        <f>IF(E$2=0,'表81 各报案年已决赔款的估计值'!E4,'表82 各报案年未来累积已决赔款的估计值'!D4+'表81 各报案年已决赔款的估计值'!E4)</f>
        <v>74269</v>
      </c>
      <c r="F4" s="39">
        <f>IF(F$2=0,'表81 各报案年已决赔款的估计值'!F4,'表82 各报案年未来累积已决赔款的估计值'!E4+'表81 各报案年已决赔款的估计值'!F4)</f>
        <v>79969</v>
      </c>
      <c r="G4" s="39">
        <f>IF(G$2=0,'表81 各报案年已决赔款的估计值'!G4,'表82 各报案年未来累积已决赔款的估计值'!F4+'表81 各报案年已决赔款的估计值'!G4)</f>
        <v>86809</v>
      </c>
    </row>
    <row r="5" spans="1:7" ht="15.6">
      <c r="A5" s="39" t="s">
        <v>88</v>
      </c>
      <c r="B5" s="39">
        <f>IF(B$2=0,'表81 各报案年已决赔款的估计值'!B5,'表82 各报案年未来累积已决赔款的估计值'!A5+'表81 各报案年已决赔款的估计值'!B5)</f>
        <v>26598</v>
      </c>
      <c r="C5" s="39">
        <f>IF(C$2=0,'表81 各报案年已决赔款的估计值'!C5,'表82 各报案年未来累积已决赔款的估计值'!B5+'表81 各报案年已决赔款的估计值'!C5)</f>
        <v>43647</v>
      </c>
      <c r="D5" s="39">
        <f>IF(D$2=0,'表81 各报案年已决赔款的估计值'!D5,'表82 各报案年未来累积已决赔款的估计值'!C5+'表81 各报案年已决赔款的估计值'!D5)</f>
        <v>56825</v>
      </c>
      <c r="E5" s="39">
        <f>IF(E$2=0,'表81 各报案年已决赔款的估计值'!E5,'表82 各报案年未来累积已决赔款的估计值'!D5+'表81 各报案年已决赔款的估计值'!E5)</f>
        <v>64708</v>
      </c>
      <c r="F5" s="39">
        <f>IF(F$2=0,'表81 各报案年已决赔款的估计值'!F5,'表82 各报案年未来累积已决赔款的估计值'!E5+'表81 各报案年已决赔款的估计值'!F5)</f>
        <v>68886</v>
      </c>
      <c r="G5" s="39">
        <f>IF(G$2=0,'表81 各报案年已决赔款的估计值'!G5,'表82 各报案年未来累积已决赔款的估计值'!F5+'表81 各报案年已决赔款的估计值'!G5)</f>
        <v>73899</v>
      </c>
    </row>
    <row r="6" spans="1:7" ht="15.6">
      <c r="A6" s="39" t="s">
        <v>87</v>
      </c>
      <c r="B6" s="39">
        <f>IF(B$2=0,'表81 各报案年已决赔款的估计值'!B6,'表82 各报案年未来累积已决赔款的估计值'!A6+'表81 各报案年已决赔款的估计值'!B6)</f>
        <v>24981</v>
      </c>
      <c r="C6" s="39">
        <f>IF(C$2=0,'表81 各报案年已决赔款的估计值'!C6,'表82 各报案年未来累积已决赔款的估计值'!B6+'表81 各报案年已决赔款的估计值'!C6)</f>
        <v>40212</v>
      </c>
      <c r="D6" s="39">
        <f>IF(D$2=0,'表81 各报案年已决赔款的估计值'!D6,'表82 各报案年未来累积已决赔款的估计值'!C6+'表81 各报案年已决赔款的估计值'!D6)</f>
        <v>54343</v>
      </c>
      <c r="E6" s="39">
        <f>IF(E$2=0,'表81 各报案年已决赔款的估计值'!E6,'表82 各报案年未来累积已决赔款的估计值'!D6+'表81 各报案年已决赔款的估计值'!E6)</f>
        <v>63316</v>
      </c>
      <c r="F6" s="39">
        <f>IF(F$2=0,'表81 各报案年已决赔款的估计值'!F6,'表82 各报案年未来累积已决赔款的估计值'!E6+'表81 各报案年已决赔款的估计值'!F6)</f>
        <v>68072</v>
      </c>
      <c r="G6" s="39">
        <f>IF(G$2=0,'表81 各报案年已决赔款的估计值'!G6,'表82 各报案年未来累积已决赔款的估计值'!F6+'表81 各报案年已决赔款的估计值'!G6)</f>
        <v>73779</v>
      </c>
    </row>
    <row r="7" spans="1:7" ht="15.6">
      <c r="A7" s="39" t="s">
        <v>86</v>
      </c>
      <c r="B7" s="39">
        <f>IF(B$2=0,'表81 各报案年已决赔款的估计值'!B7,'表82 各报案年未来累积已决赔款的估计值'!A7+'表81 各报案年已决赔款的估计值'!B7)</f>
        <v>27545</v>
      </c>
      <c r="C7" s="39">
        <f>IF(C$2=0,'表81 各报案年已决赔款的估计值'!C7,'表82 各报案年未来累积已决赔款的估计值'!B7+'表81 各报案年已决赔款的估计值'!C7)</f>
        <v>45629</v>
      </c>
      <c r="D7" s="39">
        <f>IF(D$2=0,'表81 各报案年已决赔款的估计值'!D7,'表82 各报案年未来累积已决赔款的估计值'!C7+'表81 各报案年已决赔款的估计值'!D7)</f>
        <v>62761</v>
      </c>
      <c r="E7" s="39">
        <f>IF(E$2=0,'表81 各报案年已决赔款的估计值'!E7,'表82 各报案年未来累积已决赔款的估计值'!D7+'表81 各报案年已决赔款的估计值'!E7)</f>
        <v>73640</v>
      </c>
      <c r="F7" s="39">
        <f>IF(F$2=0,'表81 各报案年已决赔款的估计值'!F7,'表82 各报案年未来累积已决赔款的估计值'!E7+'表81 各报案年已决赔款的估计值'!F7)</f>
        <v>79406</v>
      </c>
      <c r="G7" s="39">
        <f>IF(G$2=0,'表81 各报案年已决赔款的估计值'!G7,'表82 各报案年未来累积已决赔款的估计值'!F7+'表81 各报案年已决赔款的估计值'!G7)</f>
        <v>86325</v>
      </c>
    </row>
  </sheetData>
  <mergeCells count="2">
    <mergeCell ref="A1:A2"/>
    <mergeCell ref="B1:G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6477-7DA5-4EB3-A211-C79363BD30AE}">
  <dimension ref="A1:H17"/>
  <sheetViews>
    <sheetView workbookViewId="0">
      <selection sqref="A1:B1"/>
    </sheetView>
  </sheetViews>
  <sheetFormatPr defaultRowHeight="14.4"/>
  <cols>
    <col min="1" max="1" width="12.44140625" style="14" customWidth="1"/>
    <col min="2" max="2" width="18.44140625" style="14" customWidth="1"/>
    <col min="3" max="7" width="11.6640625" style="14" customWidth="1"/>
    <col min="8" max="8" width="7.6640625" customWidth="1"/>
  </cols>
  <sheetData>
    <row r="1" spans="1:8" ht="15.6">
      <c r="A1" s="52" t="s">
        <v>0</v>
      </c>
      <c r="B1" s="52"/>
      <c r="C1" s="3">
        <v>5</v>
      </c>
      <c r="D1" s="3">
        <v>4</v>
      </c>
      <c r="E1" s="3">
        <v>3</v>
      </c>
      <c r="F1" s="3">
        <v>2</v>
      </c>
      <c r="G1" s="3">
        <v>1</v>
      </c>
      <c r="H1" s="3" t="s">
        <v>21</v>
      </c>
    </row>
    <row r="2" spans="1:8" ht="15.6">
      <c r="A2" s="52" t="s">
        <v>22</v>
      </c>
      <c r="B2" s="52"/>
      <c r="C2" s="13">
        <f>VLOOKUP(C1+min_accident_year-1,'表13 赔款与最终赔款的估计值（以原始加权平均法为例）'!$A$3:$F$7,max_development_year-C1+3,FALSE)</f>
        <v>1730</v>
      </c>
      <c r="D2" s="13">
        <f>VLOOKUP(D1+min_accident_year-1,'表13 赔款与最终赔款的估计值（以原始加权平均法为例）'!$A$3:$F$7,max_development_year-D1+3,FALSE)</f>
        <v>2865</v>
      </c>
      <c r="E2" s="13">
        <f>VLOOKUP(E1+min_accident_year-1,'表13 赔款与最终赔款的估计值（以原始加权平均法为例）'!$A$3:$F$7,max_development_year-E1+3,FALSE)</f>
        <v>3235</v>
      </c>
      <c r="F2" s="13">
        <f>VLOOKUP(F1+min_accident_year-1,'表13 赔款与最终赔款的估计值（以原始加权平均法为例）'!$A$3:$F$7,max_development_year-F1+3,FALSE)</f>
        <v>3400</v>
      </c>
      <c r="G2" s="13">
        <f>VLOOKUP(G1+min_accident_year-1,'表13 赔款与最终赔款的估计值（以原始加权平均法为例）'!$A$3:$F$7,max_development_year-G1+3,FALSE)</f>
        <v>3337</v>
      </c>
      <c r="H2" s="13">
        <f>SUM(C2:G2)</f>
        <v>14567</v>
      </c>
    </row>
    <row r="3" spans="1:8" ht="15.6">
      <c r="A3" s="57" t="s">
        <v>23</v>
      </c>
      <c r="B3" s="3" t="s">
        <v>24</v>
      </c>
      <c r="C3" s="16">
        <f>'表12 各方法下的累积赔款额流量三角形最终进展因子'!B3</f>
        <v>3.7880412889742567</v>
      </c>
      <c r="D3" s="16">
        <f>'表12 各方法下的累积赔款额流量三角形最终进展因子'!C3</f>
        <v>2.0041486106419009</v>
      </c>
      <c r="E3" s="16">
        <f>'表12 各方法下的累积赔款额流量三角形最终进展因子'!D3</f>
        <v>1.5222152594880001</v>
      </c>
      <c r="F3" s="16">
        <f>'表12 各方法下的累积赔款额流量三角形最终进展因子'!E3</f>
        <v>1.2337617599999999</v>
      </c>
      <c r="G3" s="16">
        <f>'表12 各方法下的累积赔款额流量三角形最终进展因子'!F3</f>
        <v>1.1088</v>
      </c>
      <c r="H3" s="16"/>
    </row>
    <row r="4" spans="1:8" ht="15.6">
      <c r="A4" s="58"/>
      <c r="B4" s="3" t="s">
        <v>25</v>
      </c>
      <c r="C4" s="17">
        <f>C2*C3</f>
        <v>6553.3114299254639</v>
      </c>
      <c r="D4" s="17">
        <f t="shared" ref="D4:G4" si="0">D2*D3</f>
        <v>5741.8857694890457</v>
      </c>
      <c r="E4" s="17">
        <f t="shared" si="0"/>
        <v>4924.3663644436801</v>
      </c>
      <c r="F4" s="17">
        <f t="shared" si="0"/>
        <v>4194.789984</v>
      </c>
      <c r="G4" s="17">
        <f t="shared" si="0"/>
        <v>3700.0655999999999</v>
      </c>
      <c r="H4" s="17">
        <f>SUM(C4:G4)</f>
        <v>25114.419147858185</v>
      </c>
    </row>
    <row r="5" spans="1:8" ht="15.6">
      <c r="A5" s="59"/>
      <c r="B5" s="3" t="s">
        <v>26</v>
      </c>
      <c r="C5" s="17">
        <f>C4-C2</f>
        <v>4823.3114299254639</v>
      </c>
      <c r="D5" s="17">
        <f t="shared" ref="D5:G5" si="1">D4-D2</f>
        <v>2876.8857694890457</v>
      </c>
      <c r="E5" s="17">
        <f t="shared" si="1"/>
        <v>1689.3663644436801</v>
      </c>
      <c r="F5" s="17">
        <f t="shared" si="1"/>
        <v>794.789984</v>
      </c>
      <c r="G5" s="17">
        <f t="shared" si="1"/>
        <v>363.0655999999999</v>
      </c>
      <c r="H5" s="17">
        <f>H4-H2</f>
        <v>10547.419147858185</v>
      </c>
    </row>
    <row r="6" spans="1:8" ht="15.6">
      <c r="A6" s="57" t="s">
        <v>27</v>
      </c>
      <c r="B6" s="3" t="s">
        <v>24</v>
      </c>
      <c r="C6" s="16">
        <f>'表12 各方法下的累积赔款额流量三角形最终进展因子'!B4</f>
        <v>3.798334044136443</v>
      </c>
      <c r="D6" s="16">
        <f>'表12 各方法下的累积赔款额流量三角形最终进展因子'!C4</f>
        <v>2.0054562007056194</v>
      </c>
      <c r="E6" s="16">
        <f>'表12 各方法下的累积赔款额流量三角形最终进展因子'!D4</f>
        <v>1.5214750024320003</v>
      </c>
      <c r="F6" s="16">
        <f>'表12 各方法下的累积赔款额流量三角形最终进展因子'!E4</f>
        <v>1.2337617599999999</v>
      </c>
      <c r="G6" s="16">
        <f>'表12 各方法下的累积赔款额流量三角形最终进展因子'!F4</f>
        <v>1.1088</v>
      </c>
      <c r="H6" s="15"/>
    </row>
    <row r="7" spans="1:8" ht="15.6">
      <c r="A7" s="58"/>
      <c r="B7" s="3" t="s">
        <v>25</v>
      </c>
      <c r="C7" s="17">
        <f>C2*C6</f>
        <v>6571.1178963560469</v>
      </c>
      <c r="D7" s="17">
        <f t="shared" ref="D7:G7" si="2">D2*D6</f>
        <v>5745.6320150215997</v>
      </c>
      <c r="E7" s="17">
        <f t="shared" si="2"/>
        <v>4921.9716328675213</v>
      </c>
      <c r="F7" s="17">
        <f t="shared" si="2"/>
        <v>4194.789984</v>
      </c>
      <c r="G7" s="17">
        <f t="shared" si="2"/>
        <v>3700.0655999999999</v>
      </c>
      <c r="H7" s="17">
        <f>SUM(C7:G7)</f>
        <v>25133.577128245168</v>
      </c>
    </row>
    <row r="8" spans="1:8" ht="15.6">
      <c r="A8" s="59"/>
      <c r="B8" s="3" t="s">
        <v>26</v>
      </c>
      <c r="C8" s="17">
        <f>C7-C2</f>
        <v>4841.1178963560469</v>
      </c>
      <c r="D8" s="17">
        <f t="shared" ref="D8:H8" si="3">D7-D2</f>
        <v>2880.6320150215997</v>
      </c>
      <c r="E8" s="17">
        <f t="shared" si="3"/>
        <v>1686.9716328675213</v>
      </c>
      <c r="F8" s="17">
        <f t="shared" si="3"/>
        <v>794.789984</v>
      </c>
      <c r="G8" s="17">
        <f t="shared" si="3"/>
        <v>363.0655999999999</v>
      </c>
      <c r="H8" s="17">
        <f t="shared" si="3"/>
        <v>10566.577128245168</v>
      </c>
    </row>
    <row r="9" spans="1:8" ht="15.6">
      <c r="A9" s="57" t="s">
        <v>28</v>
      </c>
      <c r="B9" s="3" t="s">
        <v>24</v>
      </c>
      <c r="C9" s="16">
        <f>'表12 各方法下的累积赔款额流量三角形最终进展因子'!B5</f>
        <v>3.7873527757902377</v>
      </c>
      <c r="D9" s="16">
        <f>'表12 各方法下的累积赔款额流量三角形最终进展因子'!C5</f>
        <v>2.0039963891159522</v>
      </c>
      <c r="E9" s="16">
        <f>'表12 各方法下的累积赔款额流量三角形最终进展因子'!D5</f>
        <v>1.5222152594880001</v>
      </c>
      <c r="F9" s="16">
        <f>'表12 各方法下的累积赔款额流量三角形最终进展因子'!E5</f>
        <v>1.2337617599999999</v>
      </c>
      <c r="G9" s="16">
        <f>'表12 各方法下的累积赔款额流量三角形最终进展因子'!F5</f>
        <v>1.1088</v>
      </c>
      <c r="H9" s="15"/>
    </row>
    <row r="10" spans="1:8" ht="15.6">
      <c r="A10" s="58"/>
      <c r="B10" s="3" t="s">
        <v>25</v>
      </c>
      <c r="C10" s="17">
        <f>C2*C9</f>
        <v>6552.1203021171114</v>
      </c>
      <c r="D10" s="17">
        <f t="shared" ref="D10:G10" si="4">D2*D9</f>
        <v>5741.4496548172028</v>
      </c>
      <c r="E10" s="17">
        <f t="shared" si="4"/>
        <v>4924.3663644436801</v>
      </c>
      <c r="F10" s="17">
        <f t="shared" si="4"/>
        <v>4194.789984</v>
      </c>
      <c r="G10" s="17">
        <f t="shared" si="4"/>
        <v>3700.0655999999999</v>
      </c>
      <c r="H10" s="13">
        <f>SUM(C10:G10)</f>
        <v>25112.791905377991</v>
      </c>
    </row>
    <row r="11" spans="1:8" ht="15.6">
      <c r="A11" s="59"/>
      <c r="B11" s="3" t="s">
        <v>26</v>
      </c>
      <c r="C11" s="17">
        <f>C10-C2</f>
        <v>4822.1203021171114</v>
      </c>
      <c r="D11" s="17">
        <f t="shared" ref="D11:H11" si="5">D10-D2</f>
        <v>2876.4496548172028</v>
      </c>
      <c r="E11" s="17">
        <f t="shared" si="5"/>
        <v>1689.3663644436801</v>
      </c>
      <c r="F11" s="17">
        <f t="shared" si="5"/>
        <v>794.789984</v>
      </c>
      <c r="G11" s="17">
        <f t="shared" si="5"/>
        <v>363.0655999999999</v>
      </c>
      <c r="H11" s="17">
        <f t="shared" si="5"/>
        <v>10545.791905377991</v>
      </c>
    </row>
    <row r="12" spans="1:8" ht="15.6">
      <c r="A12" s="57" t="s">
        <v>29</v>
      </c>
      <c r="B12" s="3" t="s">
        <v>24</v>
      </c>
      <c r="C12" s="16">
        <f>'表12 各方法下的累积赔款额流量三角形最终进展因子'!B6</f>
        <v>3.8152977100789864</v>
      </c>
      <c r="D12" s="16">
        <f>'表12 各方法下的累积赔款额流量三角形最终进展因子'!C6</f>
        <v>2.0041486106419009</v>
      </c>
      <c r="E12" s="16">
        <f>'表12 各方法下的累积赔款额流量三角形最终进展因子'!D6</f>
        <v>1.5222152594880001</v>
      </c>
      <c r="F12" s="16">
        <f>'表12 各方法下的累积赔款额流量三角形最终进展因子'!E6</f>
        <v>1.2337617599999999</v>
      </c>
      <c r="G12" s="16">
        <f>'表12 各方法下的累积赔款额流量三角形最终进展因子'!F6</f>
        <v>1.1088</v>
      </c>
      <c r="H12" s="15"/>
    </row>
    <row r="13" spans="1:8" ht="15.6">
      <c r="A13" s="58"/>
      <c r="B13" s="3" t="s">
        <v>25</v>
      </c>
      <c r="C13" s="17">
        <f>C2*C12</f>
        <v>6600.4650384366469</v>
      </c>
      <c r="D13" s="17">
        <f t="shared" ref="D13:G13" si="6">D2*D12</f>
        <v>5741.8857694890457</v>
      </c>
      <c r="E13" s="17">
        <f t="shared" si="6"/>
        <v>4924.3663644436801</v>
      </c>
      <c r="F13" s="17">
        <f t="shared" si="6"/>
        <v>4194.789984</v>
      </c>
      <c r="G13" s="17">
        <f t="shared" si="6"/>
        <v>3700.0655999999999</v>
      </c>
      <c r="H13" s="17">
        <f>SUM(C13:G13)</f>
        <v>25161.572756369373</v>
      </c>
    </row>
    <row r="14" spans="1:8" ht="15.6">
      <c r="A14" s="59"/>
      <c r="B14" s="3" t="s">
        <v>26</v>
      </c>
      <c r="C14" s="17">
        <f>C13-C2</f>
        <v>4870.4650384366469</v>
      </c>
      <c r="D14" s="17">
        <f t="shared" ref="D14:H14" si="7">D13-D2</f>
        <v>2876.8857694890457</v>
      </c>
      <c r="E14" s="17">
        <f t="shared" si="7"/>
        <v>1689.3663644436801</v>
      </c>
      <c r="F14" s="17">
        <f t="shared" si="7"/>
        <v>794.789984</v>
      </c>
      <c r="G14" s="17">
        <f t="shared" si="7"/>
        <v>363.0655999999999</v>
      </c>
      <c r="H14" s="17">
        <f t="shared" si="7"/>
        <v>10594.572756369373</v>
      </c>
    </row>
    <row r="15" spans="1:8" ht="15.6">
      <c r="A15" s="52" t="s">
        <v>30</v>
      </c>
      <c r="B15" s="3" t="s">
        <v>24</v>
      </c>
      <c r="C15" s="16">
        <f>'表12 各方法下的累积赔款额流量三角形最终进展因子'!B7</f>
        <v>3.8213967904445578</v>
      </c>
      <c r="D15" s="16">
        <f>'表12 各方法下的累积赔款额流量三角形最终进展因子'!C7</f>
        <v>2.0054562007056194</v>
      </c>
      <c r="E15" s="16">
        <f>'表12 各方法下的累积赔款额流量三角形最终进展因子'!D7</f>
        <v>1.5214750024320003</v>
      </c>
      <c r="F15" s="16">
        <f>'表12 各方法下的累积赔款额流量三角形最终进展因子'!E7</f>
        <v>1.2337617599999999</v>
      </c>
      <c r="G15" s="16">
        <f>'表12 各方法下的累积赔款额流量三角形最终进展因子'!F7</f>
        <v>1.1088</v>
      </c>
      <c r="H15" s="15"/>
    </row>
    <row r="16" spans="1:8" ht="15.6">
      <c r="A16" s="52"/>
      <c r="B16" s="3" t="s">
        <v>25</v>
      </c>
      <c r="C16" s="17">
        <f>C2*C15</f>
        <v>6611.0164474690846</v>
      </c>
      <c r="D16" s="17">
        <f t="shared" ref="D16:G16" si="8">D2*D15</f>
        <v>5745.6320150215997</v>
      </c>
      <c r="E16" s="17">
        <f t="shared" si="8"/>
        <v>4921.9716328675213</v>
      </c>
      <c r="F16" s="17">
        <f t="shared" si="8"/>
        <v>4194.789984</v>
      </c>
      <c r="G16" s="17">
        <f t="shared" si="8"/>
        <v>3700.0655999999999</v>
      </c>
      <c r="H16" s="17">
        <f>SUM(C16:G16)</f>
        <v>25173.475679358206</v>
      </c>
    </row>
    <row r="17" spans="1:8" ht="15.6">
      <c r="A17" s="52"/>
      <c r="B17" s="3" t="s">
        <v>26</v>
      </c>
      <c r="C17" s="17">
        <f>C16-C2</f>
        <v>4881.0164474690846</v>
      </c>
      <c r="D17" s="17">
        <f t="shared" ref="D17:H17" si="9">D16-D2</f>
        <v>2880.6320150215997</v>
      </c>
      <c r="E17" s="17">
        <f t="shared" si="9"/>
        <v>1686.9716328675213</v>
      </c>
      <c r="F17" s="17">
        <f t="shared" si="9"/>
        <v>794.789984</v>
      </c>
      <c r="G17" s="17">
        <f t="shared" si="9"/>
        <v>363.0655999999999</v>
      </c>
      <c r="H17" s="17">
        <f t="shared" si="9"/>
        <v>10606.475679358206</v>
      </c>
    </row>
  </sheetData>
  <mergeCells count="7">
    <mergeCell ref="A15:A17"/>
    <mergeCell ref="A1:B1"/>
    <mergeCell ref="A2:B2"/>
    <mergeCell ref="A3:A5"/>
    <mergeCell ref="A6:A8"/>
    <mergeCell ref="A9:A11"/>
    <mergeCell ref="A12:A14"/>
  </mergeCells>
  <phoneticPr fontId="3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482AE-8B89-4233-8924-26E0DC02E251}">
  <dimension ref="A1:G6"/>
  <sheetViews>
    <sheetView workbookViewId="0"/>
  </sheetViews>
  <sheetFormatPr defaultRowHeight="14.4"/>
  <cols>
    <col min="1" max="1" width="11.6640625" bestFit="1" customWidth="1"/>
    <col min="2" max="2" width="10.44140625" bestFit="1" customWidth="1"/>
    <col min="3" max="3" width="15.44140625" customWidth="1"/>
    <col min="4" max="4" width="10.44140625" bestFit="1" customWidth="1"/>
    <col min="5" max="5" width="32.44140625" bestFit="1" customWidth="1"/>
    <col min="6" max="6" width="37.33203125" bestFit="1" customWidth="1"/>
    <col min="7" max="7" width="39.77734375" bestFit="1" customWidth="1"/>
  </cols>
  <sheetData>
    <row r="1" spans="1:7" ht="15.6">
      <c r="A1" s="39" t="s">
        <v>131</v>
      </c>
      <c r="B1" s="39" t="s">
        <v>137</v>
      </c>
      <c r="C1" s="39" t="s">
        <v>142</v>
      </c>
      <c r="D1" s="39" t="s">
        <v>138</v>
      </c>
      <c r="E1" s="39" t="s">
        <v>139</v>
      </c>
      <c r="F1" s="39" t="s">
        <v>140</v>
      </c>
      <c r="G1" s="39" t="s">
        <v>141</v>
      </c>
    </row>
    <row r="2" spans="1:7" ht="15.6">
      <c r="A2" s="39" t="s">
        <v>110</v>
      </c>
      <c r="B2" s="39">
        <f>'表82 各报案年未来累积已决赔款的估计值'!G3</f>
        <v>79349</v>
      </c>
      <c r="C2" s="39">
        <f>'表82 各报案年未来累积已决赔款的估计值'!F3</f>
        <v>74349</v>
      </c>
      <c r="D2" s="39">
        <f>B2-C2</f>
        <v>5000</v>
      </c>
      <c r="E2" s="39">
        <f>'表80 各报案年已发生已报案未决赔款准备金的估计'!F3</f>
        <v>5000</v>
      </c>
      <c r="F2" s="39">
        <f>D2-E2</f>
        <v>0</v>
      </c>
      <c r="G2" s="77">
        <f>E2/D2</f>
        <v>1</v>
      </c>
    </row>
    <row r="3" spans="1:7" ht="15.6">
      <c r="A3" s="39" t="s">
        <v>89</v>
      </c>
      <c r="B3" s="39">
        <f>'表82 各报案年未来累积已决赔款的估计值'!G4</f>
        <v>86809</v>
      </c>
      <c r="C3" s="39">
        <f>'表82 各报案年未来累积已决赔款的估计值'!E4</f>
        <v>74269</v>
      </c>
      <c r="D3" s="39">
        <f t="shared" ref="D3:D6" si="0">B3-C3</f>
        <v>12540</v>
      </c>
      <c r="E3" s="39">
        <f>'表80 各报案年已发生已报案未决赔款准备金的估计'!E4</f>
        <v>11400</v>
      </c>
      <c r="F3" s="39">
        <f t="shared" ref="F3:F6" si="1">D3-E3</f>
        <v>1140</v>
      </c>
      <c r="G3" s="77">
        <f t="shared" ref="G3:G6" si="2">E3/D3</f>
        <v>0.90909090909090906</v>
      </c>
    </row>
    <row r="4" spans="1:7" ht="15.6">
      <c r="A4" s="39" t="s">
        <v>88</v>
      </c>
      <c r="B4" s="39">
        <f>'表82 各报案年未来累积已决赔款的估计值'!G5</f>
        <v>73899</v>
      </c>
      <c r="C4" s="39">
        <f>'表82 各报案年未来累积已决赔款的估计值'!D5</f>
        <v>56825</v>
      </c>
      <c r="D4" s="39">
        <f t="shared" si="0"/>
        <v>17074</v>
      </c>
      <c r="E4" s="39">
        <f>'表80 各报案年已发生已报案未决赔款准备金的估计'!D5</f>
        <v>15765</v>
      </c>
      <c r="F4" s="39">
        <f t="shared" si="1"/>
        <v>1309</v>
      </c>
      <c r="G4" s="77">
        <f t="shared" si="2"/>
        <v>0.92333372379055878</v>
      </c>
    </row>
    <row r="5" spans="1:7" ht="15.6">
      <c r="A5" s="39" t="s">
        <v>87</v>
      </c>
      <c r="B5" s="39">
        <f>'表82 各报案年未来累积已决赔款的估计值'!G6</f>
        <v>73779</v>
      </c>
      <c r="C5" s="39">
        <f>'表82 各报案年未来累积已决赔款的估计值'!C6</f>
        <v>40212</v>
      </c>
      <c r="D5" s="39">
        <f t="shared" si="0"/>
        <v>33567</v>
      </c>
      <c r="E5" s="39">
        <f>'表80 各报案年已发生已报案未决赔款准备金的估计'!C6</f>
        <v>28262</v>
      </c>
      <c r="F5" s="39">
        <f t="shared" si="1"/>
        <v>5305</v>
      </c>
      <c r="G5" s="77">
        <f t="shared" si="2"/>
        <v>0.84195787529418775</v>
      </c>
    </row>
    <row r="6" spans="1:7" ht="15.6">
      <c r="A6" s="39" t="s">
        <v>86</v>
      </c>
      <c r="B6" s="39">
        <f>'表82 各报案年未来累积已决赔款的估计值'!G7</f>
        <v>86325</v>
      </c>
      <c r="C6" s="39">
        <f>'表82 各报案年未来累积已决赔款的估计值'!B7</f>
        <v>27545</v>
      </c>
      <c r="D6" s="39">
        <f t="shared" si="0"/>
        <v>58780</v>
      </c>
      <c r="E6" s="39">
        <f>'表80 各报案年已发生已报案未决赔款准备金的估计'!B7</f>
        <v>47589</v>
      </c>
      <c r="F6" s="39">
        <f t="shared" si="1"/>
        <v>11191</v>
      </c>
      <c r="G6" s="77">
        <f t="shared" si="2"/>
        <v>0.80961211296359303</v>
      </c>
    </row>
  </sheetData>
  <phoneticPr fontId="3" type="noConversion"/>
  <pageMargins left="0.7" right="0.7" top="0.75" bottom="0.75" header="0.3" footer="0.3"/>
  <ignoredErrors>
    <ignoredError sqref="E2:E6" formula="1"/>
  </ignoredErrors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49087-2C77-4CB5-890C-B3AF60A36563}">
  <dimension ref="A1:J6"/>
  <sheetViews>
    <sheetView workbookViewId="0"/>
  </sheetViews>
  <sheetFormatPr defaultRowHeight="14.4"/>
  <cols>
    <col min="1" max="1" width="16.44140625" customWidth="1"/>
    <col min="2" max="2" width="15" customWidth="1"/>
    <col min="3" max="3" width="12.88671875" bestFit="1" customWidth="1"/>
    <col min="4" max="4" width="8.21875" bestFit="1" customWidth="1"/>
    <col min="5" max="5" width="12.88671875" customWidth="1"/>
    <col min="6" max="6" width="9.109375" customWidth="1"/>
    <col min="7" max="7" width="16.6640625" customWidth="1"/>
    <col min="8" max="8" width="17.77734375" customWidth="1"/>
  </cols>
  <sheetData>
    <row r="1" spans="1:10" ht="62.4">
      <c r="A1" s="39" t="s">
        <v>71</v>
      </c>
      <c r="B1" s="39" t="s">
        <v>143</v>
      </c>
      <c r="C1" s="39" t="s">
        <v>151</v>
      </c>
      <c r="D1" s="39" t="s">
        <v>144</v>
      </c>
      <c r="E1" s="39" t="s">
        <v>145</v>
      </c>
      <c r="F1" s="39" t="s">
        <v>146</v>
      </c>
      <c r="G1" s="39" t="s">
        <v>149</v>
      </c>
      <c r="H1" s="39" t="s">
        <v>150</v>
      </c>
      <c r="I1" s="39" t="s">
        <v>147</v>
      </c>
      <c r="J1" s="39" t="s">
        <v>148</v>
      </c>
    </row>
    <row r="2" spans="1:10" ht="15.6">
      <c r="A2" s="39" t="s">
        <v>110</v>
      </c>
      <c r="B2" s="39">
        <f>ROUND('表13 赔款与最终赔款的估计值（以原始加权平均法为例）'!G3,0)</f>
        <v>3700</v>
      </c>
      <c r="C2" s="39">
        <f>ROUND('表19 赔款与最终赔款的估计值（基于已报案赔款数据）'!G3,0)</f>
        <v>3717</v>
      </c>
      <c r="D2" s="39">
        <f>'表37 最终赔款和未决赔款准备金的估计'!D2</f>
        <v>3700</v>
      </c>
      <c r="E2" s="39">
        <f>'表43 最终赔款和未决赔款准备金的估计'!D2</f>
        <v>3717</v>
      </c>
      <c r="F2" s="78">
        <f>'表52 准备金进展法下的 IBNR 准备金评估'!B2</f>
        <v>3337</v>
      </c>
      <c r="G2" s="39">
        <v>3717</v>
      </c>
      <c r="H2" s="39">
        <v>3728</v>
      </c>
      <c r="I2" s="39">
        <f>ROUND(AVERAGE(B2:H2),0)</f>
        <v>3659</v>
      </c>
      <c r="J2" s="39">
        <f>C2</f>
        <v>3717</v>
      </c>
    </row>
    <row r="3" spans="1:10" ht="15.6">
      <c r="A3" s="39" t="s">
        <v>89</v>
      </c>
      <c r="B3" s="39">
        <f>ROUND('表13 赔款与最终赔款的估计值（以原始加权平均法为例）'!G4,0)</f>
        <v>4195</v>
      </c>
      <c r="C3" s="39">
        <f>ROUND('表19 赔款与最终赔款的估计值（基于已报案赔款数据）'!G4,0)</f>
        <v>4337</v>
      </c>
      <c r="D3" s="39">
        <f>'表37 最终赔款和未决赔款准备金的估计'!D3</f>
        <v>4194</v>
      </c>
      <c r="E3" s="39">
        <f>'表43 最终赔款和未决赔款准备金的估计'!D3</f>
        <v>4340</v>
      </c>
      <c r="F3" s="78">
        <f>'表52 准备金进展法下的 IBNR 准备金评估'!B3</f>
        <v>3850.0767000000001</v>
      </c>
      <c r="G3" s="39">
        <v>4340</v>
      </c>
      <c r="H3" s="39">
        <v>4239</v>
      </c>
      <c r="I3" s="39">
        <f t="shared" ref="I3:I6" si="0">ROUND(AVERAGE(B3:H3),0)</f>
        <v>4214</v>
      </c>
      <c r="J3" s="39">
        <f t="shared" ref="J3:J5" si="1">C3</f>
        <v>4337</v>
      </c>
    </row>
    <row r="4" spans="1:10" ht="15.6">
      <c r="A4" s="39" t="s">
        <v>88</v>
      </c>
      <c r="B4" s="39">
        <f>ROUND('表13 赔款与最终赔款的估计值（以原始加权平均法为例）'!G5,0)</f>
        <v>4922</v>
      </c>
      <c r="C4" s="39">
        <f>ROUND('表19 赔款与最终赔款的估计值（基于已报案赔款数据）'!G5,0)</f>
        <v>5143</v>
      </c>
      <c r="D4" s="39">
        <f>'表37 最终赔款和未决赔款准备金的估计'!D4</f>
        <v>4927</v>
      </c>
      <c r="E4" s="39">
        <f>'表43 最终赔款和未决赔款准备金的估计'!D4</f>
        <v>5142</v>
      </c>
      <c r="F4" s="78">
        <f>'表52 准备金进展法下的 IBNR 准备金评估'!B4</f>
        <v>4581.5222350000004</v>
      </c>
      <c r="G4" s="39">
        <v>5122</v>
      </c>
      <c r="H4" s="39">
        <v>4904</v>
      </c>
      <c r="I4" s="39">
        <f t="shared" si="0"/>
        <v>4963</v>
      </c>
      <c r="J4" s="39">
        <f t="shared" si="1"/>
        <v>5143</v>
      </c>
    </row>
    <row r="5" spans="1:10" ht="15.6">
      <c r="A5" s="39" t="s">
        <v>87</v>
      </c>
      <c r="B5" s="39">
        <f>ROUND('表13 赔款与最终赔款的估计值（以原始加权平均法为例）'!G6,0)</f>
        <v>5746</v>
      </c>
      <c r="C5" s="39">
        <f>ROUND('表19 赔款与最终赔款的估计值（基于已报案赔款数据）'!G6,0)</f>
        <v>6245</v>
      </c>
      <c r="D5" s="39">
        <f>'表37 最终赔款和未决赔款准备金的估计'!D5</f>
        <v>5739</v>
      </c>
      <c r="E5" s="39">
        <f>'表43 最终赔款和未决赔款准备金的估计'!D5</f>
        <v>6244</v>
      </c>
      <c r="F5" s="78">
        <f>'表52 准备金进展法下的 IBNR 准备金评估'!B5</f>
        <v>5574.4242616558895</v>
      </c>
      <c r="G5" s="39">
        <v>6175</v>
      </c>
      <c r="H5" s="39">
        <v>5737</v>
      </c>
      <c r="I5" s="39">
        <f t="shared" si="0"/>
        <v>5923</v>
      </c>
      <c r="J5" s="39">
        <f t="shared" si="1"/>
        <v>6245</v>
      </c>
    </row>
    <row r="6" spans="1:10" ht="15.6">
      <c r="A6" s="39" t="s">
        <v>86</v>
      </c>
      <c r="B6" s="39">
        <f>ROUND('表13 赔款与最终赔款的估计值（以原始加权平均法为例）'!G7,0)</f>
        <v>6571</v>
      </c>
      <c r="C6" s="39">
        <f>ROUND('表19 赔款与最终赔款的估计值（基于已报案赔款数据）'!G7,0)</f>
        <v>7315</v>
      </c>
      <c r="D6" s="39">
        <f>'表37 最终赔款和未决赔款准备金的估计'!D6</f>
        <v>6562</v>
      </c>
      <c r="E6" s="39">
        <f>'表43 最终赔款和未决赔款准备金的估计'!D6</f>
        <v>7304</v>
      </c>
      <c r="F6" s="78">
        <f>'表52 准备金进展法下的 IBNR 准备金评估'!B6</f>
        <v>6549.8842281553189</v>
      </c>
      <c r="G6" s="39">
        <v>7089</v>
      </c>
      <c r="H6" s="39">
        <v>6505</v>
      </c>
      <c r="I6" s="39">
        <f t="shared" si="0"/>
        <v>6842</v>
      </c>
      <c r="J6" s="39">
        <f>G6</f>
        <v>7089</v>
      </c>
    </row>
  </sheetData>
  <phoneticPr fontId="3" type="noConversion"/>
  <pageMargins left="0.7" right="0.7" top="0.75" bottom="0.75" header="0.3" footer="0.3"/>
  <legacy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A9D8-4CE2-4F91-B1AF-B685D0964A7B}">
  <dimension ref="A1:J6"/>
  <sheetViews>
    <sheetView workbookViewId="0"/>
  </sheetViews>
  <sheetFormatPr defaultRowHeight="15.6"/>
  <cols>
    <col min="1" max="1" width="11.6640625" style="79" bestFit="1" customWidth="1"/>
    <col min="2" max="2" width="10.44140625" style="79" bestFit="1" customWidth="1"/>
    <col min="3" max="3" width="12.88671875" style="79" bestFit="1" customWidth="1"/>
    <col min="4" max="6" width="8.21875" style="79" bestFit="1" customWidth="1"/>
    <col min="7" max="7" width="12.88671875" style="79" bestFit="1" customWidth="1"/>
    <col min="8" max="8" width="11.6640625" style="79" bestFit="1" customWidth="1"/>
    <col min="9" max="9" width="9.33203125" style="79" bestFit="1" customWidth="1"/>
    <col min="10" max="10" width="8.21875" style="79" bestFit="1" customWidth="1"/>
  </cols>
  <sheetData>
    <row r="1" spans="1:10" ht="62.4">
      <c r="A1" s="39" t="s">
        <v>71</v>
      </c>
      <c r="B1" s="39" t="s">
        <v>143</v>
      </c>
      <c r="C1" s="39" t="s">
        <v>151</v>
      </c>
      <c r="D1" s="39" t="s">
        <v>144</v>
      </c>
      <c r="E1" s="39" t="s">
        <v>145</v>
      </c>
      <c r="F1" s="39" t="s">
        <v>146</v>
      </c>
      <c r="G1" s="39" t="s">
        <v>149</v>
      </c>
      <c r="H1" s="39" t="s">
        <v>150</v>
      </c>
      <c r="I1" s="39" t="s">
        <v>147</v>
      </c>
      <c r="J1" s="39" t="s">
        <v>148</v>
      </c>
    </row>
    <row r="2" spans="1:10">
      <c r="A2" s="39" t="s">
        <v>110</v>
      </c>
      <c r="B2" s="80">
        <f>ROUND(363.0656,0)</f>
        <v>363</v>
      </c>
      <c r="C2" s="39">
        <f>ROUND(380,0)</f>
        <v>380</v>
      </c>
      <c r="D2" s="39">
        <f>'表44 基于已付案均赔款的IBNR准备金评估'!F2</f>
        <v>363</v>
      </c>
      <c r="E2" s="39">
        <f>'表45 基于已报案赔款数据的IBNR准备金评估'!F2</f>
        <v>380</v>
      </c>
      <c r="F2" s="78">
        <f>'表52 准备金进展法下的 IBNR 准备金评估'!F2</f>
        <v>0</v>
      </c>
      <c r="G2" s="80">
        <v>380</v>
      </c>
      <c r="H2" s="80">
        <v>391</v>
      </c>
      <c r="I2" s="39">
        <f>ROUND(AVERAGE(B2:H2),0)</f>
        <v>322</v>
      </c>
      <c r="J2" s="39">
        <f>C2</f>
        <v>380</v>
      </c>
    </row>
    <row r="3" spans="1:10">
      <c r="A3" s="39" t="s">
        <v>89</v>
      </c>
      <c r="B3" s="80">
        <f>ROUND(794.789984,0)</f>
        <v>795</v>
      </c>
      <c r="C3" s="39">
        <f>ROUND(936.727199999999,0)</f>
        <v>937</v>
      </c>
      <c r="D3" s="39">
        <f>'表44 基于已付案均赔款的IBNR准备金评估'!F3</f>
        <v>794</v>
      </c>
      <c r="E3" s="39">
        <f>'表45 基于已报案赔款数据的IBNR准备金评估'!F3</f>
        <v>940</v>
      </c>
      <c r="F3" s="78">
        <f>'表52 准备金进展法下的 IBNR 准备金评估'!F3</f>
        <v>450.07670000000007</v>
      </c>
      <c r="G3" s="80">
        <v>940</v>
      </c>
      <c r="H3" s="80">
        <v>839</v>
      </c>
      <c r="I3" s="39">
        <f>ROUND(AVERAGE(B3:H3),0)</f>
        <v>814</v>
      </c>
      <c r="J3" s="39">
        <f t="shared" ref="J3:J5" si="0">C3</f>
        <v>937</v>
      </c>
    </row>
    <row r="4" spans="1:10">
      <c r="A4" s="39" t="s">
        <v>88</v>
      </c>
      <c r="B4" s="80">
        <f>ROUND(1686.97163286752,0)</f>
        <v>1687</v>
      </c>
      <c r="C4" s="39">
        <f>ROUND(1908.157,0)</f>
        <v>1908</v>
      </c>
      <c r="D4" s="39">
        <f>'表44 基于已付案均赔款的IBNR准备金评估'!F4</f>
        <v>1692</v>
      </c>
      <c r="E4" s="39">
        <f>'表45 基于已报案赔款数据的IBNR准备金评估'!F4</f>
        <v>1907</v>
      </c>
      <c r="F4" s="78">
        <f>'表52 准备金进展法下的 IBNR 准备金评估'!F4</f>
        <v>1346.5222350000004</v>
      </c>
      <c r="G4" s="80">
        <v>1887</v>
      </c>
      <c r="H4" s="80">
        <v>1669</v>
      </c>
      <c r="I4" s="39">
        <f>ROUND(AVERAGE(B4:H4),0)</f>
        <v>1728</v>
      </c>
      <c r="J4" s="39">
        <f t="shared" si="0"/>
        <v>1908</v>
      </c>
    </row>
    <row r="5" spans="1:10">
      <c r="A5" s="39" t="s">
        <v>87</v>
      </c>
      <c r="B5" s="80">
        <f>ROUND(2880.6320150216,0)</f>
        <v>2881</v>
      </c>
      <c r="C5" s="39">
        <f>ROUND(3379.8624,0)</f>
        <v>3380</v>
      </c>
      <c r="D5" s="39">
        <f>'表44 基于已付案均赔款的IBNR准备金评估'!F5</f>
        <v>2874</v>
      </c>
      <c r="E5" s="39">
        <f>'表45 基于已报案赔款数据的IBNR准备金评估'!F5</f>
        <v>3379</v>
      </c>
      <c r="F5" s="78">
        <f>'表52 准备金进展法下的 IBNR 准备金评估'!F5</f>
        <v>2709.4242616558895</v>
      </c>
      <c r="G5" s="80">
        <v>3310</v>
      </c>
      <c r="H5" s="80">
        <v>2872</v>
      </c>
      <c r="I5" s="39">
        <f>ROUND(AVERAGE(B5:H5),0)</f>
        <v>3058</v>
      </c>
      <c r="J5" s="39">
        <f t="shared" si="0"/>
        <v>3380</v>
      </c>
    </row>
    <row r="6" spans="1:10">
      <c r="A6" s="39" t="s">
        <v>86</v>
      </c>
      <c r="B6" s="80">
        <f>ROUND(4841.11789635605,0)</f>
        <v>4841</v>
      </c>
      <c r="C6" s="39">
        <f>ROUND(5584.892,0)</f>
        <v>5585</v>
      </c>
      <c r="D6" s="39">
        <f>'表44 基于已付案均赔款的IBNR准备金评估'!F6</f>
        <v>4832</v>
      </c>
      <c r="E6" s="39">
        <f>'表45 基于已报案赔款数据的IBNR准备金评估'!F6</f>
        <v>5574</v>
      </c>
      <c r="F6" s="78">
        <f>'表52 准备金进展法下的 IBNR 准备金评估'!F6</f>
        <v>4819.8842281553189</v>
      </c>
      <c r="G6" s="80">
        <v>5359</v>
      </c>
      <c r="H6" s="80">
        <v>4775</v>
      </c>
      <c r="I6" s="39">
        <f>ROUND(AVERAGE(B6:H6),0)</f>
        <v>5112</v>
      </c>
      <c r="J6" s="39">
        <f>H6</f>
        <v>4775</v>
      </c>
    </row>
  </sheetData>
  <phoneticPr fontId="3" type="noConversion"/>
  <pageMargins left="0.7" right="0.7" top="0.75" bottom="0.75" header="0.3" footer="0.3"/>
  <legacy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B1A37-FDB1-4248-8EBC-DD6F016A8091}">
  <dimension ref="A1:F7"/>
  <sheetViews>
    <sheetView workbookViewId="0">
      <selection sqref="A1:A2"/>
    </sheetView>
  </sheetViews>
  <sheetFormatPr defaultRowHeight="14.4"/>
  <cols>
    <col min="1" max="6" width="8.21875" bestFit="1" customWidth="1"/>
  </cols>
  <sheetData>
    <row r="1" spans="1:6" ht="15.6">
      <c r="A1" s="52" t="s">
        <v>0</v>
      </c>
      <c r="B1" s="52" t="s">
        <v>1</v>
      </c>
      <c r="C1" s="52"/>
      <c r="D1" s="52"/>
      <c r="E1" s="52"/>
      <c r="F1" s="52"/>
    </row>
    <row r="2" spans="1:6" ht="15.6">
      <c r="A2" s="52"/>
      <c r="B2" s="3">
        <v>0</v>
      </c>
      <c r="C2" s="3">
        <v>1</v>
      </c>
      <c r="D2" s="3">
        <v>2</v>
      </c>
      <c r="E2" s="3">
        <v>3</v>
      </c>
      <c r="F2" s="3">
        <v>4</v>
      </c>
    </row>
    <row r="3" spans="1:6" ht="15.6">
      <c r="A3" s="3">
        <v>2004</v>
      </c>
      <c r="B3" s="81">
        <f>IF('表8 累积赔款额流量三角形示例'!B3/'表84 各种评估方法下最终损失的估计值'!$J2=0,"",'表8 累积赔款额流量三角形示例'!B3/'表84 各种评估方法下最终损失的估计值'!$J2)</f>
        <v>0.26984126984126983</v>
      </c>
      <c r="C3" s="81">
        <f>IF('表8 累积赔款额流量三角形示例'!C3/'表84 各种评估方法下最终损失的估计值'!$J2=0,"",'表8 累积赔款额流量三角形示例'!C3/'表84 各种评估方法下最终损失的估计值'!$J2)</f>
        <v>0.49905838041431261</v>
      </c>
      <c r="D3" s="81">
        <f>IF('表8 累积赔款额流量三角形示例'!D3/'表84 各种评估方法下最终损失的估计值'!$J2=0,"",'表8 累积赔款额流量三角形示例'!D3/'表84 各种评估方法下最终损失的估计值'!$J2)</f>
        <v>0.64917944578961528</v>
      </c>
      <c r="E3" s="81">
        <f>IF('表8 累积赔款额流量三角形示例'!E3/'表84 各种评估方法下最终损失的估计值'!$J2=0,"",'表8 累积赔款额流量三角形示例'!E3/'表84 各种评估方法下最终损失的估计值'!$J2)</f>
        <v>0.80683346785041699</v>
      </c>
      <c r="F3" s="81">
        <f>IF('表8 累积赔款额流量三角形示例'!F3/'表84 各种评估方法下最终损失的估计值'!$J2=0,"",'表8 累积赔款额流量三角形示例'!F3/'表84 各种评估方法下最终损失的估计值'!$J2)</f>
        <v>0.89776701641108425</v>
      </c>
    </row>
    <row r="4" spans="1:6" ht="15.6">
      <c r="A4" s="3">
        <v>2005</v>
      </c>
      <c r="B4" s="81">
        <f>IF('表8 累积赔款额流量三角形示例'!B4/'表84 各种评估方法下最终损失的估计值'!$J3=0,"",'表8 累积赔款额流量三角形示例'!B4/'表84 各种评估方法下最终损失的估计值'!$J3)</f>
        <v>0.25824302513258013</v>
      </c>
      <c r="C4" s="81">
        <f>IF('表8 累积赔款额流量三角形示例'!C4/'表84 各种评估方法下最终损失的估计值'!$J3=0,"",'表8 累积赔款额流量三角形示例'!C4/'表84 各种评估方法下最终损失的估计值'!$J3)</f>
        <v>0.48720313580816232</v>
      </c>
      <c r="D4" s="81">
        <f>IF('表8 累积赔款额流量三角形示例'!D4/'表84 各种评估方法下最终损失的估计值'!$J3=0,"",'表8 累积赔款额流量三角形示例'!D4/'表84 各种评估方法下最终损失的估计值'!$J3)</f>
        <v>0.6400737837214665</v>
      </c>
      <c r="E4" s="81">
        <f>IF('表8 累积赔款额流量三角形示例'!E4/'表84 各种评估方法下最终损失的估计值'!$J3=0,"",'表8 累积赔款额流量三角形示例'!E4/'表84 各种评估方法下最终损失的估计值'!$J3)</f>
        <v>0.78395204058104684</v>
      </c>
      <c r="F4" s="81" t="str">
        <f>IF('表8 累积赔款额流量三角形示例'!F4/'表84 各种评估方法下最终损失的估计值'!$J3=0,"",'表8 累积赔款额流量三角形示例'!F4/'表84 各种评估方法下最终损失的估计值'!$J3)</f>
        <v/>
      </c>
    </row>
    <row r="5" spans="1:6" ht="15.6">
      <c r="A5" s="3">
        <v>2006</v>
      </c>
      <c r="B5" s="81">
        <f>IF('表8 累积赔款额流量三角形示例'!B5/'表84 各种评估方法下最终损失的估计值'!$J4=0,"",'表8 累积赔款额流量三角形示例'!B5/'表84 各种评估方法下最终损失的估计值'!$J4)</f>
        <v>0.247909780283881</v>
      </c>
      <c r="C5" s="81">
        <f>IF('表8 累积赔款额流量三角形示例'!C5/'表84 各种评估方法下最终损失的估计值'!$J4=0,"",'表8 累积赔款额流量三角形示例'!C5/'表84 各种评估方法下最终损失的估计值'!$J4)</f>
        <v>0.47112580206105387</v>
      </c>
      <c r="D5" s="81">
        <f>IF('表8 累积赔款额流量三角形示例'!D5/'表84 各种评估方法下最终损失的估计值'!$J4=0,"",'表8 累积赔款额流量三角形示例'!D5/'表84 各种评估方法下最终损失的估计值'!$J4)</f>
        <v>0.62901030526929802</v>
      </c>
      <c r="E5" s="81" t="str">
        <f>IF('表8 累积赔款额流量三角形示例'!E5/'表84 各种评估方法下最终损失的估计值'!$J4=0,"",'表8 累积赔款额流量三角形示例'!E5/'表84 各种评估方法下最终损失的估计值'!$J4)</f>
        <v/>
      </c>
      <c r="F5" s="81" t="str">
        <f>IF('表8 累积赔款额流量三角形示例'!F5/'表84 各种评估方法下最终损失的估计值'!$J4=0,"",'表8 累积赔款额流量三角形示例'!F5/'表84 各种评估方法下最终损失的估计值'!$J4)</f>
        <v/>
      </c>
    </row>
    <row r="6" spans="1:6" ht="15.6">
      <c r="A6" s="3">
        <v>2007</v>
      </c>
      <c r="B6" s="81">
        <f>IF('表8 累积赔款额流量三角形示例'!B6/'表84 各种评估方法下最终损失的估计值'!$J5=0,"",'表8 累积赔款额流量三角形示例'!B6/'表84 各种评估方法下最终损失的估计值'!$J5)</f>
        <v>0.23843074459567654</v>
      </c>
      <c r="C6" s="81">
        <f>IF('表8 累积赔款额流量三角形示例'!C6/'表84 各种评估方法下最终损失的估计值'!$J5=0,"",'表8 累积赔款额流量三角形示例'!C6/'表84 各种评估方法下最终损失的估计值'!$J5)</f>
        <v>0.45876701361088873</v>
      </c>
      <c r="D6" s="81" t="str">
        <f>IF('表8 累积赔款额流量三角形示例'!D6/'表84 各种评估方法下最终损失的估计值'!$J5=0,"",'表8 累积赔款额流量三角形示例'!D6/'表84 各种评估方法下最终损失的估计值'!$J5)</f>
        <v/>
      </c>
      <c r="E6" s="81" t="str">
        <f>IF('表8 累积赔款额流量三角形示例'!E6/'表84 各种评估方法下最终损失的估计值'!$J5=0,"",'表8 累积赔款额流量三角形示例'!E6/'表84 各种评估方法下最终损失的估计值'!$J5)</f>
        <v/>
      </c>
      <c r="F6" s="81" t="str">
        <f>IF('表8 累积赔款额流量三角形示例'!F6/'表84 各种评估方法下最终损失的估计值'!$J5=0,"",'表8 累积赔款额流量三角形示例'!F6/'表84 各种评估方法下最终损失的估计值'!$J5)</f>
        <v/>
      </c>
    </row>
    <row r="7" spans="1:6" ht="15.6">
      <c r="A7" s="3">
        <v>2008</v>
      </c>
      <c r="B7" s="81">
        <f>IF('表8 累积赔款额流量三角形示例'!B7/'表84 各种评估方法下最终损失的估计值'!$J6=0,"",'表8 累积赔款额流量三角形示例'!B7/'表84 各种评估方法下最终损失的估计值'!$J6)</f>
        <v>0.24404006206799267</v>
      </c>
      <c r="C7" s="81" t="str">
        <f>IF('表8 累积赔款额流量三角形示例'!C7/'表84 各种评估方法下最终损失的估计值'!$J6=0,"",'表8 累积赔款额流量三角形示例'!C7/'表84 各种评估方法下最终损失的估计值'!$J6)</f>
        <v/>
      </c>
      <c r="D7" s="81" t="str">
        <f>IF('表8 累积赔款额流量三角形示例'!D7/'表84 各种评估方法下最终损失的估计值'!$J6=0,"",'表8 累积赔款额流量三角形示例'!D7/'表84 各种评估方法下最终损失的估计值'!$J6)</f>
        <v/>
      </c>
      <c r="E7" s="81" t="str">
        <f>IF('表8 累积赔款额流量三角形示例'!E7/'表84 各种评估方法下最终损失的估计值'!$J6=0,"",'表8 累积赔款额流量三角形示例'!E7/'表84 各种评估方法下最终损失的估计值'!$J6)</f>
        <v/>
      </c>
      <c r="F7" s="81" t="str">
        <f>IF('表8 累积赔款额流量三角形示例'!F7/'表84 各种评估方法下最终损失的估计值'!$J6=0,"",'表8 累积赔款额流量三角形示例'!F7/'表84 各种评估方法下最终损失的估计值'!$J6)</f>
        <v/>
      </c>
    </row>
  </sheetData>
  <mergeCells count="2">
    <mergeCell ref="A1:A2"/>
    <mergeCell ref="B1:F1"/>
  </mergeCells>
  <phoneticPr fontId="3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870C5-7B0E-4D3C-8EB0-CBBABE92A9A7}">
  <dimension ref="A1:F7"/>
  <sheetViews>
    <sheetView workbookViewId="0">
      <selection sqref="A1:A2"/>
    </sheetView>
  </sheetViews>
  <sheetFormatPr defaultRowHeight="14.4"/>
  <sheetData>
    <row r="1" spans="1:6" ht="15.6">
      <c r="A1" s="52" t="s">
        <v>0</v>
      </c>
      <c r="B1" s="52" t="s">
        <v>1</v>
      </c>
      <c r="C1" s="52"/>
      <c r="D1" s="52"/>
      <c r="E1" s="52"/>
      <c r="F1" s="52"/>
    </row>
    <row r="2" spans="1:6" ht="15.6">
      <c r="A2" s="52"/>
      <c r="B2" s="3">
        <v>0</v>
      </c>
      <c r="C2" s="3">
        <v>1</v>
      </c>
      <c r="D2" s="3">
        <v>2</v>
      </c>
      <c r="E2" s="3">
        <v>3</v>
      </c>
      <c r="F2" s="3">
        <v>4</v>
      </c>
    </row>
    <row r="3" spans="1:6" ht="15.6">
      <c r="A3" s="3">
        <v>2004</v>
      </c>
      <c r="B3" s="81">
        <f>IF('表16 累积已报案赔款流量三角形'!B3/'表84 各种评估方法下最终损失的估计值'!$J2=0,"",'表16 累积已报案赔款流量三角形'!B3/'表84 各种评估方法下最终损失的估计值'!$J2)</f>
        <v>0.74656981436642456</v>
      </c>
      <c r="C3" s="81">
        <f>IF('表16 累积已报案赔款流量三角形'!C3/'表84 各种评估方法下最终损失的估计值'!$J2=0,"",'表16 累积已报案赔款流量三角形'!C3/'表84 各种评估方法下最终损失的估计值'!$J2)</f>
        <v>0.87570621468926557</v>
      </c>
      <c r="D3" s="81">
        <f>IF('表16 累积已报案赔款流量三角形'!D3/'表84 各种评估方法下最终损失的估计值'!$J2=0,"",'表16 累积已报案赔款流量三角形'!D3/'表84 各种评估方法下最终损失的估计值'!$J2)</f>
        <v>0.92574656981436643</v>
      </c>
      <c r="E3" s="81">
        <f>IF('表16 累积已报案赔款流量三角形'!E3/'表84 各种评估方法下最终损失的估计值'!$J2=0,"",'表16 累积已报案赔款流量三角形'!E3/'表84 各种评估方法下最终损失的估计值'!$J2)</f>
        <v>0.96825396825396826</v>
      </c>
      <c r="F3" s="81">
        <f>IF('表16 累积已报案赔款流量三角形'!F3/'表84 各种评估方法下最终损失的估计值'!$J2=0,"",'表16 累积已报案赔款流量三角形'!F3/'表84 各种评估方法下最终损失的估计值'!$J2)</f>
        <v>1</v>
      </c>
    </row>
    <row r="4" spans="1:6" ht="15.6">
      <c r="A4" s="3">
        <v>2005</v>
      </c>
      <c r="B4" s="81">
        <f>IF('表16 累积已报案赔款流量三角形'!B4/'表84 各种评估方法下最终损失的估计值'!$J3=0,"",'表16 累积已报案赔款流量三角形'!B4/'表84 各种评估方法下最终损失的估计值'!$J3)</f>
        <v>0.74244869725616791</v>
      </c>
      <c r="C4" s="81">
        <f>IF('表16 累积已报案赔款流量三角形'!C4/'表84 各种评估方法下最终损失的估计值'!$J3=0,"",'表16 累积已报案赔款流量三角形'!C4/'表84 各种评估方法下最终损失的估计值'!$J3)</f>
        <v>0.86972561678579663</v>
      </c>
      <c r="D4" s="81">
        <f>IF('表16 累积已报案赔款流量三角形'!D4/'表84 各种评估方法下最终损失的估计值'!$J3=0,"",'表16 累积已报案赔款流量三角形'!D4/'表84 各种评估方法下最终损失的估计值'!$J3)</f>
        <v>0.91630159096149411</v>
      </c>
      <c r="E4" s="81">
        <f>IF('表16 累积已报案赔款流量三角形'!E4/'表84 各种评估方法下最终损失的估计值'!$J3=0,"",'表16 累积已报案赔款流量三角形'!E4/'表84 各种评估方法下最终损失的估计值'!$J3)</f>
        <v>0.96818077011759285</v>
      </c>
      <c r="F4" s="81" t="str">
        <f>IF('表16 累积已报案赔款流量三角形'!F4/'表84 各种评估方法下最终损失的估计值'!$J3=0,"",'表16 累积已报案赔款流量三角形'!F4/'表84 各种评估方法下最终损失的估计值'!$J3)</f>
        <v/>
      </c>
    </row>
    <row r="5" spans="1:6" ht="15.6">
      <c r="A5" s="3">
        <v>2006</v>
      </c>
      <c r="B5" s="81">
        <f>IF('表16 累积已报案赔款流量三角形'!B5/'表84 各种评估方法下最终损失的估计值'!$J4=0,"",'表16 累积已报案赔款流量三角形'!B5/'表84 各种评估方法下最终损失的估计值'!$J4)</f>
        <v>0.71028582539373908</v>
      </c>
      <c r="C5" s="81">
        <f>IF('表16 累积已报案赔款流量三角形'!C5/'表84 各种评估方法下最终损失的估计值'!$J4=0,"",'表16 累积已报案赔款流量三角形'!C5/'表84 各种评估方法下最终损失的估计值'!$J4)</f>
        <v>0.85417071748007001</v>
      </c>
      <c r="D5" s="81">
        <f>IF('表16 累积已报案赔款流量三角形'!D5/'表84 各种评估方法下最终损失的估计值'!$J4=0,"",'表16 累积已报案赔款流量三角形'!D5/'表84 各种评估方法下最终损失的估计值'!$J4)</f>
        <v>0.92066887030915812</v>
      </c>
      <c r="E5" s="81" t="str">
        <f>IF('表16 累积已报案赔款流量三角形'!E5/'表84 各种评估方法下最终损失的估计值'!$J4=0,"",'表16 累积已报案赔款流量三角形'!E5/'表84 各种评估方法下最终损失的估计值'!$J4)</f>
        <v/>
      </c>
      <c r="F5" s="81" t="str">
        <f>IF('表16 累积已报案赔款流量三角形'!F5/'表84 各种评估方法下最终损失的估计值'!$J4=0,"",'表16 累积已报案赔款流量三角形'!F5/'表84 各种评估方法下最终损失的估计值'!$J4)</f>
        <v/>
      </c>
    </row>
    <row r="6" spans="1:6" ht="15.6">
      <c r="A6" s="3">
        <v>2007</v>
      </c>
      <c r="B6" s="81">
        <f>IF('表16 累积已报案赔款流量三角形'!B6/'表84 各种评估方法下最终损失的估计值'!$J5=0,"",'表16 累积已报案赔款流量三角形'!B6/'表84 各种评估方法下最终损失的估计值'!$J5)</f>
        <v>0.72345876701361089</v>
      </c>
      <c r="C6" s="81">
        <f>IF('表16 累积已报案赔款流量三角形'!C6/'表84 各种评估方法下最终损失的估计值'!$J5=0,"",'表16 累积已报案赔款流量三角形'!C6/'表84 各种评估方法下最终损失的估计值'!$J5)</f>
        <v>0.8653322658126501</v>
      </c>
      <c r="D6" s="81" t="str">
        <f>IF('表16 累积已报案赔款流量三角形'!D6/'表84 各种评估方法下最终损失的估计值'!$J5=0,"",'表16 累积已报案赔款流量三角形'!D6/'表84 各种评估方法下最终损失的估计值'!$J5)</f>
        <v/>
      </c>
      <c r="E6" s="81" t="str">
        <f>IF('表16 累积已报案赔款流量三角形'!E6/'表84 各种评估方法下最终损失的估计值'!$J5=0,"",'表16 累积已报案赔款流量三角形'!E6/'表84 各种评估方法下最终损失的估计值'!$J5)</f>
        <v/>
      </c>
      <c r="F6" s="81" t="str">
        <f>IF('表16 累积已报案赔款流量三角形'!F6/'表84 各种评估方法下最终损失的估计值'!$J5=0,"",'表16 累积已报案赔款流量三角形'!F6/'表84 各种评估方法下最终损失的估计值'!$J5)</f>
        <v/>
      </c>
    </row>
    <row r="7" spans="1:6" ht="15.6">
      <c r="A7" s="3">
        <v>2008</v>
      </c>
      <c r="B7" s="81">
        <f>IF('表16 累积已报案赔款流量三角形'!B7/'表84 各种评估方法下最终损失的估计值'!$J6=0,"",'表16 累积已报案赔款流量三角形'!B7/'表84 各种评估方法下最终损失的估计值'!$J6)</f>
        <v>0.75186909296092541</v>
      </c>
      <c r="C7" s="81" t="str">
        <f>IF('表16 累积已报案赔款流量三角形'!C7/'表84 各种评估方法下最终损失的估计值'!$J6=0,"",'表16 累积已报案赔款流量三角形'!C7/'表84 各种评估方法下最终损失的估计值'!$J6)</f>
        <v/>
      </c>
      <c r="D7" s="81" t="str">
        <f>IF('表16 累积已报案赔款流量三角形'!D7/'表84 各种评估方法下最终损失的估计值'!$J6=0,"",'表16 累积已报案赔款流量三角形'!D7/'表84 各种评估方法下最终损失的估计值'!$J6)</f>
        <v/>
      </c>
      <c r="E7" s="81" t="str">
        <f>IF('表16 累积已报案赔款流量三角形'!E7/'表84 各种评估方法下最终损失的估计值'!$J6=0,"",'表16 累积已报案赔款流量三角形'!E7/'表84 各种评估方法下最终损失的估计值'!$J6)</f>
        <v/>
      </c>
      <c r="F7" s="81" t="str">
        <f>IF('表16 累积已报案赔款流量三角形'!F7/'表84 各种评估方法下最终损失的估计值'!$J6=0,"",'表16 累积已报案赔款流量三角形'!F7/'表84 各种评估方法下最终损失的估计值'!$J6)</f>
        <v/>
      </c>
    </row>
  </sheetData>
  <mergeCells count="2">
    <mergeCell ref="A1:A2"/>
    <mergeCell ref="B1:F1"/>
  </mergeCells>
  <phoneticPr fontId="3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DECB9-F120-44FB-B072-9F5623259817}">
  <dimension ref="A1:F7"/>
  <sheetViews>
    <sheetView workbookViewId="0">
      <selection sqref="A1:A2"/>
    </sheetView>
  </sheetViews>
  <sheetFormatPr defaultRowHeight="14.4"/>
  <sheetData>
    <row r="1" spans="1:6" ht="15.6">
      <c r="A1" s="52" t="s">
        <v>0</v>
      </c>
      <c r="B1" s="52" t="s">
        <v>1</v>
      </c>
      <c r="C1" s="52"/>
      <c r="D1" s="52"/>
      <c r="E1" s="52"/>
      <c r="F1" s="52"/>
    </row>
    <row r="2" spans="1:6" ht="15.6">
      <c r="A2" s="52"/>
      <c r="B2" s="3">
        <v>0</v>
      </c>
      <c r="C2" s="3">
        <v>1</v>
      </c>
      <c r="D2" s="3">
        <v>2</v>
      </c>
      <c r="E2" s="3">
        <v>3</v>
      </c>
      <c r="F2" s="3">
        <v>4</v>
      </c>
    </row>
    <row r="3" spans="1:6" ht="15.6">
      <c r="A3" s="3">
        <v>2004</v>
      </c>
      <c r="B3" s="81">
        <f>IFERROR('表87 已报案赔款占最终损失的比例'!B3-'表86 已决赔款占最终损失的比例'!B3,"")</f>
        <v>0.47672854452515473</v>
      </c>
      <c r="C3" s="81">
        <f>IFERROR('表87 已报案赔款占最终损失的比例'!C3-'表86 已决赔款占最终损失的比例'!C3,"")</f>
        <v>0.37664783427495296</v>
      </c>
      <c r="D3" s="81">
        <f>IFERROR('表87 已报案赔款占最终损失的比例'!D3-'表86 已决赔款占最终损失的比例'!D3,"")</f>
        <v>0.27656712402475114</v>
      </c>
      <c r="E3" s="81">
        <f>IFERROR('表87 已报案赔款占最终损失的比例'!E3-'表86 已决赔款占最终损失的比例'!E3,"")</f>
        <v>0.16142050040355127</v>
      </c>
      <c r="F3" s="81">
        <f>IFERROR('表87 已报案赔款占最终损失的比例'!F3-'表86 已决赔款占最终损失的比例'!F3,"")</f>
        <v>0.10223298358891575</v>
      </c>
    </row>
    <row r="4" spans="1:6" ht="15.6">
      <c r="A4" s="3">
        <v>2005</v>
      </c>
      <c r="B4" s="81">
        <f>IFERROR('表87 已报案赔款占最终损失的比例'!B4-'表86 已决赔款占最终损失的比例'!B4,"")</f>
        <v>0.48420567212358778</v>
      </c>
      <c r="C4" s="81">
        <f>IFERROR('表87 已报案赔款占最终损失的比例'!C4-'表86 已决赔款占最终损失的比例'!C4,"")</f>
        <v>0.3825224809776343</v>
      </c>
      <c r="D4" s="81">
        <f>IFERROR('表87 已报案赔款占最终损失的比例'!D4-'表86 已决赔款占最终损失的比例'!D4,"")</f>
        <v>0.2762278072400276</v>
      </c>
      <c r="E4" s="81">
        <f>IFERROR('表87 已报案赔款占最终损失的比例'!E4-'表86 已决赔款占最终损失的比例'!E4,"")</f>
        <v>0.18422872953654601</v>
      </c>
      <c r="F4" s="81" t="str">
        <f>IFERROR('表87 已报案赔款占最终损失的比例'!F4-'表86 已决赔款占最终损失的比例'!F4,"")</f>
        <v/>
      </c>
    </row>
    <row r="5" spans="1:6" ht="15.6">
      <c r="A5" s="3">
        <v>2006</v>
      </c>
      <c r="B5" s="81">
        <f>IFERROR('表87 已报案赔款占最终损失的比例'!B5-'表86 已决赔款占最终损失的比例'!B5,"")</f>
        <v>0.46237604510985808</v>
      </c>
      <c r="C5" s="81">
        <f>IFERROR('表87 已报案赔款占最终损失的比例'!C5-'表86 已决赔款占最终损失的比例'!C5,"")</f>
        <v>0.38304491541901614</v>
      </c>
      <c r="D5" s="81">
        <f>IFERROR('表87 已报案赔款占最终损失的比例'!D5-'表86 已决赔款占最终损失的比例'!D5,"")</f>
        <v>0.2916585650398601</v>
      </c>
      <c r="E5" s="81" t="str">
        <f>IFERROR('表87 已报案赔款占最终损失的比例'!E5-'表86 已决赔款占最终损失的比例'!E5,"")</f>
        <v/>
      </c>
      <c r="F5" s="81" t="str">
        <f>IFERROR('表87 已报案赔款占最终损失的比例'!F5-'表86 已决赔款占最终损失的比例'!F5,"")</f>
        <v/>
      </c>
    </row>
    <row r="6" spans="1:6" ht="15.6">
      <c r="A6" s="3">
        <v>2007</v>
      </c>
      <c r="B6" s="81">
        <f>IFERROR('表87 已报案赔款占最终损失的比例'!B6-'表86 已决赔款占最终损失的比例'!B6,"")</f>
        <v>0.48502802241793436</v>
      </c>
      <c r="C6" s="81">
        <f>IFERROR('表87 已报案赔款占最终损失的比例'!C6-'表86 已决赔款占最终损失的比例'!C6,"")</f>
        <v>0.40656525220176137</v>
      </c>
      <c r="D6" s="81" t="str">
        <f>IFERROR('表87 已报案赔款占最终损失的比例'!D6-'表86 已决赔款占最终损失的比例'!D6,"")</f>
        <v/>
      </c>
      <c r="E6" s="81" t="str">
        <f>IFERROR('表87 已报案赔款占最终损失的比例'!E6-'表86 已决赔款占最终损失的比例'!E6,"")</f>
        <v/>
      </c>
      <c r="F6" s="81" t="str">
        <f>IFERROR('表87 已报案赔款占最终损失的比例'!F6-'表86 已决赔款占最终损失的比例'!F6,"")</f>
        <v/>
      </c>
    </row>
    <row r="7" spans="1:6" ht="15.6">
      <c r="A7" s="3">
        <v>2008</v>
      </c>
      <c r="B7" s="81">
        <f>IFERROR('表87 已报案赔款占最终损失的比例'!B7-'表86 已决赔款占最终损失的比例'!B7,"")</f>
        <v>0.50782903089293274</v>
      </c>
      <c r="C7" s="81" t="str">
        <f>IFERROR('表87 已报案赔款占最终损失的比例'!C7-'表86 已决赔款占最终损失的比例'!C7,"")</f>
        <v/>
      </c>
      <c r="D7" s="81" t="str">
        <f>IFERROR('表87 已报案赔款占最终损失的比例'!D7-'表86 已决赔款占最终损失的比例'!D7,"")</f>
        <v/>
      </c>
      <c r="E7" s="81" t="str">
        <f>IFERROR('表87 已报案赔款占最终损失的比例'!E7-'表86 已决赔款占最终损失的比例'!E7,"")</f>
        <v/>
      </c>
      <c r="F7" s="81" t="str">
        <f>IFERROR('表87 已报案赔款占最终损失的比例'!F7-'表86 已决赔款占最终损失的比例'!F7,"")</f>
        <v/>
      </c>
    </row>
  </sheetData>
  <mergeCells count="2">
    <mergeCell ref="A1:A2"/>
    <mergeCell ref="B1:F1"/>
  </mergeCells>
  <phoneticPr fontId="3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D59F-698F-4A5B-8940-3BE0495BBB31}">
  <dimension ref="A1:F7"/>
  <sheetViews>
    <sheetView workbookViewId="0">
      <selection sqref="A1:F7"/>
    </sheetView>
  </sheetViews>
  <sheetFormatPr defaultRowHeight="14.4"/>
  <sheetData>
    <row r="1" spans="1:6" ht="15.6">
      <c r="A1" s="52" t="s">
        <v>0</v>
      </c>
      <c r="B1" s="52" t="s">
        <v>1</v>
      </c>
      <c r="C1" s="52"/>
      <c r="D1" s="52"/>
      <c r="E1" s="52"/>
      <c r="F1" s="52"/>
    </row>
    <row r="2" spans="1:6" ht="15.6">
      <c r="A2" s="52"/>
      <c r="B2" s="3">
        <v>0</v>
      </c>
      <c r="C2" s="3">
        <v>1</v>
      </c>
      <c r="D2" s="3">
        <v>2</v>
      </c>
      <c r="E2" s="3">
        <v>3</v>
      </c>
      <c r="F2" s="3">
        <v>4</v>
      </c>
    </row>
    <row r="3" spans="1:6" ht="15.6">
      <c r="A3" s="3">
        <v>2004</v>
      </c>
      <c r="B3" s="81">
        <f>IFERROR(1-'表86 已决赔款占最终损失的比例'!B3,"")</f>
        <v>0.73015873015873023</v>
      </c>
      <c r="C3" s="81">
        <f>IFERROR(1-'表86 已决赔款占最终损失的比例'!C3,"")</f>
        <v>0.50094161958568739</v>
      </c>
      <c r="D3" s="81">
        <f>IFERROR(1-'表86 已决赔款占最终损失的比例'!D3,"")</f>
        <v>0.35082055421038472</v>
      </c>
      <c r="E3" s="81">
        <f>IFERROR(1-'表86 已决赔款占最终损失的比例'!E3,"")</f>
        <v>0.19316653214958301</v>
      </c>
      <c r="F3" s="81">
        <f>IFERROR(1-'表86 已决赔款占最终损失的比例'!F3,"")</f>
        <v>0.10223298358891575</v>
      </c>
    </row>
    <row r="4" spans="1:6" ht="15.6">
      <c r="A4" s="3">
        <v>2005</v>
      </c>
      <c r="B4" s="81">
        <f>IFERROR(1-'表86 已决赔款占最终损失的比例'!B4,"")</f>
        <v>0.74175697486741987</v>
      </c>
      <c r="C4" s="81">
        <f>IFERROR(1-'表86 已决赔款占最终损失的比例'!C4,"")</f>
        <v>0.51279686419183768</v>
      </c>
      <c r="D4" s="81">
        <f>IFERROR(1-'表86 已决赔款占最终损失的比例'!D4,"")</f>
        <v>0.3599262162785335</v>
      </c>
      <c r="E4" s="81">
        <f>IFERROR(1-'表86 已决赔款占最终损失的比例'!E4,"")</f>
        <v>0.21604795941895316</v>
      </c>
      <c r="F4" s="81" t="str">
        <f>IFERROR(1-'表86 已决赔款占最终损失的比例'!F4,"")</f>
        <v/>
      </c>
    </row>
    <row r="5" spans="1:6" ht="15.6">
      <c r="A5" s="3">
        <v>2006</v>
      </c>
      <c r="B5" s="81">
        <f>IFERROR(1-'表86 已决赔款占最终损失的比例'!B5,"")</f>
        <v>0.752090219716119</v>
      </c>
      <c r="C5" s="81">
        <f>IFERROR(1-'表86 已决赔款占最终损失的比例'!C5,"")</f>
        <v>0.52887419793894619</v>
      </c>
      <c r="D5" s="81">
        <f>IFERROR(1-'表86 已决赔款占最终损失的比例'!D5,"")</f>
        <v>0.37098969473070198</v>
      </c>
      <c r="E5" s="81" t="str">
        <f>IFERROR(1-'表86 已决赔款占最终损失的比例'!E5,"")</f>
        <v/>
      </c>
      <c r="F5" s="81" t="str">
        <f>IFERROR(1-'表86 已决赔款占最终损失的比例'!F5,"")</f>
        <v/>
      </c>
    </row>
    <row r="6" spans="1:6" ht="15.6">
      <c r="A6" s="3">
        <v>2007</v>
      </c>
      <c r="B6" s="81">
        <f>IFERROR(1-'表86 已决赔款占最终损失的比例'!B6,"")</f>
        <v>0.76156925540432341</v>
      </c>
      <c r="C6" s="81">
        <f>IFERROR(1-'表86 已决赔款占最终损失的比例'!C6,"")</f>
        <v>0.54123298638911121</v>
      </c>
      <c r="D6" s="81" t="str">
        <f>IFERROR(1-'表86 已决赔款占最终损失的比例'!D6,"")</f>
        <v/>
      </c>
      <c r="E6" s="81" t="str">
        <f>IFERROR(1-'表86 已决赔款占最终损失的比例'!E6,"")</f>
        <v/>
      </c>
      <c r="F6" s="81" t="str">
        <f>IFERROR(1-'表86 已决赔款占最终损失的比例'!F6,"")</f>
        <v/>
      </c>
    </row>
    <row r="7" spans="1:6" ht="15.6">
      <c r="A7" s="3">
        <v>2008</v>
      </c>
      <c r="B7" s="81">
        <f>IFERROR(1-'表86 已决赔款占最终损失的比例'!B7,"")</f>
        <v>0.75595993793200733</v>
      </c>
      <c r="C7" s="81" t="str">
        <f>IFERROR(1-'表86 已决赔款占最终损失的比例'!C7,"")</f>
        <v/>
      </c>
      <c r="D7" s="81" t="str">
        <f>IFERROR(1-'表86 已决赔款占最终损失的比例'!D7,"")</f>
        <v/>
      </c>
      <c r="E7" s="81" t="str">
        <f>IFERROR(1-'表86 已决赔款占最终损失的比例'!E7,"")</f>
        <v/>
      </c>
      <c r="F7" s="81" t="str">
        <f>IFERROR(1-'表86 已决赔款占最终损失的比例'!F7,"")</f>
        <v/>
      </c>
    </row>
  </sheetData>
  <mergeCells count="2">
    <mergeCell ref="A1:A2"/>
    <mergeCell ref="B1:F1"/>
  </mergeCells>
  <phoneticPr fontId="3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9DDB6-CBF5-4853-8C45-BDA19F35DCD1}">
  <dimension ref="A1:F7"/>
  <sheetViews>
    <sheetView workbookViewId="0">
      <selection sqref="A1:A2"/>
    </sheetView>
  </sheetViews>
  <sheetFormatPr defaultRowHeight="14.4"/>
  <cols>
    <col min="2" max="2" width="9.33203125" bestFit="1" customWidth="1"/>
  </cols>
  <sheetData>
    <row r="1" spans="1:6" ht="15.6">
      <c r="A1" s="52" t="s">
        <v>0</v>
      </c>
      <c r="B1" s="52" t="s">
        <v>1</v>
      </c>
      <c r="C1" s="52"/>
      <c r="D1" s="52"/>
      <c r="E1" s="52"/>
      <c r="F1" s="52"/>
    </row>
    <row r="2" spans="1:6" ht="15.6">
      <c r="A2" s="52"/>
      <c r="B2" s="3">
        <v>0</v>
      </c>
      <c r="C2" s="3">
        <v>1</v>
      </c>
      <c r="D2" s="3">
        <v>2</v>
      </c>
      <c r="E2" s="3">
        <v>3</v>
      </c>
      <c r="F2" s="3">
        <v>4</v>
      </c>
    </row>
    <row r="3" spans="1:6" ht="15.6">
      <c r="A3" s="3">
        <v>2004</v>
      </c>
      <c r="B3" s="81">
        <f>IFERROR('表89 未决赔款准备金占最终损失的比例'!B3/'表88 已发生已报案未决赔款准备金占最终损失的比例'!B3,"")</f>
        <v>1.5316027088036117</v>
      </c>
      <c r="C3" s="81">
        <f>IFERROR('表89 未决赔款准备金占最终损失的比例'!C3/'表88 已发生已报案未决赔款准备金占最终损失的比例'!C3,"")</f>
        <v>1.3299999999999998</v>
      </c>
      <c r="D3" s="81">
        <f>IFERROR('表89 未决赔款准备金占最终损失的比例'!D3/'表88 已发生已报案未决赔款准备金占最终损失的比例'!D3,"")</f>
        <v>1.2684824902723735</v>
      </c>
      <c r="E3" s="81">
        <f>IFERROR('表89 未决赔款准备金占最终损失的比例'!E3/'表88 已发生已报案未决赔款准备金占最终损失的比例'!E3,"")</f>
        <v>1.1966666666666665</v>
      </c>
      <c r="F3" s="81">
        <f>IFERROR('表89 未决赔款准备金占最终损失的比例'!F3/'表88 已发生已报案未决赔款准备金占最终损失的比例'!F3,"")</f>
        <v>1</v>
      </c>
    </row>
    <row r="4" spans="1:6" ht="15.6">
      <c r="A4" s="3">
        <v>2005</v>
      </c>
      <c r="B4" s="81">
        <f>IFERROR('表89 未决赔款准备金占最终损失的比例'!B4/'表88 已发生已报案未决赔款准备金占最终损失的比例'!B4,"")</f>
        <v>1.5319047619047617</v>
      </c>
      <c r="C4" s="81">
        <f>IFERROR('表89 未决赔款准备金占最终损失的比例'!C4/'表88 已发生已报案未决赔款准备金占最终损失的比例'!C4,"")</f>
        <v>1.3405666063893913</v>
      </c>
      <c r="D4" s="81">
        <f>IFERROR('表89 未决赔款准备金占最终损失的比例'!D4/'表88 已发生已报案未决赔款准备金占最终损失的比例'!D4,"")</f>
        <v>1.3030050083472455</v>
      </c>
      <c r="E4" s="81">
        <f>IFERROR('表89 未决赔款准备金占最终损失的比例'!E4/'表88 已发生已报案未决赔款准备金占最终损失的比例'!E4,"")</f>
        <v>1.1727158948685854</v>
      </c>
      <c r="F4" s="81" t="str">
        <f>IFERROR('表89 未决赔款准备金占最终损失的比例'!F4/'表88 已发生已报案未决赔款准备金占最终损失的比例'!F4,"")</f>
        <v/>
      </c>
    </row>
    <row r="5" spans="1:6" ht="15.6">
      <c r="A5" s="3">
        <v>2006</v>
      </c>
      <c r="B5" s="81">
        <f>IFERROR('表89 未决赔款准备金占最终损失的比例'!B5/'表88 已发生已报案未决赔款准备金占最终损失的比例'!B5,"")</f>
        <v>1.6265769554247267</v>
      </c>
      <c r="C5" s="81">
        <f>IFERROR('表89 未决赔款准备金占最终损失的比例'!C5/'表88 已发生已报案未决赔款准备金占最终损失的比例'!C5,"")</f>
        <v>1.3807106598984773</v>
      </c>
      <c r="D5" s="81">
        <f>IFERROR('表89 未决赔款准备金占最终损失的比例'!D5/'表88 已发生已报案未决赔款准备金占最终损失的比例'!D5,"")</f>
        <v>1.2719999999999998</v>
      </c>
      <c r="E5" s="81" t="str">
        <f>IFERROR('表89 未决赔款准备金占最终损失的比例'!E5/'表88 已发生已报案未决赔款准备金占最终损失的比例'!E5,"")</f>
        <v/>
      </c>
      <c r="F5" s="81" t="str">
        <f>IFERROR('表89 未决赔款准备金占最终损失的比例'!F5/'表88 已发生已报案未决赔款准备金占最终损失的比例'!F5,"")</f>
        <v/>
      </c>
    </row>
    <row r="6" spans="1:6" ht="15.6">
      <c r="A6" s="3">
        <v>2007</v>
      </c>
      <c r="B6" s="81">
        <f>IFERROR('表89 未决赔款准备金占最终损失的比例'!B6/'表88 已发生已报案未决赔款准备金占最终损失的比例'!B6,"")</f>
        <v>1.5701551667216902</v>
      </c>
      <c r="C6" s="81">
        <f>IFERROR('表89 未决赔款准备金占最终损失的比例'!C6/'表88 已发生已报案未决赔款准备金占最终损失的比例'!C6,"")</f>
        <v>1.3312327688066168</v>
      </c>
      <c r="D6" s="81" t="str">
        <f>IFERROR('表89 未决赔款准备金占最终损失的比例'!D6/'表88 已发生已报案未决赔款准备金占最终损失的比例'!D6,"")</f>
        <v/>
      </c>
      <c r="E6" s="81" t="str">
        <f>IFERROR('表89 未决赔款准备金占最终损失的比例'!E6/'表88 已发生已报案未决赔款准备金占最终损失的比例'!E6,"")</f>
        <v/>
      </c>
      <c r="F6" s="81" t="str">
        <f>IFERROR('表89 未决赔款准备金占最终损失的比例'!F6/'表88 已发生已报案未决赔款准备金占最终损失的比例'!F6,"")</f>
        <v/>
      </c>
    </row>
    <row r="7" spans="1:6" ht="15.6">
      <c r="A7" s="3">
        <v>2008</v>
      </c>
      <c r="B7" s="81">
        <f>IFERROR('表89 未决赔款准备金占最终损失的比例'!B7/'表88 已发生已报案未决赔款准备金占最终损失的比例'!B7,"")</f>
        <v>1.4886111111111111</v>
      </c>
      <c r="C7" s="81" t="str">
        <f>IFERROR('表89 未决赔款准备金占最终损失的比例'!C7/'表88 已发生已报案未决赔款准备金占最终损失的比例'!C7,"")</f>
        <v/>
      </c>
      <c r="D7" s="81" t="str">
        <f>IFERROR('表89 未决赔款准备金占最终损失的比例'!D7/'表88 已发生已报案未决赔款准备金占最终损失的比例'!D7,"")</f>
        <v/>
      </c>
      <c r="E7" s="81" t="str">
        <f>IFERROR('表89 未决赔款准备金占最终损失的比例'!E7/'表88 已发生已报案未决赔款准备金占最终损失的比例'!E7,"")</f>
        <v/>
      </c>
      <c r="F7" s="81" t="str">
        <f>IFERROR('表89 未决赔款准备金占最终损失的比例'!F7/'表88 已发生已报案未决赔款准备金占最终损失的比例'!F7,"")</f>
        <v/>
      </c>
    </row>
  </sheetData>
  <mergeCells count="2">
    <mergeCell ref="A1:A2"/>
    <mergeCell ref="B1:F1"/>
  </mergeCells>
  <phoneticPr fontId="3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A3C90-C152-4024-803C-D39E2A3D1B8A}">
  <dimension ref="A1:D6"/>
  <sheetViews>
    <sheetView workbookViewId="0"/>
  </sheetViews>
  <sheetFormatPr defaultRowHeight="14.4"/>
  <cols>
    <col min="1" max="1" width="12.6640625" customWidth="1"/>
    <col min="2" max="2" width="17.77734375" bestFit="1" customWidth="1"/>
    <col min="3" max="3" width="10.44140625" bestFit="1" customWidth="1"/>
    <col min="4" max="4" width="8.21875" bestFit="1" customWidth="1"/>
  </cols>
  <sheetData>
    <row r="1" spans="1:4" ht="15.6">
      <c r="A1" s="80" t="s">
        <v>34</v>
      </c>
      <c r="B1" s="80" t="s">
        <v>152</v>
      </c>
      <c r="C1" s="80" t="s">
        <v>100</v>
      </c>
      <c r="D1" s="80" t="s">
        <v>153</v>
      </c>
    </row>
    <row r="2" spans="1:4" ht="15.6">
      <c r="A2" s="39" t="s">
        <v>110</v>
      </c>
      <c r="B2" s="80">
        <f>'表84 各种评估方法下最终损失的估计值'!J2</f>
        <v>3717</v>
      </c>
      <c r="C2" s="25">
        <v>4586</v>
      </c>
      <c r="D2" s="82">
        <f>B2/C2</f>
        <v>0.81051024858264287</v>
      </c>
    </row>
    <row r="3" spans="1:4" ht="15.6">
      <c r="A3" s="39" t="s">
        <v>89</v>
      </c>
      <c r="B3" s="80">
        <f>'表84 各种评估方法下最终损失的估计值'!J3</f>
        <v>4337</v>
      </c>
      <c r="C3" s="25">
        <v>5089</v>
      </c>
      <c r="D3" s="82">
        <f t="shared" ref="D3:D6" si="0">B3/C3</f>
        <v>0.85223030064845751</v>
      </c>
    </row>
    <row r="4" spans="1:4" ht="15.6">
      <c r="A4" s="39" t="s">
        <v>88</v>
      </c>
      <c r="B4" s="80">
        <f>'表84 各种评估方法下最终损失的估计值'!J4</f>
        <v>5143</v>
      </c>
      <c r="C4" s="25">
        <v>5598</v>
      </c>
      <c r="D4" s="82">
        <f t="shared" si="0"/>
        <v>0.91872097177563417</v>
      </c>
    </row>
    <row r="5" spans="1:4" ht="15.6">
      <c r="A5" s="39" t="s">
        <v>87</v>
      </c>
      <c r="B5" s="80">
        <f>'表84 各种评估方法下最终损失的估计值'!J5</f>
        <v>6245</v>
      </c>
      <c r="C5" s="25">
        <v>6583</v>
      </c>
      <c r="D5" s="82">
        <f t="shared" si="0"/>
        <v>0.94865562813307003</v>
      </c>
    </row>
    <row r="6" spans="1:4" ht="15.6">
      <c r="A6" s="39" t="s">
        <v>86</v>
      </c>
      <c r="B6" s="80">
        <f>'表84 各种评估方法下最终损失的估计值'!J6</f>
        <v>7089</v>
      </c>
      <c r="C6" s="25">
        <v>7450</v>
      </c>
      <c r="D6" s="82">
        <f t="shared" si="0"/>
        <v>0.95154362416107385</v>
      </c>
    </row>
  </sheetData>
  <phoneticPr fontId="3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FF49C-8E02-44A7-9DE9-A71370571E0C}">
  <dimension ref="A1:C7"/>
  <sheetViews>
    <sheetView workbookViewId="0"/>
  </sheetViews>
  <sheetFormatPr defaultRowHeight="14.4"/>
  <cols>
    <col min="1" max="1" width="12.77734375" bestFit="1" customWidth="1"/>
    <col min="2" max="2" width="17.21875" bestFit="1" customWidth="1"/>
    <col min="3" max="3" width="18.33203125" bestFit="1" customWidth="1"/>
  </cols>
  <sheetData>
    <row r="1" spans="1:3" ht="15.6">
      <c r="A1" s="25" t="s">
        <v>0</v>
      </c>
      <c r="B1" s="25" t="s">
        <v>154</v>
      </c>
      <c r="C1" s="25" t="s">
        <v>155</v>
      </c>
    </row>
    <row r="2" spans="1:3" ht="15.6">
      <c r="A2" s="25" t="s">
        <v>132</v>
      </c>
      <c r="B2" s="25">
        <f>'表84 各种评估方法下最终损失的估计值'!J2</f>
        <v>3717</v>
      </c>
      <c r="C2" s="25">
        <f>0</f>
        <v>0</v>
      </c>
    </row>
    <row r="3" spans="1:3" ht="15.6">
      <c r="A3" s="25" t="s">
        <v>133</v>
      </c>
      <c r="B3" s="25">
        <f>'表84 各种评估方法下最终损失的估计值'!J3</f>
        <v>4337</v>
      </c>
      <c r="C3" s="25">
        <f>ROUND((1/'表18 各方法下的累积已报案赔款流量三角形最终进展因子'!F4-1/'表18 各方法下的累积已报案赔款流量三角形最终进展因子'!E4)*B3,0)</f>
        <v>138</v>
      </c>
    </row>
    <row r="4" spans="1:3" ht="15.6">
      <c r="A4" s="25" t="s">
        <v>134</v>
      </c>
      <c r="B4" s="25">
        <f>'表84 各种评估方法下最终损失的估计值'!J4</f>
        <v>5143</v>
      </c>
      <c r="C4" s="25">
        <f>ROUND((1/'表18 各方法下的累积已报案赔款流量三角形最终进展因子'!E4-1/'表18 各方法下的累积已报案赔款流量三角形最终进展因子'!D4)*B4,0)</f>
        <v>245</v>
      </c>
    </row>
    <row r="5" spans="1:3" ht="15.6">
      <c r="A5" s="25" t="s">
        <v>135</v>
      </c>
      <c r="B5" s="25">
        <f>'表84 各种评估方法下最终损失的估计值'!J5</f>
        <v>6245</v>
      </c>
      <c r="C5" s="25">
        <f>ROUND((1/'表18 各方法下的累积已报案赔款流量三角形最终进展因子'!D4-1/'表18 各方法下的累积已报案赔款流量三角形最终进展因子'!C4)*B5,0)</f>
        <v>345</v>
      </c>
    </row>
    <row r="6" spans="1:3" ht="15.6">
      <c r="A6" s="25" t="s">
        <v>136</v>
      </c>
      <c r="B6" s="25">
        <f>'表84 各种评估方法下最终损失的估计值'!J6</f>
        <v>7089</v>
      </c>
      <c r="C6" s="25">
        <f>ROUND((1/'表18 各方法下的累积已报案赔款流量三角形最终进展因子'!C4-1/'表18 各方法下的累积已报案赔款流量三角形最终进展因子'!B4)*B6,0)</f>
        <v>969</v>
      </c>
    </row>
    <row r="7" spans="1:3" ht="15.6">
      <c r="A7" s="25" t="s">
        <v>113</v>
      </c>
      <c r="B7" s="25">
        <f>SUM(B2:B6)</f>
        <v>26531</v>
      </c>
      <c r="C7" s="25">
        <f>SUM(C2:C6)</f>
        <v>1697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DDA7B-E56F-4626-AB4F-E1C5F1202A00}">
  <dimension ref="A1:F7"/>
  <sheetViews>
    <sheetView workbookViewId="0">
      <selection activeCell="K5" sqref="K5"/>
    </sheetView>
  </sheetViews>
  <sheetFormatPr defaultRowHeight="14.4"/>
  <sheetData>
    <row r="1" spans="1:6" ht="15.6">
      <c r="A1" s="52" t="s">
        <v>0</v>
      </c>
      <c r="B1" s="52" t="s">
        <v>1</v>
      </c>
      <c r="C1" s="52"/>
      <c r="D1" s="52"/>
      <c r="E1" s="52"/>
      <c r="F1" s="52"/>
    </row>
    <row r="2" spans="1:6" ht="15.6">
      <c r="A2" s="52"/>
      <c r="B2" s="3">
        <v>0</v>
      </c>
      <c r="C2" s="3">
        <v>1</v>
      </c>
      <c r="D2" s="3">
        <v>2</v>
      </c>
      <c r="E2" s="3">
        <v>3</v>
      </c>
      <c r="F2" s="3">
        <v>4</v>
      </c>
    </row>
    <row r="3" spans="1:6" ht="15.6">
      <c r="A3" s="3">
        <v>2004</v>
      </c>
      <c r="B3" s="3">
        <v>1772</v>
      </c>
      <c r="C3" s="3">
        <v>1400</v>
      </c>
      <c r="D3" s="3">
        <v>1028</v>
      </c>
      <c r="E3" s="3">
        <v>600</v>
      </c>
      <c r="F3" s="3">
        <v>380</v>
      </c>
    </row>
    <row r="4" spans="1:6" ht="15.6">
      <c r="A4" s="3">
        <v>2005</v>
      </c>
      <c r="B4" s="3">
        <v>2100</v>
      </c>
      <c r="C4" s="3">
        <v>1659</v>
      </c>
      <c r="D4" s="3">
        <v>1198</v>
      </c>
      <c r="E4" s="3">
        <v>799</v>
      </c>
      <c r="F4" s="3"/>
    </row>
    <row r="5" spans="1:6" ht="15.6">
      <c r="A5" s="3">
        <v>2006</v>
      </c>
      <c r="B5" s="3">
        <v>2378</v>
      </c>
      <c r="C5" s="3">
        <v>1970</v>
      </c>
      <c r="D5" s="3">
        <v>1500</v>
      </c>
      <c r="E5" s="3"/>
      <c r="F5" s="3"/>
    </row>
    <row r="6" spans="1:6" ht="15.6">
      <c r="A6" s="3">
        <v>2007</v>
      </c>
      <c r="B6" s="3">
        <v>3029</v>
      </c>
      <c r="C6" s="3">
        <v>2539</v>
      </c>
      <c r="D6" s="3"/>
      <c r="E6" s="3"/>
      <c r="F6" s="3"/>
    </row>
    <row r="7" spans="1:6" ht="15.6">
      <c r="A7" s="3">
        <v>2008</v>
      </c>
      <c r="B7" s="3">
        <v>3600</v>
      </c>
      <c r="C7" s="3"/>
      <c r="D7" s="3"/>
      <c r="E7" s="3"/>
      <c r="F7" s="3"/>
    </row>
  </sheetData>
  <mergeCells count="2">
    <mergeCell ref="A1:A2"/>
    <mergeCell ref="B1:F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820C-A4E0-4417-BE4B-1A4FD78B1BB8}">
  <dimension ref="A1:G7"/>
  <sheetViews>
    <sheetView workbookViewId="0">
      <selection sqref="A1:G7"/>
    </sheetView>
  </sheetViews>
  <sheetFormatPr defaultRowHeight="14.4"/>
  <sheetData>
    <row r="1" spans="1:7" ht="15.6">
      <c r="A1" s="52" t="s">
        <v>0</v>
      </c>
      <c r="B1" s="52" t="s">
        <v>1</v>
      </c>
      <c r="C1" s="52"/>
      <c r="D1" s="52"/>
      <c r="E1" s="52"/>
      <c r="F1" s="52"/>
      <c r="G1" s="52" t="s">
        <v>2</v>
      </c>
    </row>
    <row r="2" spans="1:7" ht="15.6">
      <c r="A2" s="52"/>
      <c r="B2" s="3">
        <v>0</v>
      </c>
      <c r="C2" s="3">
        <v>1</v>
      </c>
      <c r="D2" s="3">
        <v>2</v>
      </c>
      <c r="E2" s="3">
        <v>3</v>
      </c>
      <c r="F2" s="3">
        <v>4</v>
      </c>
      <c r="G2" s="52"/>
    </row>
    <row r="3" spans="1:7" ht="15.6">
      <c r="A3" s="3">
        <v>2004</v>
      </c>
      <c r="B3" s="3">
        <v>2775</v>
      </c>
      <c r="C3" s="3">
        <v>3255</v>
      </c>
      <c r="D3" s="3">
        <v>3441</v>
      </c>
      <c r="E3" s="3">
        <v>3599</v>
      </c>
      <c r="F3" s="3">
        <v>3717</v>
      </c>
      <c r="G3" s="3">
        <v>3717</v>
      </c>
    </row>
    <row r="4" spans="1:7" ht="15.6">
      <c r="A4" s="3">
        <v>2005</v>
      </c>
      <c r="B4" s="3">
        <v>3220</v>
      </c>
      <c r="C4" s="3">
        <v>3772</v>
      </c>
      <c r="D4" s="3">
        <v>3974</v>
      </c>
      <c r="E4" s="3">
        <v>4199</v>
      </c>
      <c r="F4" s="3"/>
      <c r="G4" s="3"/>
    </row>
    <row r="5" spans="1:7" ht="15.6">
      <c r="A5" s="3">
        <v>2006</v>
      </c>
      <c r="B5" s="3">
        <v>3653</v>
      </c>
      <c r="C5" s="3">
        <v>4393</v>
      </c>
      <c r="D5" s="3">
        <v>4735</v>
      </c>
      <c r="E5" s="3"/>
      <c r="F5" s="3"/>
      <c r="G5" s="3"/>
    </row>
    <row r="6" spans="1:7" ht="15.6">
      <c r="A6" s="3">
        <v>2007</v>
      </c>
      <c r="B6" s="3">
        <v>4518</v>
      </c>
      <c r="C6" s="3">
        <v>5404</v>
      </c>
      <c r="D6" s="3"/>
      <c r="E6" s="3"/>
      <c r="F6" s="3"/>
      <c r="G6" s="3"/>
    </row>
    <row r="7" spans="1:7" ht="15.6">
      <c r="A7" s="3">
        <v>2008</v>
      </c>
      <c r="B7" s="3">
        <v>5330</v>
      </c>
      <c r="C7" s="3"/>
      <c r="D7" s="3"/>
      <c r="E7" s="3"/>
      <c r="F7" s="3"/>
      <c r="G7" s="3"/>
    </row>
  </sheetData>
  <mergeCells count="3">
    <mergeCell ref="A1:A2"/>
    <mergeCell ref="B1:F1"/>
    <mergeCell ref="G1:G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79</vt:i4>
      </vt:variant>
      <vt:variant>
        <vt:lpstr>命名范围</vt:lpstr>
      </vt:variant>
      <vt:variant>
        <vt:i4>2</vt:i4>
      </vt:variant>
    </vt:vector>
  </HeadingPairs>
  <TitlesOfParts>
    <vt:vector size="81" baseType="lpstr">
      <vt:lpstr>全局参数</vt:lpstr>
      <vt:lpstr>表8 累积赔款额流量三角形示例</vt:lpstr>
      <vt:lpstr>表10 累积赔款额的逐年进展因子</vt:lpstr>
      <vt:lpstr>表11 各方法下的累积赔款额流量三角形逐年进展因子</vt:lpstr>
      <vt:lpstr>表12 各方法下的累积赔款额流量三角形最终进展因子</vt:lpstr>
      <vt:lpstr>表13 赔款与最终赔款的估计值（以原始加权平均法为例）</vt:lpstr>
      <vt:lpstr>表14 多种方法下的未决赔款准备金（基于已付赔款数据）</vt:lpstr>
      <vt:lpstr>表15 已报案未决赔款准备金三角形</vt:lpstr>
      <vt:lpstr>表16 累积已报案赔款流量三角形</vt:lpstr>
      <vt:lpstr>表17 各方法下的累积已报案赔款流量三角形逐年进展因子</vt:lpstr>
      <vt:lpstr>表18 各方法下的累积已报案赔款流量三角形最终进展因子</vt:lpstr>
      <vt:lpstr>表19 赔款与最终赔款的估计值（基于已报案赔款数据）</vt:lpstr>
      <vt:lpstr>表20 多种方法下的未决赔款准备金（基于已报案赔款数据）</vt:lpstr>
      <vt:lpstr>表26 赔款次数估计</vt:lpstr>
      <vt:lpstr>表27 年内赔款流量三角形</vt:lpstr>
      <vt:lpstr>表28 年内平均每案赔款支付额流量三角形</vt:lpstr>
      <vt:lpstr>d_h和v_j的计算</vt:lpstr>
      <vt:lpstr>lambda和p的估计</vt:lpstr>
      <vt:lpstr>表29 表30 lambda的预测</vt:lpstr>
      <vt:lpstr>表31 2008年末估计的未决年内赔款支付额</vt:lpstr>
      <vt:lpstr>表32 累积已付赔款次数流量三角形</vt:lpstr>
      <vt:lpstr>表33 已付案均赔款</vt:lpstr>
      <vt:lpstr>表34 逐年进展因子及最终因子的估计</vt:lpstr>
      <vt:lpstr>表35 预测的最终已付案均赔款额</vt:lpstr>
      <vt:lpstr>表36 估计的进展因子及预测的最终已付赔款次数</vt:lpstr>
      <vt:lpstr>表37 最终赔款和未决赔款准备金的估计</vt:lpstr>
      <vt:lpstr>表38 累积已报案赔款次数流量三角形</vt:lpstr>
      <vt:lpstr>表39 已报案案均赔款</vt:lpstr>
      <vt:lpstr>表40 逐年进展因子及最终进展因子的估计</vt:lpstr>
      <vt:lpstr>表41 预测的最终已报案案均赔款</vt:lpstr>
      <vt:lpstr>表42 估计的进展因子及预测的最终已付赔款次数</vt:lpstr>
      <vt:lpstr>表43 最终赔款和未决赔款准备金的估计</vt:lpstr>
      <vt:lpstr>表44 基于已付案均赔款的IBNR准备金评估</vt:lpstr>
      <vt:lpstr>表45 基于已报案赔款数据的IBNR准备金评估</vt:lpstr>
      <vt:lpstr>表46 增量已付赔款流量三角形</vt:lpstr>
      <vt:lpstr>表47 准备金进展率</vt:lpstr>
      <vt:lpstr>表48 准备金支付率</vt:lpstr>
      <vt:lpstr>表49 已报案未决赔款准备金的估计</vt:lpstr>
      <vt:lpstr>表50 未来增量已付赔款额的估计</vt:lpstr>
      <vt:lpstr>表51 未来的累积已付赔款额流量三角形</vt:lpstr>
      <vt:lpstr>表52 准备金进展法下的 IBNR 准备金评估</vt:lpstr>
      <vt:lpstr>表53 已赚保费</vt:lpstr>
      <vt:lpstr>表54 p'的估计值</vt:lpstr>
      <vt:lpstr>表55 预算 IBNR 方法下的 IBNR 准备金的估计结果</vt:lpstr>
      <vt:lpstr>表56 未决赔款准备金和最终赔款的估计值</vt:lpstr>
      <vt:lpstr>表57 未决赔款准备金和最终赔款的估计值</vt:lpstr>
      <vt:lpstr>表58</vt:lpstr>
      <vt:lpstr>表59</vt:lpstr>
      <vt:lpstr>表60</vt:lpstr>
      <vt:lpstr>表61</vt:lpstr>
      <vt:lpstr>表62</vt:lpstr>
      <vt:lpstr>表63</vt:lpstr>
      <vt:lpstr>表65 累积直接理赔费用流量三角形（单位 千元）</vt:lpstr>
      <vt:lpstr>表66 已付 ALAE 逐年进展因子和最终累积进展因子</vt:lpstr>
      <vt:lpstr>表67 最终 ALAE 和 ALAE 准备金的估计值</vt:lpstr>
      <vt:lpstr>表68 最终赔款的估计值</vt:lpstr>
      <vt:lpstr>表69 已付 ALAE 与已付赔款比率三角形</vt:lpstr>
      <vt:lpstr>表70 已付 ALAE 与已付赔款最终比率的估计值</vt:lpstr>
      <vt:lpstr>表71 最终直接理赔费用及最终理赔费用准备金的估计值</vt:lpstr>
      <vt:lpstr>表73 基于报案年的已报案未决赔款准备金</vt:lpstr>
      <vt:lpstr>表74 基于报案年的增量已付赔款</vt:lpstr>
      <vt:lpstr>表75 基于报案年的准备金支付率</vt:lpstr>
      <vt:lpstr>表76 未来准备金支付率的估计值</vt:lpstr>
      <vt:lpstr>表77 基于报案年的已发生已报案未决赔款准备金结转率</vt:lpstr>
      <vt:lpstr>表78 未来准备金结转率的估计值</vt:lpstr>
      <vt:lpstr>表79 准备金进展比率的估计</vt:lpstr>
      <vt:lpstr>表80 各报案年已发生已报案未决赔款准备金的估计</vt:lpstr>
      <vt:lpstr>表81 各报案年已决赔款的估计值</vt:lpstr>
      <vt:lpstr>表82 各报案年未来累积已决赔款的估计值</vt:lpstr>
      <vt:lpstr>表83 已发生已报案未决赔款准备金充足率</vt:lpstr>
      <vt:lpstr>表84 各种评估方法下最终损失的估计值</vt:lpstr>
      <vt:lpstr>表85 各种评估方法下未决赔款准备金的估计值</vt:lpstr>
      <vt:lpstr>表86 已决赔款占最终损失的比例</vt:lpstr>
      <vt:lpstr>表87 已报案赔款占最终损失的比例</vt:lpstr>
      <vt:lpstr>表88 已发生已报案未决赔款准备金占最终损失的比例</vt:lpstr>
      <vt:lpstr>表89 未决赔款准备金占最终损失的比例</vt:lpstr>
      <vt:lpstr>表90 未决赔款准备金需求量与已发生已报案未决赔款准备金的比例</vt:lpstr>
      <vt:lpstr>表91 最终损失与已赚保费的分析</vt:lpstr>
      <vt:lpstr>表92 各事故年在 2009 年的预测已报案赔款</vt:lpstr>
      <vt:lpstr>max_development_year</vt:lpstr>
      <vt:lpstr>min_accident_year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源 庄</dc:creator>
  <cp:lastModifiedBy>源 庄</cp:lastModifiedBy>
  <dcterms:created xsi:type="dcterms:W3CDTF">2023-10-05T06:34:19Z</dcterms:created>
  <dcterms:modified xsi:type="dcterms:W3CDTF">2023-12-11T15:08:52Z</dcterms:modified>
</cp:coreProperties>
</file>