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B18D8001-B249-4442-97B6-870B5A821A7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Образцы" sheetId="1" r:id="rId1"/>
    <sheet name="Определение температурного" sheetId="2" r:id="rId2"/>
    <sheet name="Ширина запрещенной зоны" sheetId="3" r:id="rId3"/>
  </sheets>
  <definedNames>
    <definedName name="_xlchart.v1.0" hidden="1">'Ширина запрещенной зоны'!$G$70:$G$83</definedName>
    <definedName name="_xlchart.v1.1" hidden="1">'Ширина запрещенной зоны'!$H$70:$H$83</definedName>
    <definedName name="_xlchart.v1.2" hidden="1">'Ширина запрещенной зоны'!$G$70:$G$83</definedName>
    <definedName name="_xlchart.v1.3" hidden="1">'Ширина запрещенной зоны'!$H$70:$H$83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" i="3" l="1"/>
  <c r="B132" i="3"/>
  <c r="B130" i="3"/>
  <c r="C110" i="3"/>
  <c r="C111" i="3"/>
  <c r="E111" i="3" s="1"/>
  <c r="C112" i="3"/>
  <c r="C109" i="3"/>
  <c r="E109" i="3" s="1"/>
  <c r="D123" i="3"/>
  <c r="D124" i="3"/>
  <c r="D125" i="3"/>
  <c r="D122" i="3"/>
  <c r="C123" i="3"/>
  <c r="C124" i="3"/>
  <c r="C125" i="3"/>
  <c r="D117" i="3"/>
  <c r="D118" i="3"/>
  <c r="D119" i="3"/>
  <c r="D116" i="3"/>
  <c r="B117" i="3"/>
  <c r="B115" i="3"/>
  <c r="B116" i="3"/>
  <c r="B114" i="3"/>
  <c r="E110" i="3"/>
  <c r="E112" i="3"/>
  <c r="D109" i="3"/>
  <c r="C122" i="3" l="1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G78" i="3"/>
  <c r="F70" i="3"/>
  <c r="G70" i="3" s="1"/>
  <c r="I83" i="3"/>
  <c r="I72" i="3"/>
  <c r="G87" i="3" s="1"/>
  <c r="F76" i="3"/>
  <c r="G76" i="3" s="1"/>
  <c r="F77" i="3"/>
  <c r="F78" i="3"/>
  <c r="F79" i="3"/>
  <c r="F80" i="3"/>
  <c r="I80" i="3" s="1"/>
  <c r="F81" i="3"/>
  <c r="G81" i="3" s="1"/>
  <c r="F82" i="3"/>
  <c r="G82" i="3" s="1"/>
  <c r="F83" i="3"/>
  <c r="G83" i="3" s="1"/>
  <c r="F71" i="3"/>
  <c r="F72" i="3"/>
  <c r="G72" i="3" s="1"/>
  <c r="F73" i="3"/>
  <c r="G73" i="3" s="1"/>
  <c r="F74" i="3"/>
  <c r="G74" i="3" s="1"/>
  <c r="F75" i="3"/>
  <c r="G75" i="3" s="1"/>
  <c r="O32" i="3"/>
  <c r="M39" i="3" s="1"/>
  <c r="U20" i="3"/>
  <c r="R36" i="3" s="1"/>
  <c r="U29" i="3"/>
  <c r="V18" i="3"/>
  <c r="V19" i="3"/>
  <c r="V20" i="3"/>
  <c r="V21" i="3"/>
  <c r="V22" i="3"/>
  <c r="V23" i="3"/>
  <c r="V24" i="3"/>
  <c r="V25" i="3"/>
  <c r="V26" i="3"/>
  <c r="V27" i="3"/>
  <c r="V28" i="3"/>
  <c r="V29" i="3"/>
  <c r="V17" i="3"/>
  <c r="U18" i="3"/>
  <c r="R34" i="3" s="1"/>
  <c r="U19" i="3"/>
  <c r="U21" i="3"/>
  <c r="U22" i="3"/>
  <c r="R38" i="3" s="1"/>
  <c r="U23" i="3"/>
  <c r="U24" i="3"/>
  <c r="U25" i="3"/>
  <c r="R35" i="3" s="1"/>
  <c r="U26" i="3"/>
  <c r="U27" i="3"/>
  <c r="R37" i="3" s="1"/>
  <c r="U28" i="3"/>
  <c r="U17" i="3"/>
  <c r="R33" i="3" s="1"/>
  <c r="P18" i="3"/>
  <c r="P19" i="3"/>
  <c r="P20" i="3"/>
  <c r="P21" i="3"/>
  <c r="P22" i="3"/>
  <c r="P23" i="3"/>
  <c r="P24" i="3"/>
  <c r="P25" i="3"/>
  <c r="P26" i="3"/>
  <c r="P27" i="3"/>
  <c r="P28" i="3"/>
  <c r="P29" i="3"/>
  <c r="P17" i="3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17" i="3"/>
  <c r="O17" i="3" s="1"/>
  <c r="I79" i="3" l="1"/>
  <c r="I77" i="3"/>
  <c r="I71" i="3"/>
  <c r="G86" i="3" s="1"/>
  <c r="I78" i="3"/>
  <c r="I81" i="3"/>
  <c r="G80" i="3"/>
  <c r="I75" i="3"/>
  <c r="G90" i="3" s="1"/>
  <c r="I74" i="3"/>
  <c r="G89" i="3" s="1"/>
  <c r="I82" i="3"/>
  <c r="G79" i="3"/>
  <c r="G77" i="3"/>
  <c r="I76" i="3"/>
  <c r="G91" i="3" s="1"/>
  <c r="I73" i="3"/>
  <c r="G88" i="3" s="1"/>
  <c r="G71" i="3"/>
  <c r="I70" i="3"/>
  <c r="M34" i="3"/>
  <c r="M36" i="3"/>
  <c r="M33" i="3"/>
  <c r="M38" i="3"/>
  <c r="M37" i="3"/>
  <c r="R39" i="3"/>
  <c r="M35" i="3"/>
  <c r="R40" i="3"/>
  <c r="R41" i="3" s="1"/>
  <c r="R15" i="1"/>
  <c r="P15" i="1"/>
  <c r="Q15" i="1" s="1"/>
  <c r="R14" i="1"/>
  <c r="P14" i="1"/>
  <c r="Q14" i="1" s="1"/>
  <c r="R13" i="1"/>
  <c r="P13" i="1"/>
  <c r="Q13" i="1" s="1"/>
  <c r="R12" i="1"/>
  <c r="P12" i="1"/>
  <c r="Q12" i="1" s="1"/>
  <c r="R11" i="1"/>
  <c r="P11" i="1"/>
  <c r="Q11" i="1" s="1"/>
  <c r="R10" i="1"/>
  <c r="P10" i="1"/>
  <c r="Q10" i="1" s="1"/>
  <c r="R9" i="1"/>
  <c r="P9" i="1"/>
  <c r="Q9" i="1" s="1"/>
  <c r="R8" i="1"/>
  <c r="P8" i="1"/>
  <c r="R7" i="1"/>
  <c r="P7" i="1"/>
  <c r="R6" i="1"/>
  <c r="P6" i="1"/>
  <c r="R5" i="1"/>
  <c r="P5" i="1"/>
  <c r="R4" i="1"/>
  <c r="P4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D10" i="2" s="1"/>
  <c r="G8" i="1"/>
  <c r="F8" i="1"/>
  <c r="G7" i="1"/>
  <c r="F7" i="1"/>
  <c r="D8" i="2" s="1"/>
  <c r="G6" i="1"/>
  <c r="F6" i="1"/>
  <c r="G5" i="1"/>
  <c r="F5" i="1"/>
  <c r="G4" i="1"/>
  <c r="F4" i="1"/>
  <c r="D5" i="2" s="1"/>
  <c r="G85" i="3" l="1"/>
  <c r="I85" i="3"/>
  <c r="M40" i="3"/>
  <c r="M47" i="3" s="1"/>
  <c r="R42" i="3"/>
  <c r="R43" i="3"/>
  <c r="R44" i="3"/>
  <c r="R45" i="3"/>
  <c r="R46" i="3"/>
  <c r="R47" i="3"/>
  <c r="D9" i="2"/>
  <c r="Q4" i="1"/>
  <c r="Q8" i="1"/>
  <c r="Q5" i="1"/>
  <c r="D6" i="2"/>
  <c r="D7" i="2"/>
  <c r="E5" i="2" s="1"/>
  <c r="D12" i="2" s="1"/>
  <c r="F5" i="2" s="1"/>
  <c r="Q6" i="1"/>
  <c r="Q7" i="1"/>
  <c r="K71" i="3" l="1"/>
  <c r="K78" i="3"/>
  <c r="K79" i="3"/>
  <c r="K75" i="3"/>
  <c r="K76" i="3"/>
  <c r="K77" i="3"/>
  <c r="K73" i="3"/>
  <c r="K74" i="3"/>
  <c r="K80" i="3"/>
  <c r="K72" i="3"/>
  <c r="K70" i="3"/>
  <c r="M45" i="3"/>
  <c r="M42" i="3"/>
  <c r="M44" i="3"/>
  <c r="M43" i="3"/>
  <c r="M41" i="3"/>
  <c r="M46" i="3"/>
  <c r="R48" i="3"/>
  <c r="R49" i="3" s="1"/>
  <c r="R50" i="3" s="1"/>
  <c r="R52" i="3" s="1"/>
  <c r="G5" i="2"/>
  <c r="K85" i="3" l="1"/>
  <c r="K87" i="3" s="1"/>
  <c r="M48" i="3"/>
  <c r="M49" i="3" s="1"/>
  <c r="M50" i="3" s="1"/>
  <c r="M52" i="3" s="1"/>
</calcChain>
</file>

<file path=xl/sharedStrings.xml><?xml version="1.0" encoding="utf-8"?>
<sst xmlns="http://schemas.openxmlformats.org/spreadsheetml/2006/main" count="70" uniqueCount="54">
  <si>
    <t>Tаблица 1: Металлический образец</t>
  </si>
  <si>
    <t>№</t>
  </si>
  <si>
    <t>T, K</t>
  </si>
  <si>
    <t>I, мкА</t>
  </si>
  <si>
    <t>U, В</t>
  </si>
  <si>
    <t>R, кОм</t>
  </si>
  <si>
    <t>t, ℃</t>
  </si>
  <si>
    <t>Tаблица 2: Полупроводниковый образец</t>
  </si>
  <si>
    <t>R, Ом</t>
  </si>
  <si>
    <t>ln R</t>
  </si>
  <si>
    <r>
      <rPr>
        <b/>
        <sz val="12"/>
        <color indexed="8"/>
        <rFont val="Helvetica Neue"/>
      </rPr>
      <t>10</t>
    </r>
    <r>
      <rPr>
        <b/>
        <vertAlign val="superscript"/>
        <sz val="12"/>
        <color indexed="8"/>
        <rFont val="Helvetica Neue"/>
      </rPr>
      <t>3</t>
    </r>
    <r>
      <rPr>
        <b/>
        <sz val="12"/>
        <color indexed="8"/>
        <rFont val="Helvetica Neue"/>
      </rPr>
      <t>/T, 1/K</t>
    </r>
  </si>
  <si>
    <t>α</t>
  </si>
  <si>
    <t xml:space="preserve"> Определение температурного коэффициента и погрешности</t>
  </si>
  <si>
    <r>
      <t>t</t>
    </r>
    <r>
      <rPr>
        <b/>
        <vertAlign val="subscript"/>
        <sz val="16"/>
        <color indexed="8"/>
        <rFont val="Helvetica Neue"/>
      </rPr>
      <t>α</t>
    </r>
  </si>
  <si>
    <r>
      <t>ε</t>
    </r>
    <r>
      <rPr>
        <b/>
        <vertAlign val="subscript"/>
        <sz val="16"/>
        <color theme="1"/>
        <rFont val="Helvetica Neue"/>
      </rPr>
      <t>α</t>
    </r>
    <r>
      <rPr>
        <b/>
        <sz val="16"/>
        <color theme="1"/>
        <rFont val="Helvetica Neue"/>
      </rPr>
      <t>, %</t>
    </r>
  </si>
  <si>
    <t>Пара</t>
  </si>
  <si>
    <t>4,10</t>
  </si>
  <si>
    <t>5,11</t>
  </si>
  <si>
    <t>6,12</t>
  </si>
  <si>
    <r>
      <t>α*10</t>
    </r>
    <r>
      <rPr>
        <b/>
        <vertAlign val="superscript"/>
        <sz val="16"/>
        <color indexed="8"/>
        <rFont val="Helvetica Neue"/>
        <charset val="204"/>
      </rPr>
      <t>-3</t>
    </r>
    <r>
      <rPr>
        <b/>
        <sz val="16"/>
        <color indexed="8"/>
        <rFont val="Helvetica Neue"/>
      </rPr>
      <t>, ℃</t>
    </r>
    <r>
      <rPr>
        <b/>
        <vertAlign val="superscript"/>
        <sz val="16"/>
        <color indexed="8"/>
        <rFont val="Helvetica Neue"/>
        <charset val="204"/>
      </rPr>
      <t>-1</t>
    </r>
  </si>
  <si>
    <r>
      <t>&lt;α&gt;*10</t>
    </r>
    <r>
      <rPr>
        <b/>
        <vertAlign val="superscript"/>
        <sz val="16"/>
        <color indexed="8"/>
        <rFont val="Helvetica Neue"/>
        <charset val="204"/>
      </rPr>
      <t>-3</t>
    </r>
    <r>
      <rPr>
        <b/>
        <sz val="16"/>
        <color indexed="8"/>
        <rFont val="Helvetica Neue"/>
      </rPr>
      <t>, ℃</t>
    </r>
    <r>
      <rPr>
        <b/>
        <vertAlign val="superscript"/>
        <sz val="16"/>
        <color indexed="8"/>
        <rFont val="Helvetica Neue"/>
        <charset val="204"/>
      </rPr>
      <t>-1</t>
    </r>
  </si>
  <si>
    <r>
      <t>S*10</t>
    </r>
    <r>
      <rPr>
        <b/>
        <vertAlign val="superscript"/>
        <sz val="16"/>
        <color indexed="8"/>
        <rFont val="Helvetica Neue"/>
        <charset val="204"/>
      </rPr>
      <t>-5</t>
    </r>
    <r>
      <rPr>
        <b/>
        <sz val="16"/>
        <color indexed="8"/>
        <rFont val="Helvetica Neue"/>
        <charset val="204"/>
      </rPr>
      <t>,℃</t>
    </r>
    <r>
      <rPr>
        <b/>
        <vertAlign val="superscript"/>
        <sz val="16"/>
        <color indexed="8"/>
        <rFont val="Helvetica Neue"/>
        <charset val="204"/>
      </rPr>
      <t>-1</t>
    </r>
  </si>
  <si>
    <r>
      <t>Δα*10</t>
    </r>
    <r>
      <rPr>
        <b/>
        <vertAlign val="superscript"/>
        <sz val="16"/>
        <color theme="1"/>
        <rFont val="Helvetica Neue"/>
        <charset val="204"/>
      </rPr>
      <t>-3</t>
    </r>
    <r>
      <rPr>
        <b/>
        <sz val="16"/>
        <color theme="1"/>
        <rFont val="Helvetica Neue"/>
      </rPr>
      <t>, ℃</t>
    </r>
    <r>
      <rPr>
        <b/>
        <vertAlign val="superscript"/>
        <sz val="16"/>
        <color theme="1"/>
        <rFont val="Helvetica Neue"/>
        <charset val="204"/>
      </rPr>
      <t>-1</t>
    </r>
  </si>
  <si>
    <t>Полу</t>
    <phoneticPr fontId="18" type="noConversion"/>
  </si>
  <si>
    <t>T</t>
    <phoneticPr fontId="18" type="noConversion"/>
  </si>
  <si>
    <t>I</t>
    <phoneticPr fontId="18" type="noConversion"/>
  </si>
  <si>
    <t>U</t>
    <phoneticPr fontId="18" type="noConversion"/>
  </si>
  <si>
    <t>R</t>
    <phoneticPr fontId="18" type="noConversion"/>
  </si>
  <si>
    <t>ln R</t>
    <phoneticPr fontId="18" type="noConversion"/>
  </si>
  <si>
    <t>1/K</t>
    <phoneticPr fontId="18" type="noConversion"/>
  </si>
  <si>
    <t>Метал</t>
    <phoneticPr fontId="18" type="noConversion"/>
  </si>
  <si>
    <t>t</t>
    <phoneticPr fontId="18" type="noConversion"/>
  </si>
  <si>
    <t>Коэффициент</t>
    <phoneticPr fontId="18" type="noConversion"/>
  </si>
  <si>
    <t>&lt;a&gt;</t>
    <phoneticPr fontId="18" type="noConversion"/>
  </si>
  <si>
    <t>sum</t>
    <phoneticPr fontId="18" type="noConversion"/>
  </si>
  <si>
    <t>S</t>
    <phoneticPr fontId="18" type="noConversion"/>
  </si>
  <si>
    <t>аб</t>
    <phoneticPr fontId="18" type="noConversion"/>
  </si>
  <si>
    <t>к</t>
    <phoneticPr fontId="18" type="noConversion"/>
  </si>
  <si>
    <t>ширина</t>
    <phoneticPr fontId="18" type="noConversion"/>
  </si>
  <si>
    <t>平均值</t>
    <phoneticPr fontId="18" type="noConversion"/>
  </si>
  <si>
    <t>绝对</t>
    <phoneticPr fontId="18" type="noConversion"/>
  </si>
  <si>
    <t>相对</t>
    <phoneticPr fontId="18" type="noConversion"/>
  </si>
  <si>
    <t>2Ui</t>
    <phoneticPr fontId="18" type="noConversion"/>
  </si>
  <si>
    <t>2Ui+n</t>
    <phoneticPr fontId="18" type="noConversion"/>
  </si>
  <si>
    <t>n</t>
    <phoneticPr fontId="18" type="noConversion"/>
  </si>
  <si>
    <t>Q</t>
    <phoneticPr fontId="18" type="noConversion"/>
  </si>
  <si>
    <t>v</t>
    <phoneticPr fontId="18" type="noConversion"/>
  </si>
  <si>
    <t>L</t>
    <phoneticPr fontId="18" type="noConversion"/>
  </si>
  <si>
    <t>C</t>
    <phoneticPr fontId="18" type="noConversion"/>
  </si>
  <si>
    <t>误差S</t>
    <phoneticPr fontId="18" type="noConversion"/>
  </si>
  <si>
    <t>T'</t>
    <phoneticPr fontId="18" type="noConversion"/>
  </si>
  <si>
    <t>表格</t>
    <phoneticPr fontId="18" type="noConversion"/>
  </si>
  <si>
    <r>
      <t>T''</t>
    </r>
    <r>
      <rPr>
        <sz val="11"/>
        <color theme="1"/>
        <rFont val="Calibri"/>
        <family val="2"/>
        <charset val="204"/>
      </rPr>
      <t>теор</t>
    </r>
    <phoneticPr fontId="18" type="noConversion"/>
  </si>
  <si>
    <t>第六步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</si>
</sst>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1">
    <font>
      <sz val="11"/>
      <color theme="1"/>
      <name val="宋体"/>
      <family val="2"/>
      <scheme val="minor"/>
    </font>
    <font>
      <b/>
      <sz val="13"/>
      <color indexed="8"/>
      <name val="Helvetica Neue"/>
    </font>
    <font>
      <b/>
      <sz val="12"/>
      <color indexed="8"/>
      <name val="Helvetica Neue"/>
    </font>
    <font>
      <sz val="12"/>
      <color indexed="8"/>
      <name val="Helvetica Neue"/>
    </font>
    <font>
      <b/>
      <vertAlign val="superscript"/>
      <sz val="12"/>
      <color indexed="8"/>
      <name val="Helvetica Neue"/>
    </font>
    <font>
      <b/>
      <sz val="20"/>
      <color indexed="8"/>
      <name val="Helvetica Neue"/>
    </font>
    <font>
      <b/>
      <sz val="16"/>
      <color indexed="8"/>
      <name val="Helvetica Neue"/>
    </font>
    <font>
      <b/>
      <vertAlign val="subscript"/>
      <sz val="16"/>
      <color indexed="8"/>
      <name val="Helvetica Neue"/>
    </font>
    <font>
      <b/>
      <sz val="16"/>
      <color theme="1"/>
      <name val="Helvetica Neue"/>
    </font>
    <font>
      <b/>
      <vertAlign val="subscript"/>
      <sz val="16"/>
      <color theme="1"/>
      <name val="Helvetica Neue"/>
    </font>
    <font>
      <sz val="16"/>
      <color indexed="8"/>
      <name val="Helvetica Neue"/>
    </font>
    <font>
      <sz val="16"/>
      <color theme="1"/>
      <name val="宋体"/>
      <family val="2"/>
      <scheme val="minor"/>
    </font>
    <font>
      <b/>
      <sz val="16"/>
      <name val="Helvetica Neue"/>
    </font>
    <font>
      <b/>
      <vertAlign val="superscript"/>
      <sz val="16"/>
      <color indexed="8"/>
      <name val="Helvetica Neue"/>
      <charset val="204"/>
    </font>
    <font>
      <b/>
      <vertAlign val="superscript"/>
      <sz val="16"/>
      <color theme="1"/>
      <name val="Helvetica Neue"/>
      <charset val="204"/>
    </font>
    <font>
      <b/>
      <sz val="16"/>
      <color indexed="8"/>
      <name val="Helvetica Neue"/>
      <charset val="204"/>
    </font>
    <font>
      <b/>
      <sz val="16"/>
      <color theme="1"/>
      <name val="宋体"/>
      <family val="2"/>
      <charset val="204"/>
      <scheme val="minor"/>
    </font>
    <font>
      <sz val="16"/>
      <color indexed="8"/>
      <name val="Helvetica Neue"/>
      <charset val="204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204"/>
    </font>
    <font>
      <sz val="11"/>
      <color theme="1"/>
      <name val="宋体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top" wrapText="1"/>
    </xf>
    <xf numFmtId="176" fontId="3" fillId="0" borderId="0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 readingOrder="1"/>
    </xf>
    <xf numFmtId="49" fontId="8" fillId="0" borderId="2" xfId="0" applyNumberFormat="1" applyFont="1" applyBorder="1" applyAlignment="1">
      <alignment horizontal="center" vertical="center" wrapText="1" readingOrder="1"/>
    </xf>
    <xf numFmtId="0" fontId="6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 readingOrder="1"/>
    </xf>
    <xf numFmtId="49" fontId="12" fillId="0" borderId="2" xfId="0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0" borderId="3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0" borderId="7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2" fontId="16" fillId="0" borderId="2" xfId="0" applyNumberFormat="1" applyFont="1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2" fontId="11" fillId="0" borderId="2" xfId="0" applyNumberFormat="1" applyFont="1" applyBorder="1" applyAlignment="1">
      <alignment vertical="top" wrapText="1"/>
    </xf>
    <xf numFmtId="1" fontId="10" fillId="0" borderId="2" xfId="0" applyNumberFormat="1" applyFont="1" applyBorder="1" applyAlignment="1">
      <alignment horizontal="center" vertical="center" wrapText="1"/>
    </xf>
    <xf numFmtId="0" fontId="0" fillId="0" borderId="0" xfId="0"/>
    <xf numFmtId="49" fontId="6" fillId="0" borderId="2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vertical="top" wrapText="1"/>
    </xf>
    <xf numFmtId="2" fontId="11" fillId="0" borderId="2" xfId="0" applyNumberFormat="1" applyFont="1" applyBorder="1" applyAlignment="1">
      <alignment horizontal="center" vertical="top" wrapText="1"/>
    </xf>
    <xf numFmtId="2" fontId="17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/>
              <a:t>Полупроводник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5759408353211"/>
                  <c:y val="-3.83999806488286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'Ширина запрещенной зоны'!$P$17:$P$29</c:f>
              <c:numCache>
                <c:formatCode>General</c:formatCode>
                <c:ptCount val="13"/>
                <c:pt idx="0">
                  <c:v>3.3898305084745762E-3</c:v>
                </c:pt>
                <c:pt idx="1">
                  <c:v>3.3333333333333335E-3</c:v>
                </c:pt>
                <c:pt idx="2">
                  <c:v>3.2786885245901639E-3</c:v>
                </c:pt>
                <c:pt idx="3">
                  <c:v>3.2258064516129032E-3</c:v>
                </c:pt>
                <c:pt idx="4">
                  <c:v>3.1746031746031746E-3</c:v>
                </c:pt>
                <c:pt idx="5">
                  <c:v>3.1250000000000002E-3</c:v>
                </c:pt>
                <c:pt idx="6">
                  <c:v>3.0769230769230769E-3</c:v>
                </c:pt>
                <c:pt idx="7">
                  <c:v>3.0303030303030303E-3</c:v>
                </c:pt>
                <c:pt idx="8">
                  <c:v>2.9850746268656717E-3</c:v>
                </c:pt>
                <c:pt idx="9">
                  <c:v>2.9411764705882353E-3</c:v>
                </c:pt>
                <c:pt idx="10">
                  <c:v>2.8985507246376812E-3</c:v>
                </c:pt>
                <c:pt idx="11">
                  <c:v>2.8571428571428571E-3</c:v>
                </c:pt>
                <c:pt idx="12">
                  <c:v>2.8169014084507044E-3</c:v>
                </c:pt>
              </c:numCache>
            </c:numRef>
          </c:xVal>
          <c:yVal>
            <c:numRef>
              <c:f>'Ширина запрещенной зоны'!$O$17:$O$29</c:f>
              <c:numCache>
                <c:formatCode>General</c:formatCode>
                <c:ptCount val="13"/>
                <c:pt idx="0">
                  <c:v>6.7281380621622606</c:v>
                </c:pt>
                <c:pt idx="1">
                  <c:v>6.4814546102858346</c:v>
                </c:pt>
                <c:pt idx="2">
                  <c:v>6.3743431565433504</c:v>
                </c:pt>
                <c:pt idx="3">
                  <c:v>6.2153678097684333</c:v>
                </c:pt>
                <c:pt idx="4">
                  <c:v>6.0106542415011228</c:v>
                </c:pt>
                <c:pt idx="5">
                  <c:v>5.8254985066735934</c:v>
                </c:pt>
                <c:pt idx="6">
                  <c:v>5.6307815817717106</c:v>
                </c:pt>
                <c:pt idx="7">
                  <c:v>5.4384705367314412</c:v>
                </c:pt>
                <c:pt idx="8">
                  <c:v>5.248706865994702</c:v>
                </c:pt>
                <c:pt idx="9">
                  <c:v>5.0472886117442908</c:v>
                </c:pt>
                <c:pt idx="10">
                  <c:v>4.9054229156137241</c:v>
                </c:pt>
                <c:pt idx="11">
                  <c:v>4.7201938625568731</c:v>
                </c:pt>
                <c:pt idx="12">
                  <c:v>4.5447830359729959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A-4E43-8171-331D2ED71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9120"/>
        <c:axId val="157539536"/>
      </c:scatterChart>
      <c:valAx>
        <c:axId val="157539120"/>
        <c:scaling>
          <c:orientation val="minMax"/>
          <c:max val="3.5000000000000009E-3"/>
          <c:min val="2.7000000000000006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1/K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9651656290308388"/>
              <c:y val="0.8517020373616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39536"/>
        <c:crosses val="autoZero"/>
        <c:crossBetween val="midCat"/>
      </c:valAx>
      <c:valAx>
        <c:axId val="1575395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ln</a:t>
                </a:r>
                <a:r>
                  <a:rPr lang="en-US" altLang="zh-CN" sz="1400" baseline="0"/>
                  <a:t> 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/>
              <a:t>Металл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Меттал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74300130972695"/>
                  <c:y val="-1.380204094452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'Ширина запрещенной зоны'!$V$17:$V$29</c:f>
              <c:numCache>
                <c:formatCode>General</c:formatCode>
                <c:ptCount val="13"/>
                <c:pt idx="0">
                  <c:v>86.850000000000023</c:v>
                </c:pt>
                <c:pt idx="1">
                  <c:v>81.850000000000023</c:v>
                </c:pt>
                <c:pt idx="2">
                  <c:v>76.850000000000023</c:v>
                </c:pt>
                <c:pt idx="3">
                  <c:v>71.850000000000023</c:v>
                </c:pt>
                <c:pt idx="4">
                  <c:v>66.850000000000023</c:v>
                </c:pt>
                <c:pt idx="5">
                  <c:v>61.850000000000023</c:v>
                </c:pt>
                <c:pt idx="6">
                  <c:v>56.850000000000023</c:v>
                </c:pt>
                <c:pt idx="7">
                  <c:v>51.850000000000023</c:v>
                </c:pt>
                <c:pt idx="8">
                  <c:v>46.850000000000023</c:v>
                </c:pt>
                <c:pt idx="9">
                  <c:v>41.850000000000023</c:v>
                </c:pt>
                <c:pt idx="10">
                  <c:v>36.850000000000023</c:v>
                </c:pt>
                <c:pt idx="11">
                  <c:v>31.850000000000023</c:v>
                </c:pt>
                <c:pt idx="12">
                  <c:v>26.850000000000023</c:v>
                </c:pt>
              </c:numCache>
            </c:numRef>
          </c:xVal>
          <c:yVal>
            <c:numRef>
              <c:f>'Ширина запрещенной зоны'!$U$17:$U$29</c:f>
              <c:numCache>
                <c:formatCode>General</c:formatCode>
                <c:ptCount val="13"/>
                <c:pt idx="0">
                  <c:v>1353.0864197530864</c:v>
                </c:pt>
                <c:pt idx="1">
                  <c:v>1336.3192182410423</c:v>
                </c:pt>
                <c:pt idx="2">
                  <c:v>1316.9750603378923</c:v>
                </c:pt>
                <c:pt idx="3">
                  <c:v>1298.1614708233415</c:v>
                </c:pt>
                <c:pt idx="4">
                  <c:v>1277.6898734177216</c:v>
                </c:pt>
                <c:pt idx="5">
                  <c:v>1258.8235294117649</c:v>
                </c:pt>
                <c:pt idx="6">
                  <c:v>1229.7609868928296</c:v>
                </c:pt>
                <c:pt idx="7">
                  <c:v>1213.3537989255565</c:v>
                </c:pt>
                <c:pt idx="8">
                  <c:v>1194.6768060836503</c:v>
                </c:pt>
                <c:pt idx="9">
                  <c:v>1177.2247360482654</c:v>
                </c:pt>
                <c:pt idx="10">
                  <c:v>1155.8538404175988</c:v>
                </c:pt>
                <c:pt idx="11">
                  <c:v>1138.2113821138212</c:v>
                </c:pt>
                <c:pt idx="12">
                  <c:v>1120.1465201465201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B-4DE0-BA5C-C066586A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92896"/>
        <c:axId val="2091193312"/>
      </c:scatterChart>
      <c:valAx>
        <c:axId val="2091192896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193312"/>
        <c:crosses val="autoZero"/>
        <c:crossBetween val="midCat"/>
      </c:valAx>
      <c:valAx>
        <c:axId val="209119331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1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λ(R)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99759405074368"/>
          <c:y val="0.19486111111111112"/>
          <c:w val="0.8164468503937008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55052493438321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'Ширина запрещенной зоны'!$A$70:$A$80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'Ширина запрещенной зоны'!$F$70:$F$80</c:f>
              <c:numCache>
                <c:formatCode>General</c:formatCode>
                <c:ptCount val="11"/>
                <c:pt idx="0">
                  <c:v>0.33588017015412769</c:v>
                </c:pt>
                <c:pt idx="1">
                  <c:v>0.38933467699905361</c:v>
                </c:pt>
                <c:pt idx="2">
                  <c:v>0.40117323626246865</c:v>
                </c:pt>
                <c:pt idx="3">
                  <c:v>0.47600440723811716</c:v>
                </c:pt>
                <c:pt idx="4">
                  <c:v>0.51480970859057906</c:v>
                </c:pt>
                <c:pt idx="5">
                  <c:v>0.56909453188996639</c:v>
                </c:pt>
                <c:pt idx="6">
                  <c:v>0.6359887667199966</c:v>
                </c:pt>
                <c:pt idx="7">
                  <c:v>0.69314718055994529</c:v>
                </c:pt>
                <c:pt idx="8">
                  <c:v>0.73570679497874125</c:v>
                </c:pt>
                <c:pt idx="9">
                  <c:v>0.78411895876567195</c:v>
                </c:pt>
                <c:pt idx="10">
                  <c:v>0.81093021621632877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2-4D07-8818-C0FF6C89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35184"/>
        <c:axId val="1491621872"/>
      </c:scatterChart>
      <c:valAx>
        <c:axId val="14916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R,</a:t>
                </a:r>
                <a:r>
                  <a:rPr lang="ru-RU" altLang="zh-CN"/>
                  <a:t>Ом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621872"/>
        <c:crosses val="autoZero"/>
        <c:crossBetween val="midCat"/>
      </c:valAx>
      <c:valAx>
        <c:axId val="1491621872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latin typeface="宋体" panose="02010600030101010101" pitchFamily="2" charset="-122"/>
                    <a:ea typeface="宋体" panose="02010600030101010101" pitchFamily="2" charset="-122"/>
                  </a:rPr>
                  <a:t>λ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6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'Ширина запрещенной зоны'!$H$70:$H$83</c:f>
              <c:numCache>
                <c:formatCode>General</c:formatCode>
                <c:ptCount val="14"/>
                <c:pt idx="0">
                  <c:v>66</c:v>
                </c:pt>
                <c:pt idx="1">
                  <c:v>76</c:v>
                </c:pt>
                <c:pt idx="2">
                  <c:v>86</c:v>
                </c:pt>
                <c:pt idx="3">
                  <c:v>96</c:v>
                </c:pt>
                <c:pt idx="4">
                  <c:v>106</c:v>
                </c:pt>
                <c:pt idx="5">
                  <c:v>116</c:v>
                </c:pt>
                <c:pt idx="6">
                  <c:v>126</c:v>
                </c:pt>
                <c:pt idx="7">
                  <c:v>136</c:v>
                </c:pt>
                <c:pt idx="8">
                  <c:v>146</c:v>
                </c:pt>
                <c:pt idx="9">
                  <c:v>156</c:v>
                </c:pt>
                <c:pt idx="10">
                  <c:v>166</c:v>
                </c:pt>
                <c:pt idx="11">
                  <c:v>266</c:v>
                </c:pt>
                <c:pt idx="12">
                  <c:v>366</c:v>
                </c:pt>
                <c:pt idx="13">
                  <c:v>466</c:v>
                </c:pt>
              </c:numCache>
            </c:numRef>
          </c:xVal>
          <c:yVal>
            <c:numRef>
              <c:f>'Ширина запрещенной зоны'!$G$70:$G$83</c:f>
              <c:numCache>
                <c:formatCode>General</c:formatCode>
                <c:ptCount val="14"/>
                <c:pt idx="0">
                  <c:v>12.844022124988705</c:v>
                </c:pt>
                <c:pt idx="1">
                  <c:v>11.614372840544085</c:v>
                </c:pt>
                <c:pt idx="2">
                  <c:v>11.388273369263</c:v>
                </c:pt>
                <c:pt idx="3">
                  <c:v>10.232616071692469</c:v>
                </c:pt>
                <c:pt idx="4">
                  <c:v>9.7738438111682466</c:v>
                </c:pt>
                <c:pt idx="5">
                  <c:v>9.2453994383800211</c:v>
                </c:pt>
                <c:pt idx="6">
                  <c:v>8.730002662379329</c:v>
                </c:pt>
                <c:pt idx="7">
                  <c:v>8.3775804095727811</c:v>
                </c:pt>
                <c:pt idx="8">
                  <c:v>8.1557515198545154</c:v>
                </c:pt>
                <c:pt idx="9">
                  <c:v>7.937444841786272</c:v>
                </c:pt>
                <c:pt idx="10">
                  <c:v>7.8298155366391766</c:v>
                </c:pt>
                <c:pt idx="11">
                  <c:v>6.9631837170475066</c:v>
                </c:pt>
                <c:pt idx="12">
                  <c:v>6.4627048873847173</c:v>
                </c:pt>
                <c:pt idx="13">
                  <c:v>6.3829184072935483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Q(R)</c:v>
                </c15:tx>
              </c15:filteredSeriesTitle>
            </c:ext>
            <c:ext xmlns:c16="http://schemas.microsoft.com/office/drawing/2014/chart" uri="{C3380CC4-5D6E-409C-BE32-E72D297353CC}">
              <c16:uniqueId val="{00000000-37DC-40CD-A612-3D8DA384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24064"/>
        <c:axId val="760816992"/>
      </c:scatterChart>
      <c:valAx>
        <c:axId val="7608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R,</a:t>
                </a:r>
                <a:r>
                  <a:rPr lang="ru-RU" altLang="zh-CN" sz="1200"/>
                  <a:t>Ом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16992"/>
        <c:crosses val="autoZero"/>
        <c:crossBetween val="midCat"/>
      </c:valAx>
      <c:valAx>
        <c:axId val="7608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Q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эксп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'Ширина запрещенной зоны'!$B$122:$B$125</c:f>
              <c:numCache>
                <c:formatCode>General</c:formatCode>
                <c:ptCount val="4"/>
                <c:pt idx="0">
                  <c:v>0.22</c:v>
                </c:pt>
                <c:pt idx="1">
                  <c:v>0.33</c:v>
                </c:pt>
                <c:pt idx="2">
                  <c:v>0.47</c:v>
                </c:pt>
                <c:pt idx="3">
                  <c:v>4.7</c:v>
                </c:pt>
              </c:numCache>
            </c:numRef>
          </c:xVal>
          <c:yVal>
            <c:numRef>
              <c:f>'Ширина запрещенной зоны'!$D$122:$D$125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12.999999999999998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9-4D07-B724-026AB311816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438475535"/>
        <c:axId val="1438460975"/>
      </c:scatterChart>
      <c:valAx>
        <c:axId val="14384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zh-CN"/>
                  <a:t>С</a:t>
                </a:r>
                <a:r>
                  <a:rPr lang="en-US" altLang="zh-CN"/>
                  <a:t>,</a:t>
                </a:r>
                <a:endParaRPr lang="zh-CN" altLang="zh-CN" sz="1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60975"/>
        <c:crosses val="autoZero"/>
        <c:crossBetween val="midCat"/>
      </c:valAx>
      <c:valAx>
        <c:axId val="14384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T,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 </a:t>
            </a:r>
            <a:r>
              <a:rPr lang="ru-RU" altLang="zh-CN"/>
              <a:t>теор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эксп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0195415026246694E-2"/>
                  <c:y val="3.6526966387266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BC-412C-BB63-BC21E5028FC2}"/>
                </c:ext>
              </c:extLst>
            </c:dLbl>
            <c:dLbl>
              <c:idx val="2"/>
              <c:layout>
                <c:manualLayout>
                  <c:x val="-1.4987081692913434E-2"/>
                  <c:y val="2.36237405808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BC-412C-BB63-BC21E5028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'Ширина запрещенной зоны'!$B$122:$B$125</c:f>
              <c:numCache>
                <c:formatCode>General</c:formatCode>
                <c:ptCount val="4"/>
                <c:pt idx="0">
                  <c:v>0.22</c:v>
                </c:pt>
                <c:pt idx="1">
                  <c:v>0.33</c:v>
                </c:pt>
                <c:pt idx="2">
                  <c:v>0.47</c:v>
                </c:pt>
                <c:pt idx="3">
                  <c:v>4.7</c:v>
                </c:pt>
              </c:numCache>
            </c:numRef>
          </c:xVal>
          <c:yVal>
            <c:numRef>
              <c:f>'Ширина запрещенной зоны'!$C$122:$C$125</c:f>
              <c:numCache>
                <c:formatCode>General</c:formatCode>
                <c:ptCount val="4"/>
                <c:pt idx="0">
                  <c:v>8.75</c:v>
                </c:pt>
                <c:pt idx="1">
                  <c:v>10.72</c:v>
                </c:pt>
                <c:pt idx="2">
                  <c:v>12.81</c:v>
                </c:pt>
                <c:pt idx="3">
                  <c:v>41.35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C-412C-BB63-BC21E502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75535"/>
        <c:axId val="1438460975"/>
      </c:scatterChart>
      <c:valAx>
        <c:axId val="14384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zh-CN"/>
                  <a:t>С</a:t>
                </a:r>
                <a:r>
                  <a:rPr lang="en-US" altLang="zh-CN"/>
                  <a:t>,</a:t>
                </a:r>
                <a:endParaRPr lang="zh-CN" altLang="zh-CN" sz="1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60975"/>
        <c:crosses val="autoZero"/>
        <c:crossBetween val="midCat"/>
      </c:valAx>
      <c:valAx>
        <c:axId val="14384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T,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2974943</xdr:colOff>
      <xdr:row>13</xdr:row>
      <xdr:rowOff>98901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75668" y="3727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31</xdr:row>
      <xdr:rowOff>95250</xdr:rowOff>
    </xdr:from>
    <xdr:to>
      <xdr:col>9</xdr:col>
      <xdr:colOff>238125</xdr:colOff>
      <xdr:row>49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30BEBB-FDB6-4525-A5CE-6EA3D0B7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581024</xdr:colOff>
      <xdr:row>15</xdr:row>
      <xdr:rowOff>138111</xdr:rowOff>
    </xdr:from>
    <xdr:to>
      <xdr:col>29</xdr:col>
      <xdr:colOff>571499</xdr:colOff>
      <xdr:row>32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713941-7865-4F51-AD13-916B3909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4762</xdr:rowOff>
    </xdr:from>
    <xdr:to>
      <xdr:col>4</xdr:col>
      <xdr:colOff>952500</xdr:colOff>
      <xdr:row>104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55504D-329E-45EC-884A-7D9855A6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328611</xdr:colOff>
      <xdr:row>87</xdr:row>
      <xdr:rowOff>128586</xdr:rowOff>
    </xdr:from>
    <xdr:to>
      <xdr:col>19</xdr:col>
      <xdr:colOff>76200</xdr:colOff>
      <xdr:row>110</xdr:row>
      <xdr:rowOff>38099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70434B-E10F-4129-93BC-08DAD228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752475</xdr:colOff>
      <xdr:row>94</xdr:row>
      <xdr:rowOff>157162</xdr:rowOff>
    </xdr:from>
    <xdr:to>
      <xdr:col>11</xdr:col>
      <xdr:colOff>361950</xdr:colOff>
      <xdr:row>110</xdr:row>
      <xdr:rowOff>157162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F03F96-4E7C-44BB-9F9A-A879836CA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762000</xdr:colOff>
      <xdr:row>111</xdr:row>
      <xdr:rowOff>66675</xdr:rowOff>
    </xdr:from>
    <xdr:to>
      <xdr:col>11</xdr:col>
      <xdr:colOff>676275</xdr:colOff>
      <xdr:row>128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D6D2A3-25E3-4B9A-98B3-32FC2A69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6"/>
  <sheetViews>
    <sheetView workbookViewId="0">
      <selection activeCell="E37" sqref="E37"/>
    </sheetView>
  </sheetViews>
  <sheetFormatPr defaultRowHeight="13.5"/>
  <cols>
    <col min="2" max="3" width="9.25" bestFit="1" customWidth="1"/>
    <col min="4" max="4" width="9.625" bestFit="1" customWidth="1"/>
    <col min="5" max="7" width="9.25" bestFit="1" customWidth="1"/>
    <col min="12" max="13" width="9.25" bestFit="1" customWidth="1"/>
    <col min="14" max="14" width="9.625" bestFit="1" customWidth="1"/>
    <col min="15" max="15" width="9.25" bestFit="1" customWidth="1"/>
    <col min="16" max="16" width="13.75" customWidth="1"/>
    <col min="17" max="18" width="9.25" bestFit="1" customWidth="1"/>
  </cols>
  <sheetData>
    <row r="2" spans="2:18" ht="16.5">
      <c r="B2" s="31" t="s">
        <v>0</v>
      </c>
      <c r="C2" s="32"/>
      <c r="D2" s="32"/>
      <c r="E2" s="32"/>
      <c r="F2" s="32"/>
      <c r="G2" s="33"/>
      <c r="H2" s="12"/>
      <c r="I2" s="12"/>
      <c r="J2" s="12"/>
      <c r="K2" s="12"/>
      <c r="L2" s="34" t="s">
        <v>7</v>
      </c>
      <c r="M2" s="34"/>
      <c r="N2" s="34"/>
      <c r="O2" s="34"/>
      <c r="P2" s="34"/>
      <c r="Q2" s="34"/>
      <c r="R2" s="34"/>
    </row>
    <row r="3" spans="2:18" ht="34.5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2"/>
      <c r="I3" s="12"/>
      <c r="J3" s="12"/>
      <c r="K3" s="12"/>
      <c r="L3" s="13" t="s">
        <v>1</v>
      </c>
      <c r="M3" s="13" t="s">
        <v>2</v>
      </c>
      <c r="N3" s="13" t="s">
        <v>3</v>
      </c>
      <c r="O3" s="13" t="s">
        <v>4</v>
      </c>
      <c r="P3" s="13" t="s">
        <v>8</v>
      </c>
      <c r="Q3" s="13" t="s">
        <v>9</v>
      </c>
      <c r="R3" s="13" t="s">
        <v>10</v>
      </c>
    </row>
    <row r="4" spans="2:18" ht="15.75">
      <c r="B4" s="17">
        <v>1</v>
      </c>
      <c r="C4" s="18">
        <v>388</v>
      </c>
      <c r="D4" s="18">
        <v>1349</v>
      </c>
      <c r="E4" s="14">
        <v>1.9850000000000001</v>
      </c>
      <c r="F4" s="14">
        <f t="shared" ref="F4:F15" si="0">E4/((D4*10^(-3)))</f>
        <v>1.4714603409933285</v>
      </c>
      <c r="G4" s="18">
        <f t="shared" ref="G4:G15" si="1">C4-273</f>
        <v>115</v>
      </c>
      <c r="H4" s="12"/>
      <c r="I4" s="12"/>
      <c r="J4" s="12"/>
      <c r="K4" s="12"/>
      <c r="L4" s="17">
        <v>1</v>
      </c>
      <c r="M4" s="18">
        <v>300</v>
      </c>
      <c r="N4" s="18">
        <v>1055</v>
      </c>
      <c r="O4" s="14">
        <v>0.93400000000000005</v>
      </c>
      <c r="P4" s="14">
        <f t="shared" ref="P4:P14" si="2">O4/(N4*10^-6)</f>
        <v>885.30805687203804</v>
      </c>
      <c r="Q4" s="14">
        <f t="shared" ref="Q4:Q15" si="3">LN(P4)</f>
        <v>6.7859356713008125</v>
      </c>
      <c r="R4" s="14">
        <f t="shared" ref="R4:R14" si="4">(10^3)/M4</f>
        <v>3.3333333333333335</v>
      </c>
    </row>
    <row r="5" spans="2:18" ht="15.75">
      <c r="B5" s="17">
        <v>2</v>
      </c>
      <c r="C5" s="18">
        <v>380</v>
      </c>
      <c r="D5" s="18">
        <v>1377</v>
      </c>
      <c r="E5" s="14">
        <v>1.9610000000000001</v>
      </c>
      <c r="F5" s="14">
        <f t="shared" si="0"/>
        <v>1.4241103848946988</v>
      </c>
      <c r="G5" s="18">
        <f t="shared" si="1"/>
        <v>107</v>
      </c>
      <c r="H5" s="12"/>
      <c r="I5" s="12"/>
      <c r="J5" s="12"/>
      <c r="K5" s="12"/>
      <c r="L5" s="17">
        <v>2</v>
      </c>
      <c r="M5" s="18">
        <v>307</v>
      </c>
      <c r="N5" s="18">
        <v>1194</v>
      </c>
      <c r="O5" s="14">
        <v>0.82299999999999995</v>
      </c>
      <c r="P5" s="14">
        <f t="shared" si="2"/>
        <v>689.27973199329983</v>
      </c>
      <c r="Q5" s="14">
        <f t="shared" si="3"/>
        <v>6.5356471857066598</v>
      </c>
      <c r="R5" s="14">
        <f t="shared" si="4"/>
        <v>3.2573289902280131</v>
      </c>
    </row>
    <row r="6" spans="2:18" ht="15.75">
      <c r="B6" s="17">
        <v>3</v>
      </c>
      <c r="C6" s="18">
        <v>372</v>
      </c>
      <c r="D6" s="18">
        <v>1396</v>
      </c>
      <c r="E6" s="14">
        <v>1.9450000000000001</v>
      </c>
      <c r="F6" s="14">
        <f t="shared" si="0"/>
        <v>1.3932664756446991</v>
      </c>
      <c r="G6" s="18">
        <f t="shared" si="1"/>
        <v>99</v>
      </c>
      <c r="H6" s="12"/>
      <c r="I6" s="12"/>
      <c r="J6" s="12"/>
      <c r="K6" s="12"/>
      <c r="L6" s="17">
        <v>3</v>
      </c>
      <c r="M6" s="18">
        <v>316</v>
      </c>
      <c r="N6" s="18">
        <v>1368</v>
      </c>
      <c r="O6" s="14">
        <v>0.71499999999999997</v>
      </c>
      <c r="P6" s="14">
        <f t="shared" si="2"/>
        <v>522.66081871345034</v>
      </c>
      <c r="Q6" s="14">
        <f t="shared" si="3"/>
        <v>6.2589327234936487</v>
      </c>
      <c r="R6" s="14">
        <f t="shared" si="4"/>
        <v>3.1645569620253164</v>
      </c>
    </row>
    <row r="7" spans="2:18" ht="15.75">
      <c r="B7" s="17">
        <v>4</v>
      </c>
      <c r="C7" s="18">
        <v>364</v>
      </c>
      <c r="D7" s="18">
        <v>1416</v>
      </c>
      <c r="E7" s="14">
        <v>1.929</v>
      </c>
      <c r="F7" s="14">
        <f t="shared" si="0"/>
        <v>1.3622881355932204</v>
      </c>
      <c r="G7" s="18">
        <f t="shared" si="1"/>
        <v>91</v>
      </c>
      <c r="H7" s="12"/>
      <c r="I7" s="12"/>
      <c r="J7" s="12"/>
      <c r="K7" s="12"/>
      <c r="L7" s="17">
        <v>4</v>
      </c>
      <c r="M7" s="18">
        <v>324</v>
      </c>
      <c r="N7" s="18">
        <v>1537</v>
      </c>
      <c r="O7" s="14">
        <v>0.59399999999999997</v>
      </c>
      <c r="P7" s="14">
        <f t="shared" si="2"/>
        <v>386.46714378659726</v>
      </c>
      <c r="Q7" s="14">
        <f t="shared" si="3"/>
        <v>5.9570468548061859</v>
      </c>
      <c r="R7" s="14">
        <f t="shared" si="4"/>
        <v>3.0864197530864197</v>
      </c>
    </row>
    <row r="8" spans="2:18" ht="15.75">
      <c r="B8" s="17">
        <v>5</v>
      </c>
      <c r="C8" s="18">
        <v>356</v>
      </c>
      <c r="D8" s="18">
        <v>1436</v>
      </c>
      <c r="E8" s="14">
        <v>1.913</v>
      </c>
      <c r="F8" s="14">
        <f t="shared" si="0"/>
        <v>1.3321727019498608</v>
      </c>
      <c r="G8" s="18">
        <f t="shared" si="1"/>
        <v>83</v>
      </c>
      <c r="H8" s="12"/>
      <c r="I8" s="12"/>
      <c r="J8" s="12"/>
      <c r="K8" s="12"/>
      <c r="L8" s="17">
        <v>5</v>
      </c>
      <c r="M8" s="18">
        <v>332</v>
      </c>
      <c r="N8" s="18">
        <v>1690</v>
      </c>
      <c r="O8" s="14">
        <v>0.48699999999999999</v>
      </c>
      <c r="P8" s="14">
        <f t="shared" si="2"/>
        <v>288.16568047337279</v>
      </c>
      <c r="Q8" s="14">
        <f t="shared" si="3"/>
        <v>5.663535594147608</v>
      </c>
      <c r="R8" s="14">
        <f t="shared" si="4"/>
        <v>3.0120481927710845</v>
      </c>
    </row>
    <row r="9" spans="2:18" ht="15.75">
      <c r="B9" s="17">
        <v>6</v>
      </c>
      <c r="C9" s="18">
        <v>348</v>
      </c>
      <c r="D9" s="18">
        <v>1456</v>
      </c>
      <c r="E9" s="14">
        <v>1.897</v>
      </c>
      <c r="F9" s="14">
        <f t="shared" si="0"/>
        <v>1.3028846153846154</v>
      </c>
      <c r="G9" s="18">
        <f t="shared" si="1"/>
        <v>75</v>
      </c>
      <c r="H9" s="12"/>
      <c r="I9" s="12"/>
      <c r="J9" s="12"/>
      <c r="K9" s="12"/>
      <c r="L9" s="17">
        <v>6</v>
      </c>
      <c r="M9" s="18">
        <v>340</v>
      </c>
      <c r="N9" s="18">
        <v>1835</v>
      </c>
      <c r="O9" s="14">
        <v>0.38800000000000001</v>
      </c>
      <c r="P9" s="14">
        <f t="shared" si="2"/>
        <v>211.44414168937331</v>
      </c>
      <c r="Q9" s="14">
        <f t="shared" si="3"/>
        <v>5.3539608581167402</v>
      </c>
      <c r="R9" s="14">
        <f t="shared" si="4"/>
        <v>2.9411764705882355</v>
      </c>
    </row>
    <row r="10" spans="2:18" ht="15.75">
      <c r="B10" s="17">
        <v>7</v>
      </c>
      <c r="C10" s="18">
        <v>340</v>
      </c>
      <c r="D10" s="18">
        <v>1475</v>
      </c>
      <c r="E10" s="14">
        <v>1.881</v>
      </c>
      <c r="F10" s="14">
        <f t="shared" si="0"/>
        <v>1.2752542372881355</v>
      </c>
      <c r="G10" s="18">
        <f t="shared" si="1"/>
        <v>67</v>
      </c>
      <c r="H10" s="12"/>
      <c r="I10" s="12"/>
      <c r="J10" s="12"/>
      <c r="K10" s="12"/>
      <c r="L10" s="17">
        <v>7</v>
      </c>
      <c r="M10" s="18">
        <v>348</v>
      </c>
      <c r="N10" s="18">
        <v>1953</v>
      </c>
      <c r="O10" s="14">
        <v>0.309</v>
      </c>
      <c r="P10" s="14">
        <f t="shared" si="2"/>
        <v>158.21812596006146</v>
      </c>
      <c r="Q10" s="14">
        <f t="shared" si="3"/>
        <v>5.0639746250032038</v>
      </c>
      <c r="R10" s="14">
        <f t="shared" si="4"/>
        <v>2.8735632183908044</v>
      </c>
    </row>
    <row r="11" spans="2:18" ht="15.75">
      <c r="B11" s="17">
        <v>8</v>
      </c>
      <c r="C11" s="18">
        <v>332</v>
      </c>
      <c r="D11" s="18">
        <v>1496</v>
      </c>
      <c r="E11" s="14">
        <v>1.865</v>
      </c>
      <c r="F11" s="14">
        <f t="shared" si="0"/>
        <v>1.2466577540106951</v>
      </c>
      <c r="G11" s="18">
        <f t="shared" si="1"/>
        <v>59</v>
      </c>
      <c r="H11" s="12"/>
      <c r="I11" s="12"/>
      <c r="J11" s="12"/>
      <c r="K11" s="12"/>
      <c r="L11" s="17">
        <v>8</v>
      </c>
      <c r="M11" s="18">
        <v>356</v>
      </c>
      <c r="N11" s="18">
        <v>2300</v>
      </c>
      <c r="O11" s="14">
        <v>0.26800000000000002</v>
      </c>
      <c r="P11" s="14">
        <f t="shared" si="2"/>
        <v>116.5217391304348</v>
      </c>
      <c r="Q11" s="14">
        <f t="shared" si="3"/>
        <v>4.7580778575757527</v>
      </c>
      <c r="R11" s="14">
        <f t="shared" si="4"/>
        <v>2.808988764044944</v>
      </c>
    </row>
    <row r="12" spans="2:18" ht="15.75">
      <c r="B12" s="17">
        <v>9</v>
      </c>
      <c r="C12" s="18">
        <v>324</v>
      </c>
      <c r="D12" s="18">
        <v>1520</v>
      </c>
      <c r="E12" s="14">
        <v>1.8460000000000001</v>
      </c>
      <c r="F12" s="14">
        <f t="shared" si="0"/>
        <v>1.2144736842105264</v>
      </c>
      <c r="G12" s="18">
        <f t="shared" si="1"/>
        <v>51</v>
      </c>
      <c r="H12" s="12"/>
      <c r="I12" s="12"/>
      <c r="J12" s="12"/>
      <c r="K12" s="12"/>
      <c r="L12" s="17">
        <v>9</v>
      </c>
      <c r="M12" s="18">
        <v>364</v>
      </c>
      <c r="N12" s="18">
        <v>2390</v>
      </c>
      <c r="O12" s="14">
        <v>0.21</v>
      </c>
      <c r="P12" s="14">
        <f t="shared" si="2"/>
        <v>87.86610878661088</v>
      </c>
      <c r="Q12" s="14">
        <f t="shared" si="3"/>
        <v>4.4758141647740493</v>
      </c>
      <c r="R12" s="14">
        <f t="shared" si="4"/>
        <v>2.7472527472527473</v>
      </c>
    </row>
    <row r="13" spans="2:18" ht="15.75">
      <c r="B13" s="17">
        <v>10</v>
      </c>
      <c r="C13" s="18">
        <v>316</v>
      </c>
      <c r="D13" s="18">
        <v>1547</v>
      </c>
      <c r="E13" s="14">
        <v>1.825</v>
      </c>
      <c r="F13" s="14">
        <f t="shared" si="0"/>
        <v>1.1797026502908856</v>
      </c>
      <c r="G13" s="18">
        <f t="shared" si="1"/>
        <v>43</v>
      </c>
      <c r="H13" s="12"/>
      <c r="I13" s="12"/>
      <c r="J13" s="12"/>
      <c r="K13" s="12"/>
      <c r="L13" s="17">
        <v>10</v>
      </c>
      <c r="M13" s="18">
        <v>372</v>
      </c>
      <c r="N13" s="18">
        <v>2470</v>
      </c>
      <c r="O13" s="14">
        <v>0.16500000000000001</v>
      </c>
      <c r="P13" s="14">
        <f t="shared" si="2"/>
        <v>66.801619433198383</v>
      </c>
      <c r="Q13" s="14">
        <f t="shared" si="3"/>
        <v>4.2017273232606946</v>
      </c>
      <c r="R13" s="14">
        <f t="shared" si="4"/>
        <v>2.6881720430107525</v>
      </c>
    </row>
    <row r="14" spans="2:18" ht="15.75">
      <c r="B14" s="19">
        <v>11</v>
      </c>
      <c r="C14" s="20">
        <v>308</v>
      </c>
      <c r="D14" s="20">
        <v>1572</v>
      </c>
      <c r="E14" s="15">
        <v>1.804</v>
      </c>
      <c r="F14" s="15">
        <f t="shared" si="0"/>
        <v>1.1475826972010177</v>
      </c>
      <c r="G14" s="20">
        <f t="shared" si="1"/>
        <v>35</v>
      </c>
      <c r="H14" s="12"/>
      <c r="I14" s="12"/>
      <c r="J14" s="12"/>
      <c r="K14" s="12"/>
      <c r="L14" s="17">
        <v>11</v>
      </c>
      <c r="M14" s="18">
        <v>380</v>
      </c>
      <c r="N14" s="18">
        <v>2530</v>
      </c>
      <c r="O14" s="14">
        <v>0.13100000000000001</v>
      </c>
      <c r="P14" s="14">
        <f t="shared" si="2"/>
        <v>51.778656126482218</v>
      </c>
      <c r="Q14" s="14">
        <f t="shared" si="3"/>
        <v>3.9469780204617226</v>
      </c>
      <c r="R14" s="14">
        <f t="shared" si="4"/>
        <v>2.6315789473684212</v>
      </c>
    </row>
    <row r="15" spans="2:18" ht="15.75">
      <c r="B15" s="21">
        <v>12</v>
      </c>
      <c r="C15" s="22">
        <v>300</v>
      </c>
      <c r="D15" s="22">
        <v>1595</v>
      </c>
      <c r="E15" s="16">
        <v>1.7829999999999999</v>
      </c>
      <c r="F15" s="16">
        <f t="shared" si="0"/>
        <v>1.1178683385579937</v>
      </c>
      <c r="G15" s="22">
        <f t="shared" si="1"/>
        <v>27</v>
      </c>
      <c r="H15" s="12"/>
      <c r="I15" s="12"/>
      <c r="J15" s="12"/>
      <c r="K15" s="12"/>
      <c r="L15" s="17">
        <v>12</v>
      </c>
      <c r="M15" s="18">
        <v>388</v>
      </c>
      <c r="N15" s="18">
        <v>2570</v>
      </c>
      <c r="O15" s="14">
        <v>0.105</v>
      </c>
      <c r="P15" s="14">
        <f t="shared" ref="P15" si="5">O15/(N15*10^-6)</f>
        <v>40.856031128404673</v>
      </c>
      <c r="Q15" s="14">
        <f t="shared" si="3"/>
        <v>3.7100544512503952</v>
      </c>
      <c r="R15" s="14">
        <f t="shared" ref="R15" si="6">(10^3)/M15</f>
        <v>2.5773195876288661</v>
      </c>
    </row>
    <row r="16" spans="2:18" ht="15.75">
      <c r="B16" s="1"/>
      <c r="C16" s="2"/>
      <c r="D16" s="2"/>
      <c r="E16" s="3"/>
      <c r="F16" s="3"/>
      <c r="G16" s="2"/>
    </row>
  </sheetData>
  <mergeCells count="2">
    <mergeCell ref="B2:G2"/>
    <mergeCell ref="L2:R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3"/>
  <sheetViews>
    <sheetView workbookViewId="0">
      <selection activeCell="D5" sqref="D5"/>
    </sheetView>
  </sheetViews>
  <sheetFormatPr defaultRowHeight="13.5"/>
  <cols>
    <col min="2" max="2" width="5.625" customWidth="1"/>
    <col min="3" max="3" width="15.75" customWidth="1"/>
    <col min="4" max="4" width="17" customWidth="1"/>
    <col min="5" max="5" width="19.375" customWidth="1"/>
    <col min="6" max="6" width="25.625" customWidth="1"/>
    <col min="7" max="7" width="41.25" customWidth="1"/>
    <col min="11" max="16" width="9.125" customWidth="1"/>
  </cols>
  <sheetData>
    <row r="3" spans="2:7" ht="26.25">
      <c r="B3" s="35" t="s">
        <v>12</v>
      </c>
      <c r="C3" s="35"/>
      <c r="D3" s="35"/>
      <c r="E3" s="35"/>
      <c r="F3" s="35"/>
      <c r="G3" s="35"/>
    </row>
    <row r="4" spans="2:7" ht="23.25">
      <c r="B4" s="4" t="s">
        <v>1</v>
      </c>
      <c r="C4" s="4" t="s">
        <v>15</v>
      </c>
      <c r="D4" s="4" t="s">
        <v>19</v>
      </c>
      <c r="E4" s="4" t="s">
        <v>20</v>
      </c>
      <c r="F4" s="5" t="s">
        <v>22</v>
      </c>
      <c r="G4" s="6" t="s">
        <v>14</v>
      </c>
    </row>
    <row r="5" spans="2:7" ht="20.25">
      <c r="B5" s="7">
        <v>1</v>
      </c>
      <c r="C5" s="11">
        <v>1.7</v>
      </c>
      <c r="D5" s="8">
        <f>(Образцы!F4-Образцы!F10)/(Образцы!F10*Образцы!G4-Образцы!F4*Образцы!G10)*10^3</f>
        <v>4.0819808929844266</v>
      </c>
      <c r="E5" s="38">
        <f>(D5+D6+D7+D8+D9+D10)/6</f>
        <v>3.7756529256070479</v>
      </c>
      <c r="F5" s="38">
        <f>D13*D12*10^-2</f>
        <v>0.18077931486628454</v>
      </c>
      <c r="G5" s="41">
        <f>(F5/E5)*100</f>
        <v>4.7880278836068841</v>
      </c>
    </row>
    <row r="6" spans="2:7" ht="20.25">
      <c r="B6" s="7">
        <v>2</v>
      </c>
      <c r="C6" s="11">
        <v>2.8</v>
      </c>
      <c r="D6" s="8">
        <f>(Образцы!F5-Образцы!F11)/(Образцы!F11*Образцы!G5-Образцы!F5*Образцы!G11)*10^3</f>
        <v>3.5943510034278705</v>
      </c>
      <c r="E6" s="40"/>
      <c r="F6" s="40"/>
      <c r="G6" s="39"/>
    </row>
    <row r="7" spans="2:7" ht="20.25">
      <c r="B7" s="7">
        <v>3</v>
      </c>
      <c r="C7" s="11">
        <v>3.9</v>
      </c>
      <c r="D7" s="8">
        <f>(Образцы!F6-Образцы!F12)/(Образцы!F12*Образцы!G6-Образцы!F6*Образцы!G12)*10^3</f>
        <v>3.6357508627078703</v>
      </c>
      <c r="E7" s="40"/>
      <c r="F7" s="40"/>
      <c r="G7" s="39"/>
    </row>
    <row r="8" spans="2:7" ht="20.25">
      <c r="B8" s="7">
        <v>4</v>
      </c>
      <c r="C8" s="11" t="s">
        <v>16</v>
      </c>
      <c r="D8" s="8">
        <f>(Образцы!F7-Образцы!F13)/(Образцы!F13*Образцы!G7-Образцы!F7*Образцы!G13)*10^3</f>
        <v>3.7434580178347536</v>
      </c>
      <c r="E8" s="40"/>
      <c r="F8" s="40"/>
      <c r="G8" s="39"/>
    </row>
    <row r="9" spans="2:7" ht="20.25">
      <c r="B9" s="7">
        <v>5</v>
      </c>
      <c r="C9" s="11" t="s">
        <v>17</v>
      </c>
      <c r="D9" s="8">
        <f>(Образцы!F8-Образцы!F14)/(Образцы!F14*Образцы!G8-Образцы!F8*Образцы!G14)*10^3</f>
        <v>3.7963266886835427</v>
      </c>
      <c r="E9" s="40"/>
      <c r="F9" s="40"/>
      <c r="G9" s="39"/>
    </row>
    <row r="10" spans="2:7" ht="20.25">
      <c r="B10" s="7">
        <v>6</v>
      </c>
      <c r="C10" s="11" t="s">
        <v>18</v>
      </c>
      <c r="D10" s="8">
        <f>(Образцы!F9-Образцы!F15)/(Образцы!F15*Образцы!G9-Образцы!F9*Образцы!G15)*10^3</f>
        <v>3.8020500880038242</v>
      </c>
      <c r="E10" s="40"/>
      <c r="F10" s="40"/>
      <c r="G10" s="39"/>
    </row>
    <row r="11" spans="2:7" ht="24.75" customHeight="1">
      <c r="B11" s="36" t="s">
        <v>11</v>
      </c>
      <c r="C11" s="37"/>
      <c r="D11" s="38">
        <v>0.95</v>
      </c>
      <c r="E11" s="40"/>
      <c r="F11" s="40"/>
      <c r="G11" s="40"/>
    </row>
    <row r="12" spans="2:7" ht="24.75" customHeight="1">
      <c r="B12" s="36" t="s">
        <v>21</v>
      </c>
      <c r="C12" s="37"/>
      <c r="D12" s="38">
        <f>SQRT((1/30)*((D5-E5)^2+(D6-E5)^2+(D7-E5)^2+(D8-E5)^2+(D9-E5)^2+(D10-E5)^2))*10^2</f>
        <v>7.0342145862367538</v>
      </c>
      <c r="E12" s="40"/>
      <c r="F12" s="40"/>
      <c r="G12" s="40"/>
    </row>
    <row r="13" spans="2:7" ht="24.75" customHeight="1">
      <c r="B13" s="36" t="s">
        <v>13</v>
      </c>
      <c r="C13" s="37"/>
      <c r="D13" s="38">
        <v>2.57</v>
      </c>
      <c r="E13" s="39"/>
      <c r="F13" s="39"/>
      <c r="G13" s="39"/>
    </row>
  </sheetData>
  <mergeCells count="10">
    <mergeCell ref="B3:G3"/>
    <mergeCell ref="B11:C11"/>
    <mergeCell ref="B12:C12"/>
    <mergeCell ref="B13:C13"/>
    <mergeCell ref="D13:G13"/>
    <mergeCell ref="E5:E10"/>
    <mergeCell ref="F5:F10"/>
    <mergeCell ref="G5:G10"/>
    <mergeCell ref="D11:G11"/>
    <mergeCell ref="D12:G1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V132"/>
  <sheetViews>
    <sheetView tabSelected="1" topLeftCell="C73" workbookViewId="0">
      <selection activeCell="M77" sqref="M77"/>
    </sheetView>
  </sheetViews>
  <sheetFormatPr defaultRowHeight="13.5"/>
  <cols>
    <col min="1" max="1" width="6.25" customWidth="1"/>
    <col min="2" max="2" width="12.75" customWidth="1"/>
    <col min="3" max="3" width="13.375" customWidth="1"/>
    <col min="4" max="4" width="15.125" customWidth="1"/>
    <col min="5" max="5" width="13.625" customWidth="1"/>
    <col min="6" max="6" width="10.625" customWidth="1"/>
    <col min="7" max="7" width="10.375" customWidth="1"/>
    <col min="8" max="8" width="11.125" customWidth="1"/>
    <col min="9" max="9" width="10" customWidth="1"/>
    <col min="10" max="10" width="10.25" customWidth="1"/>
    <col min="11" max="11" width="12.75" bestFit="1" customWidth="1"/>
    <col min="13" max="13" width="12.75" bestFit="1" customWidth="1"/>
    <col min="15" max="15" width="12.75" bestFit="1" customWidth="1"/>
    <col min="18" max="18" width="11.25" customWidth="1"/>
    <col min="22" max="22" width="12.75" bestFit="1" customWidth="1"/>
  </cols>
  <sheetData>
    <row r="3" spans="1:22" ht="26.25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22" ht="57.75" customHeight="1">
      <c r="A4" s="4"/>
      <c r="B4" s="4"/>
      <c r="C4" s="4"/>
      <c r="D4" s="4"/>
      <c r="E4" s="9"/>
      <c r="F4" s="9"/>
      <c r="G4" s="10"/>
      <c r="H4" s="10"/>
      <c r="I4" s="9"/>
      <c r="J4" s="9"/>
    </row>
    <row r="5" spans="1:22" ht="20.25">
      <c r="A5" s="7"/>
      <c r="B5" s="11"/>
      <c r="C5" s="8"/>
      <c r="D5" s="44"/>
      <c r="E5" s="44"/>
      <c r="F5" s="41"/>
      <c r="G5" s="8"/>
      <c r="H5" s="38"/>
      <c r="I5" s="38"/>
      <c r="J5" s="41"/>
    </row>
    <row r="6" spans="1:22" ht="20.25">
      <c r="A6" s="7"/>
      <c r="B6" s="11"/>
      <c r="C6" s="8"/>
      <c r="D6" s="45"/>
      <c r="E6" s="45"/>
      <c r="F6" s="39"/>
      <c r="G6" s="8"/>
      <c r="H6" s="39"/>
      <c r="I6" s="39"/>
      <c r="J6" s="39"/>
    </row>
    <row r="7" spans="1:22" ht="20.25">
      <c r="A7" s="7"/>
      <c r="B7" s="11"/>
      <c r="C7" s="8"/>
      <c r="D7" s="45"/>
      <c r="E7" s="45"/>
      <c r="F7" s="39"/>
      <c r="G7" s="8"/>
      <c r="H7" s="39"/>
      <c r="I7" s="39"/>
      <c r="J7" s="39"/>
    </row>
    <row r="8" spans="1:22" ht="20.25">
      <c r="A8" s="7"/>
      <c r="B8" s="11"/>
      <c r="C8" s="8"/>
      <c r="D8" s="45"/>
      <c r="E8" s="45"/>
      <c r="F8" s="39"/>
      <c r="G8" s="8"/>
      <c r="H8" s="39"/>
      <c r="I8" s="39"/>
      <c r="J8" s="39"/>
    </row>
    <row r="9" spans="1:22" ht="20.25">
      <c r="A9" s="7"/>
      <c r="B9" s="11"/>
      <c r="C9" s="8"/>
      <c r="D9" s="45"/>
      <c r="E9" s="45"/>
      <c r="F9" s="39"/>
      <c r="G9" s="8"/>
      <c r="H9" s="39"/>
      <c r="I9" s="39"/>
      <c r="J9" s="39"/>
    </row>
    <row r="10" spans="1:22" ht="23.25" customHeight="1">
      <c r="A10" s="43"/>
      <c r="B10" s="43"/>
      <c r="C10" s="38"/>
      <c r="D10" s="39"/>
      <c r="E10" s="39"/>
      <c r="F10" s="39"/>
      <c r="G10" s="39"/>
      <c r="H10" s="39"/>
      <c r="I10" s="39"/>
      <c r="J10" s="39"/>
    </row>
    <row r="11" spans="1:22" ht="23.25" customHeight="1">
      <c r="A11" s="48"/>
      <c r="B11" s="48"/>
      <c r="C11" s="48"/>
      <c r="D11" s="47"/>
      <c r="E11" s="47"/>
      <c r="F11" s="47"/>
      <c r="G11" s="23"/>
      <c r="H11" s="46"/>
      <c r="I11" s="46"/>
      <c r="J11" s="46"/>
    </row>
    <row r="12" spans="1:22" ht="23.25" customHeight="1">
      <c r="A12" s="43"/>
      <c r="B12" s="43"/>
      <c r="C12" s="38"/>
      <c r="D12" s="39"/>
      <c r="E12" s="39"/>
      <c r="F12" s="39"/>
      <c r="G12" s="39"/>
      <c r="H12" s="39"/>
      <c r="I12" s="39"/>
      <c r="J12" s="39"/>
    </row>
    <row r="15" spans="1:22" ht="15">
      <c r="K15" s="24" t="s">
        <v>23</v>
      </c>
      <c r="R15" s="24" t="s">
        <v>30</v>
      </c>
    </row>
    <row r="16" spans="1:22"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R16" t="s">
        <v>24</v>
      </c>
      <c r="S16" t="s">
        <v>25</v>
      </c>
      <c r="T16" t="s">
        <v>26</v>
      </c>
      <c r="U16" t="s">
        <v>27</v>
      </c>
      <c r="V16" t="s">
        <v>31</v>
      </c>
    </row>
    <row r="17" spans="10:22">
      <c r="J17">
        <v>1</v>
      </c>
      <c r="K17">
        <v>295</v>
      </c>
      <c r="L17">
        <v>1034</v>
      </c>
      <c r="M17">
        <v>0.86399999999999999</v>
      </c>
      <c r="N17">
        <f>ROUND(M17/(L17*10^-6),2)</f>
        <v>835.59</v>
      </c>
      <c r="O17">
        <f>LN(N17)</f>
        <v>6.7281380621622606</v>
      </c>
      <c r="P17">
        <f>1/K17</f>
        <v>3.3898305084745762E-3</v>
      </c>
      <c r="R17">
        <v>360</v>
      </c>
      <c r="S17">
        <v>1215</v>
      </c>
      <c r="T17">
        <v>1.6439999999999999</v>
      </c>
      <c r="U17">
        <f>T17/(S17*10^-6)</f>
        <v>1353.0864197530864</v>
      </c>
      <c r="V17">
        <f>R17-273.15</f>
        <v>86.850000000000023</v>
      </c>
    </row>
    <row r="18" spans="10:22">
      <c r="J18">
        <v>2</v>
      </c>
      <c r="K18">
        <v>300</v>
      </c>
      <c r="L18">
        <v>1164</v>
      </c>
      <c r="M18">
        <v>0.76</v>
      </c>
      <c r="N18">
        <f t="shared" ref="N18:N29" si="0">ROUND(M18/(L18*10^-6),2)</f>
        <v>652.91999999999996</v>
      </c>
      <c r="O18">
        <f t="shared" ref="O18:O29" si="1">LN(N18)</f>
        <v>6.4814546102858346</v>
      </c>
      <c r="P18">
        <f t="shared" ref="P18:P29" si="2">1/K18</f>
        <v>3.3333333333333335E-3</v>
      </c>
      <c r="R18">
        <v>355</v>
      </c>
      <c r="S18">
        <v>1228</v>
      </c>
      <c r="T18">
        <v>1.641</v>
      </c>
      <c r="U18">
        <f t="shared" ref="U18:U28" si="3">T18/(S18*10^-6)</f>
        <v>1336.3192182410423</v>
      </c>
      <c r="V18">
        <f t="shared" ref="V18:V29" si="4">R18-273.15</f>
        <v>81.850000000000023</v>
      </c>
    </row>
    <row r="19" spans="10:22">
      <c r="J19">
        <v>3</v>
      </c>
      <c r="K19">
        <v>305</v>
      </c>
      <c r="L19">
        <v>1224</v>
      </c>
      <c r="M19">
        <v>0.71799999999999997</v>
      </c>
      <c r="N19">
        <f t="shared" si="0"/>
        <v>586.6</v>
      </c>
      <c r="O19">
        <f t="shared" si="1"/>
        <v>6.3743431565433504</v>
      </c>
      <c r="P19">
        <f t="shared" si="2"/>
        <v>3.2786885245901639E-3</v>
      </c>
      <c r="R19">
        <v>350</v>
      </c>
      <c r="S19">
        <v>1243</v>
      </c>
      <c r="T19">
        <v>1.637</v>
      </c>
      <c r="U19">
        <f t="shared" si="3"/>
        <v>1316.9750603378923</v>
      </c>
      <c r="V19">
        <f t="shared" si="4"/>
        <v>76.850000000000023</v>
      </c>
    </row>
    <row r="20" spans="10:22">
      <c r="J20">
        <v>4</v>
      </c>
      <c r="K20">
        <v>310</v>
      </c>
      <c r="L20">
        <v>1311</v>
      </c>
      <c r="M20">
        <v>0.65600000000000003</v>
      </c>
      <c r="N20">
        <f t="shared" si="0"/>
        <v>500.38</v>
      </c>
      <c r="O20">
        <f t="shared" si="1"/>
        <v>6.2153678097684333</v>
      </c>
      <c r="P20">
        <f t="shared" si="2"/>
        <v>3.2258064516129032E-3</v>
      </c>
      <c r="R20">
        <v>345</v>
      </c>
      <c r="S20">
        <v>1251</v>
      </c>
      <c r="T20">
        <v>1.6240000000000001</v>
      </c>
      <c r="U20">
        <f>T20/(S20*10^-6)</f>
        <v>1298.1614708233415</v>
      </c>
      <c r="V20">
        <f t="shared" si="4"/>
        <v>71.850000000000023</v>
      </c>
    </row>
    <row r="21" spans="10:22">
      <c r="J21">
        <v>5</v>
      </c>
      <c r="K21">
        <v>315</v>
      </c>
      <c r="L21">
        <v>1420</v>
      </c>
      <c r="M21">
        <v>0.57899999999999996</v>
      </c>
      <c r="N21">
        <f t="shared" si="0"/>
        <v>407.75</v>
      </c>
      <c r="O21">
        <f t="shared" si="1"/>
        <v>6.0106542415011228</v>
      </c>
      <c r="P21">
        <f t="shared" si="2"/>
        <v>3.1746031746031746E-3</v>
      </c>
      <c r="R21">
        <v>340</v>
      </c>
      <c r="S21">
        <v>1264</v>
      </c>
      <c r="T21">
        <v>1.615</v>
      </c>
      <c r="U21">
        <f t="shared" si="3"/>
        <v>1277.6898734177216</v>
      </c>
      <c r="V21">
        <f t="shared" si="4"/>
        <v>66.850000000000023</v>
      </c>
    </row>
    <row r="22" spans="10:22">
      <c r="J22">
        <v>6</v>
      </c>
      <c r="K22">
        <v>320</v>
      </c>
      <c r="L22">
        <v>1517</v>
      </c>
      <c r="M22">
        <v>0.51400000000000001</v>
      </c>
      <c r="N22">
        <f t="shared" si="0"/>
        <v>338.83</v>
      </c>
      <c r="O22">
        <f t="shared" si="1"/>
        <v>5.8254985066735934</v>
      </c>
      <c r="P22">
        <f t="shared" si="2"/>
        <v>3.1250000000000002E-3</v>
      </c>
      <c r="R22">
        <v>335</v>
      </c>
      <c r="S22">
        <v>1275</v>
      </c>
      <c r="T22">
        <v>1.605</v>
      </c>
      <c r="U22">
        <f t="shared" si="3"/>
        <v>1258.8235294117649</v>
      </c>
      <c r="V22">
        <f t="shared" si="4"/>
        <v>61.850000000000023</v>
      </c>
    </row>
    <row r="23" spans="10:22">
      <c r="J23">
        <v>7</v>
      </c>
      <c r="K23">
        <v>325</v>
      </c>
      <c r="L23">
        <v>1610</v>
      </c>
      <c r="M23">
        <v>0.44900000000000001</v>
      </c>
      <c r="N23">
        <f t="shared" si="0"/>
        <v>278.88</v>
      </c>
      <c r="O23">
        <f t="shared" si="1"/>
        <v>5.6307815817717106</v>
      </c>
      <c r="P23">
        <f t="shared" si="2"/>
        <v>3.0769230769230769E-3</v>
      </c>
      <c r="R23">
        <v>330</v>
      </c>
      <c r="S23">
        <v>1297</v>
      </c>
      <c r="T23">
        <v>1.595</v>
      </c>
      <c r="U23">
        <f t="shared" si="3"/>
        <v>1229.7609868928296</v>
      </c>
      <c r="V23">
        <f t="shared" si="4"/>
        <v>56.850000000000023</v>
      </c>
    </row>
    <row r="24" spans="10:22">
      <c r="J24">
        <v>8</v>
      </c>
      <c r="K24">
        <v>330</v>
      </c>
      <c r="L24">
        <v>1695</v>
      </c>
      <c r="M24">
        <v>0.39</v>
      </c>
      <c r="N24">
        <f t="shared" si="0"/>
        <v>230.09</v>
      </c>
      <c r="O24">
        <f t="shared" si="1"/>
        <v>5.4384705367314412</v>
      </c>
      <c r="P24">
        <f t="shared" si="2"/>
        <v>3.0303030303030303E-3</v>
      </c>
      <c r="R24">
        <v>325</v>
      </c>
      <c r="S24">
        <v>1303</v>
      </c>
      <c r="T24">
        <v>1.581</v>
      </c>
      <c r="U24">
        <f t="shared" si="3"/>
        <v>1213.3537989255565</v>
      </c>
      <c r="V24">
        <f t="shared" si="4"/>
        <v>51.850000000000023</v>
      </c>
    </row>
    <row r="25" spans="10:22">
      <c r="J25">
        <v>9</v>
      </c>
      <c r="K25">
        <v>335</v>
      </c>
      <c r="L25">
        <v>1776</v>
      </c>
      <c r="M25">
        <v>0.33800000000000002</v>
      </c>
      <c r="N25">
        <f t="shared" si="0"/>
        <v>190.32</v>
      </c>
      <c r="O25">
        <f t="shared" si="1"/>
        <v>5.248706865994702</v>
      </c>
      <c r="P25">
        <f t="shared" si="2"/>
        <v>2.9850746268656717E-3</v>
      </c>
      <c r="R25">
        <v>320</v>
      </c>
      <c r="S25">
        <v>1315</v>
      </c>
      <c r="T25">
        <v>1.571</v>
      </c>
      <c r="U25">
        <f t="shared" si="3"/>
        <v>1194.6768060836503</v>
      </c>
      <c r="V25">
        <f t="shared" si="4"/>
        <v>46.850000000000023</v>
      </c>
    </row>
    <row r="26" spans="10:22">
      <c r="J26">
        <v>10</v>
      </c>
      <c r="K26">
        <v>340</v>
      </c>
      <c r="L26">
        <v>1838</v>
      </c>
      <c r="M26">
        <v>0.28599999999999998</v>
      </c>
      <c r="N26">
        <f t="shared" si="0"/>
        <v>155.6</v>
      </c>
      <c r="O26">
        <f t="shared" si="1"/>
        <v>5.0472886117442908</v>
      </c>
      <c r="P26">
        <f t="shared" si="2"/>
        <v>2.9411764705882353E-3</v>
      </c>
      <c r="R26">
        <v>315</v>
      </c>
      <c r="S26">
        <v>1326</v>
      </c>
      <c r="T26">
        <v>1.5609999999999999</v>
      </c>
      <c r="U26">
        <f t="shared" si="3"/>
        <v>1177.2247360482654</v>
      </c>
      <c r="V26">
        <f t="shared" si="4"/>
        <v>41.850000000000023</v>
      </c>
    </row>
    <row r="27" spans="10:22">
      <c r="J27">
        <v>11</v>
      </c>
      <c r="K27">
        <v>345</v>
      </c>
      <c r="L27">
        <v>1896</v>
      </c>
      <c r="M27">
        <v>0.25600000000000001</v>
      </c>
      <c r="N27">
        <f t="shared" si="0"/>
        <v>135.02000000000001</v>
      </c>
      <c r="O27">
        <f t="shared" si="1"/>
        <v>4.9054229156137241</v>
      </c>
      <c r="P27">
        <f t="shared" si="2"/>
        <v>2.8985507246376812E-3</v>
      </c>
      <c r="R27">
        <v>310</v>
      </c>
      <c r="S27">
        <v>1341</v>
      </c>
      <c r="T27">
        <v>1.55</v>
      </c>
      <c r="U27">
        <f t="shared" si="3"/>
        <v>1155.8538404175988</v>
      </c>
      <c r="V27">
        <f t="shared" si="4"/>
        <v>36.850000000000023</v>
      </c>
    </row>
    <row r="28" spans="10:22">
      <c r="J28">
        <v>12</v>
      </c>
      <c r="K28">
        <v>350</v>
      </c>
      <c r="L28">
        <v>1952</v>
      </c>
      <c r="M28">
        <v>0.219</v>
      </c>
      <c r="N28">
        <f t="shared" si="0"/>
        <v>112.19</v>
      </c>
      <c r="O28">
        <f t="shared" si="1"/>
        <v>4.7201938625568731</v>
      </c>
      <c r="P28">
        <f t="shared" si="2"/>
        <v>2.8571428571428571E-3</v>
      </c>
      <c r="R28">
        <v>305</v>
      </c>
      <c r="S28">
        <v>1353</v>
      </c>
      <c r="T28">
        <v>1.54</v>
      </c>
      <c r="U28">
        <f t="shared" si="3"/>
        <v>1138.2113821138212</v>
      </c>
      <c r="V28">
        <f t="shared" si="4"/>
        <v>31.850000000000023</v>
      </c>
    </row>
    <row r="29" spans="10:22">
      <c r="J29">
        <v>13</v>
      </c>
      <c r="K29">
        <v>355</v>
      </c>
      <c r="L29">
        <v>1997</v>
      </c>
      <c r="M29">
        <v>0.188</v>
      </c>
      <c r="N29">
        <f t="shared" si="0"/>
        <v>94.14</v>
      </c>
      <c r="O29">
        <f t="shared" si="1"/>
        <v>4.5447830359729959</v>
      </c>
      <c r="P29">
        <f t="shared" si="2"/>
        <v>2.8169014084507044E-3</v>
      </c>
      <c r="R29">
        <v>300</v>
      </c>
      <c r="S29">
        <v>1365</v>
      </c>
      <c r="T29">
        <v>1.5289999999999999</v>
      </c>
      <c r="U29">
        <f>T29/(S29*10^(-6))</f>
        <v>1120.1465201465201</v>
      </c>
      <c r="V29">
        <f t="shared" si="4"/>
        <v>26.850000000000023</v>
      </c>
    </row>
    <row r="31" spans="10:22" ht="15">
      <c r="O31" s="24" t="s">
        <v>37</v>
      </c>
    </row>
    <row r="32" spans="10:22" ht="15">
      <c r="M32" s="24" t="s">
        <v>38</v>
      </c>
      <c r="O32">
        <f>1.380649*10^-23</f>
        <v>1.3806490000000001E-23</v>
      </c>
      <c r="R32" s="24" t="s">
        <v>32</v>
      </c>
      <c r="U32" s="24"/>
      <c r="V32" s="24" t="s">
        <v>37</v>
      </c>
    </row>
    <row r="33" spans="12:22">
      <c r="L33">
        <v>1</v>
      </c>
      <c r="M33">
        <f>2*$O$32*K17*K23*LN(N17/N23)/(K23-K17)</f>
        <v>9.6837848802921623E-20</v>
      </c>
      <c r="Q33">
        <v>1</v>
      </c>
      <c r="R33">
        <f>(U17-U23)/(U23*V17-U17*V23)</f>
        <v>4.127111504890168E-3</v>
      </c>
      <c r="V33" s="25"/>
    </row>
    <row r="34" spans="12:22">
      <c r="L34">
        <v>2</v>
      </c>
      <c r="M34">
        <f>2*$O$32*K18*K24*LN(N18/N24)/(K24-K18)</f>
        <v>9.5039664599140739E-20</v>
      </c>
      <c r="Q34">
        <v>2</v>
      </c>
      <c r="R34">
        <f t="shared" ref="R34:R38" si="5">(U18-U24)/(U24*V18-U18*V24)</f>
        <v>4.0954539571234939E-3</v>
      </c>
    </row>
    <row r="35" spans="12:22">
      <c r="L35">
        <v>3</v>
      </c>
      <c r="M35">
        <f t="shared" ref="M35:M38" si="6">2*$O$32*K19*K25*LN(N19/N25)/(K25-K19)</f>
        <v>1.0586069875806582E-19</v>
      </c>
      <c r="Q35">
        <v>3</v>
      </c>
      <c r="R35">
        <f t="shared" si="5"/>
        <v>4.0616304046652094E-3</v>
      </c>
    </row>
    <row r="36" spans="12:22">
      <c r="L36">
        <v>4</v>
      </c>
      <c r="M36">
        <f>2*$O$32*K20*K26*LN(N20/N26)/(K26-K20)</f>
        <v>1.1331957166754449E-19</v>
      </c>
      <c r="Q36">
        <v>4</v>
      </c>
      <c r="R36">
        <f t="shared" si="5"/>
        <v>3.9971765782356797E-3</v>
      </c>
    </row>
    <row r="37" spans="12:22">
      <c r="L37">
        <v>5</v>
      </c>
      <c r="M37">
        <f t="shared" si="6"/>
        <v>1.105541012257528E-19</v>
      </c>
      <c r="Q37">
        <v>5</v>
      </c>
      <c r="R37">
        <f t="shared" si="5"/>
        <v>4.036182500355502E-3</v>
      </c>
    </row>
    <row r="38" spans="12:22">
      <c r="L38">
        <v>6</v>
      </c>
      <c r="M38">
        <f t="shared" si="6"/>
        <v>1.1394415211910124E-19</v>
      </c>
      <c r="Q38">
        <v>6</v>
      </c>
      <c r="R38">
        <f t="shared" si="5"/>
        <v>3.979962576989478E-3</v>
      </c>
    </row>
    <row r="39" spans="12:22">
      <c r="L39">
        <v>7</v>
      </c>
      <c r="M39">
        <f>2*O32*K23*K29*LN(N23/N29)/(K29-K23)</f>
        <v>1.1532752751471241E-19</v>
      </c>
      <c r="Q39">
        <v>7</v>
      </c>
      <c r="R39">
        <f>(U23-U29)/(U29*V23-U23*V29)</f>
        <v>3.5750165715858597E-3</v>
      </c>
    </row>
    <row r="40" spans="12:22">
      <c r="L40" t="s">
        <v>39</v>
      </c>
      <c r="M40">
        <f>AVERAGE(M33:M39)</f>
        <v>1.0726908066960558E-19</v>
      </c>
      <c r="Q40" t="s">
        <v>33</v>
      </c>
      <c r="R40">
        <f>AVERAGE(R33:R39)</f>
        <v>3.9817905848350561E-3</v>
      </c>
    </row>
    <row r="41" spans="12:22">
      <c r="L41">
        <v>1</v>
      </c>
      <c r="M41">
        <f>(M33-$M$40)^2</f>
        <v>1.088105982565229E-40</v>
      </c>
      <c r="R41">
        <f>(R33-$R$40)^2</f>
        <v>2.111816980566424E-8</v>
      </c>
    </row>
    <row r="42" spans="12:22">
      <c r="L42">
        <v>2</v>
      </c>
      <c r="M42">
        <f t="shared" ref="M42:M47" si="7">(M34-$M$40)^2</f>
        <v>1.4955861742454375E-40</v>
      </c>
      <c r="R42">
        <f t="shared" ref="R42:R47" si="8">(R34-$R$40)^2</f>
        <v>1.291936219998003E-8</v>
      </c>
    </row>
    <row r="43" spans="12:22">
      <c r="L43">
        <v>3</v>
      </c>
      <c r="M43">
        <f t="shared" si="7"/>
        <v>1.9835396087523972E-42</v>
      </c>
      <c r="R43">
        <f t="shared" si="8"/>
        <v>6.3743968305113514E-9</v>
      </c>
    </row>
    <row r="44" spans="12:22">
      <c r="L44">
        <v>4</v>
      </c>
      <c r="M44">
        <f t="shared" si="7"/>
        <v>3.6608441316139742E-41</v>
      </c>
      <c r="R44">
        <f t="shared" si="8"/>
        <v>2.3672879292403353E-10</v>
      </c>
    </row>
    <row r="45" spans="12:22">
      <c r="L45">
        <v>5</v>
      </c>
      <c r="M45">
        <f t="shared" si="7"/>
        <v>1.0791360054309815E-41</v>
      </c>
      <c r="R45">
        <f t="shared" si="8"/>
        <v>2.9584804739833235E-9</v>
      </c>
    </row>
    <row r="46" spans="12:22">
      <c r="L46">
        <v>6</v>
      </c>
      <c r="M46">
        <f t="shared" si="7"/>
        <v>4.4556578855872035E-41</v>
      </c>
      <c r="R46">
        <f t="shared" si="8"/>
        <v>3.3416126834950111E-12</v>
      </c>
    </row>
    <row r="47" spans="12:22">
      <c r="L47">
        <v>7</v>
      </c>
      <c r="M47">
        <f t="shared" si="7"/>
        <v>6.4938565555412153E-41</v>
      </c>
      <c r="R47">
        <f t="shared" si="8"/>
        <v>1.654650978548574E-7</v>
      </c>
    </row>
    <row r="48" spans="12:22">
      <c r="L48" t="s">
        <v>34</v>
      </c>
      <c r="M48">
        <f>SUM(M41:M47)</f>
        <v>4.1724770107155287E-40</v>
      </c>
      <c r="Q48" t="s">
        <v>34</v>
      </c>
      <c r="R48">
        <f>SUM(R41:R47)</f>
        <v>2.0907557757060389E-7</v>
      </c>
    </row>
    <row r="49" spans="12:18">
      <c r="L49" t="s">
        <v>35</v>
      </c>
      <c r="M49">
        <f>(M48/42)^(1/2)</f>
        <v>3.1518992802962803E-21</v>
      </c>
      <c r="Q49" t="s">
        <v>35</v>
      </c>
      <c r="R49">
        <f>(R48/42)^(1/2)</f>
        <v>7.055487185274476E-5</v>
      </c>
    </row>
    <row r="50" spans="12:18" ht="15">
      <c r="L50" t="s">
        <v>40</v>
      </c>
      <c r="M50">
        <f>M49*2.45</f>
        <v>7.7221532367258872E-21</v>
      </c>
      <c r="Q50" s="24" t="s">
        <v>36</v>
      </c>
      <c r="R50">
        <f>R49*2.45</f>
        <v>1.7285943603922467E-4</v>
      </c>
    </row>
    <row r="52" spans="12:18">
      <c r="L52" t="s">
        <v>41</v>
      </c>
      <c r="M52">
        <f>M50*100/M40</f>
        <v>7.1988621404433637</v>
      </c>
      <c r="R52">
        <f>(R50/R40)*100</f>
        <v>4.3412488014204618</v>
      </c>
    </row>
    <row r="65" spans="1:11" s="42" customFormat="1"/>
    <row r="66" spans="1:11" s="42" customFormat="1"/>
    <row r="67" spans="1:11" s="42" customFormat="1"/>
    <row r="68" spans="1:11" s="42" customFormat="1"/>
    <row r="69" spans="1:11">
      <c r="A69" t="s">
        <v>27</v>
      </c>
      <c r="B69" t="s">
        <v>24</v>
      </c>
      <c r="C69" t="s">
        <v>42</v>
      </c>
      <c r="D69" t="s">
        <v>43</v>
      </c>
      <c r="E69" t="s">
        <v>44</v>
      </c>
      <c r="F69" t="s">
        <v>46</v>
      </c>
      <c r="G69" t="s">
        <v>45</v>
      </c>
      <c r="H69" t="s">
        <v>27</v>
      </c>
      <c r="I69" t="s">
        <v>47</v>
      </c>
    </row>
    <row r="70" spans="1:11">
      <c r="A70">
        <v>0</v>
      </c>
      <c r="B70">
        <v>0.09</v>
      </c>
      <c r="C70">
        <v>6.3</v>
      </c>
      <c r="D70">
        <v>2.2999999999999998</v>
      </c>
      <c r="E70">
        <v>3</v>
      </c>
      <c r="F70">
        <f>LN(C70/D70)/E70</f>
        <v>0.33588017015412769</v>
      </c>
      <c r="G70">
        <f>2*PI()/(1-EXP(-2*F70))</f>
        <v>12.844022124988705</v>
      </c>
      <c r="H70">
        <f>A70+66</f>
        <v>66</v>
      </c>
      <c r="I70">
        <f>PI()*PI()*H70*H70*$B$109*10^(-6)/(F70^2)</f>
        <v>8.3838127179252063E-3</v>
      </c>
      <c r="K70">
        <f>(I70-$I$85)^2</f>
        <v>1.7468069863832161E-7</v>
      </c>
    </row>
    <row r="71" spans="1:11">
      <c r="A71">
        <v>10</v>
      </c>
      <c r="B71">
        <v>0.09</v>
      </c>
      <c r="C71">
        <v>6.1</v>
      </c>
      <c r="D71">
        <v>2.8</v>
      </c>
      <c r="E71">
        <v>2</v>
      </c>
      <c r="F71">
        <f t="shared" ref="F71:F83" si="9">LN(C71/D71)/E71</f>
        <v>0.38933467699905361</v>
      </c>
      <c r="G71" s="26">
        <f t="shared" ref="G71:G83" si="10">2*PI()/(1-EXP(-2*F71))</f>
        <v>11.614372840544085</v>
      </c>
      <c r="H71" s="27">
        <f t="shared" ref="H71:H83" si="11">A71+66</f>
        <v>76</v>
      </c>
      <c r="I71">
        <f t="shared" ref="I71:I83" si="12">PI()*PI()*H71*H71*$B$109*10^(-6)/(F71^2)</f>
        <v>8.2737698682610085E-3</v>
      </c>
      <c r="K71" s="26">
        <f t="shared" ref="K71:K80" si="13">(I71-$I$85)^2</f>
        <v>2.7877454947939072E-7</v>
      </c>
    </row>
    <row r="72" spans="1:11">
      <c r="A72">
        <v>20</v>
      </c>
      <c r="B72">
        <v>0.09</v>
      </c>
      <c r="C72">
        <v>5.8</v>
      </c>
      <c r="D72">
        <v>2.6</v>
      </c>
      <c r="E72">
        <v>2</v>
      </c>
      <c r="F72">
        <f t="shared" si="9"/>
        <v>0.40117323626246865</v>
      </c>
      <c r="G72" s="26">
        <f t="shared" si="10"/>
        <v>11.388273369263</v>
      </c>
      <c r="H72" s="27">
        <f t="shared" si="11"/>
        <v>86</v>
      </c>
      <c r="I72">
        <f t="shared" si="12"/>
        <v>9.9782739879913859E-3</v>
      </c>
      <c r="K72" s="26">
        <f t="shared" si="13"/>
        <v>1.3841830019110126E-6</v>
      </c>
    </row>
    <row r="73" spans="1:11">
      <c r="A73">
        <v>30</v>
      </c>
      <c r="B73">
        <v>0.09</v>
      </c>
      <c r="C73">
        <v>5.7</v>
      </c>
      <c r="D73">
        <v>2.2000000000000002</v>
      </c>
      <c r="E73">
        <v>2</v>
      </c>
      <c r="F73">
        <f t="shared" si="9"/>
        <v>0.47600440723811716</v>
      </c>
      <c r="G73" s="26">
        <f t="shared" si="10"/>
        <v>10.232616071692469</v>
      </c>
      <c r="H73" s="27">
        <f t="shared" si="11"/>
        <v>96</v>
      </c>
      <c r="I73">
        <f t="shared" si="12"/>
        <v>8.8316722706421862E-3</v>
      </c>
      <c r="K73" s="26">
        <f t="shared" si="13"/>
        <v>8.9468896732056068E-10</v>
      </c>
    </row>
    <row r="74" spans="1:11">
      <c r="A74">
        <v>40</v>
      </c>
      <c r="B74">
        <v>0.09</v>
      </c>
      <c r="C74">
        <v>5.6</v>
      </c>
      <c r="D74">
        <v>2</v>
      </c>
      <c r="E74">
        <v>2</v>
      </c>
      <c r="F74">
        <f t="shared" si="9"/>
        <v>0.51480970859057906</v>
      </c>
      <c r="G74" s="26">
        <f t="shared" si="10"/>
        <v>9.7738438111682466</v>
      </c>
      <c r="H74" s="27">
        <f t="shared" si="11"/>
        <v>106</v>
      </c>
      <c r="I74">
        <f t="shared" si="12"/>
        <v>9.2053583539046177E-3</v>
      </c>
      <c r="K74" s="26">
        <f t="shared" si="13"/>
        <v>1.6289088960000015E-7</v>
      </c>
    </row>
    <row r="75" spans="1:11">
      <c r="A75">
        <v>50</v>
      </c>
      <c r="B75">
        <v>0.09</v>
      </c>
      <c r="C75">
        <v>5.3</v>
      </c>
      <c r="D75">
        <v>3</v>
      </c>
      <c r="E75">
        <v>1</v>
      </c>
      <c r="F75">
        <f t="shared" si="9"/>
        <v>0.56909453188996639</v>
      </c>
      <c r="G75" s="26">
        <f t="shared" si="10"/>
        <v>9.2453994383800211</v>
      </c>
      <c r="H75" s="27">
        <f t="shared" si="11"/>
        <v>116</v>
      </c>
      <c r="I75">
        <f t="shared" si="12"/>
        <v>9.0213094270739369E-3</v>
      </c>
      <c r="K75" s="26">
        <f t="shared" si="13"/>
        <v>4.8201547472785305E-8</v>
      </c>
    </row>
    <row r="76" spans="1:11">
      <c r="A76">
        <v>60</v>
      </c>
      <c r="B76">
        <v>0.09</v>
      </c>
      <c r="C76">
        <v>5.0999999999999996</v>
      </c>
      <c r="D76">
        <v>2.7</v>
      </c>
      <c r="E76">
        <v>1</v>
      </c>
      <c r="F76">
        <f t="shared" si="9"/>
        <v>0.6359887667199966</v>
      </c>
      <c r="G76" s="26">
        <f t="shared" si="10"/>
        <v>8.730002662379329</v>
      </c>
      <c r="H76" s="27">
        <f t="shared" si="11"/>
        <v>126</v>
      </c>
      <c r="I76">
        <f t="shared" si="12"/>
        <v>8.5224532315609346E-3</v>
      </c>
      <c r="K76" s="26">
        <f t="shared" si="13"/>
        <v>7.8012784166770566E-8</v>
      </c>
    </row>
    <row r="77" spans="1:11">
      <c r="A77">
        <v>70</v>
      </c>
      <c r="B77">
        <v>0.09</v>
      </c>
      <c r="C77">
        <v>5</v>
      </c>
      <c r="D77">
        <v>2.5</v>
      </c>
      <c r="E77">
        <v>1</v>
      </c>
      <c r="F77">
        <f t="shared" si="9"/>
        <v>0.69314718055994529</v>
      </c>
      <c r="G77" s="26">
        <f t="shared" si="10"/>
        <v>8.3775804095727811</v>
      </c>
      <c r="H77" s="27">
        <f t="shared" si="11"/>
        <v>136</v>
      </c>
      <c r="I77">
        <f t="shared" si="12"/>
        <v>8.3589036798920359E-3</v>
      </c>
      <c r="K77" s="26">
        <f t="shared" si="13"/>
        <v>1.9612253407845142E-7</v>
      </c>
    </row>
    <row r="78" spans="1:11">
      <c r="A78">
        <v>80</v>
      </c>
      <c r="B78">
        <v>0.09</v>
      </c>
      <c r="C78">
        <v>4.8</v>
      </c>
      <c r="D78">
        <v>2.2999999999999998</v>
      </c>
      <c r="E78">
        <v>1</v>
      </c>
      <c r="F78">
        <f t="shared" si="9"/>
        <v>0.73570679497874125</v>
      </c>
      <c r="G78" s="26">
        <f t="shared" si="10"/>
        <v>8.1557515198545154</v>
      </c>
      <c r="H78" s="27">
        <f t="shared" si="11"/>
        <v>146</v>
      </c>
      <c r="I78">
        <f t="shared" si="12"/>
        <v>8.5510334119287337E-3</v>
      </c>
      <c r="K78" s="26">
        <f t="shared" si="13"/>
        <v>6.2864282716185326E-8</v>
      </c>
    </row>
    <row r="79" spans="1:11">
      <c r="A79">
        <v>90</v>
      </c>
      <c r="B79">
        <v>0.09</v>
      </c>
      <c r="C79">
        <v>4.5999999999999996</v>
      </c>
      <c r="D79">
        <v>2.1</v>
      </c>
      <c r="E79">
        <v>1</v>
      </c>
      <c r="F79">
        <f t="shared" si="9"/>
        <v>0.78411895876567195</v>
      </c>
      <c r="G79" s="26">
        <f t="shared" si="10"/>
        <v>7.937444841786272</v>
      </c>
      <c r="H79" s="27">
        <f t="shared" si="11"/>
        <v>156</v>
      </c>
      <c r="I79">
        <f t="shared" si="12"/>
        <v>8.5942446771056103E-3</v>
      </c>
      <c r="K79" s="26">
        <f t="shared" si="13"/>
        <v>4.3062990578803537E-8</v>
      </c>
    </row>
    <row r="80" spans="1:11">
      <c r="A80">
        <v>100</v>
      </c>
      <c r="B80">
        <v>0.09</v>
      </c>
      <c r="C80">
        <v>4.5</v>
      </c>
      <c r="D80">
        <v>2</v>
      </c>
      <c r="E80">
        <v>1</v>
      </c>
      <c r="F80">
        <f t="shared" si="9"/>
        <v>0.81093021621632877</v>
      </c>
      <c r="G80" s="26">
        <f t="shared" si="10"/>
        <v>7.8298155366391766</v>
      </c>
      <c r="H80" s="27">
        <f t="shared" si="11"/>
        <v>166</v>
      </c>
      <c r="I80">
        <f t="shared" si="12"/>
        <v>9.0985384808281496E-3</v>
      </c>
      <c r="K80" s="26">
        <f t="shared" si="13"/>
        <v>8.8076921306440499E-8</v>
      </c>
    </row>
    <row r="81" spans="1:11">
      <c r="A81">
        <v>200</v>
      </c>
      <c r="B81">
        <v>0.09</v>
      </c>
      <c r="C81">
        <v>3.2</v>
      </c>
      <c r="D81">
        <v>1</v>
      </c>
      <c r="E81">
        <v>1</v>
      </c>
      <c r="F81">
        <f t="shared" si="9"/>
        <v>1.1631508098056809</v>
      </c>
      <c r="G81" s="26">
        <f t="shared" si="10"/>
        <v>6.9631837170475066</v>
      </c>
      <c r="H81" s="27">
        <f t="shared" si="11"/>
        <v>266</v>
      </c>
      <c r="I81">
        <f t="shared" si="12"/>
        <v>1.1355693046956354E-2</v>
      </c>
      <c r="K81" s="26"/>
    </row>
    <row r="82" spans="1:11">
      <c r="A82">
        <v>300</v>
      </c>
      <c r="B82">
        <v>0.09</v>
      </c>
      <c r="C82">
        <v>2.4</v>
      </c>
      <c r="D82">
        <v>0.4</v>
      </c>
      <c r="E82">
        <v>1</v>
      </c>
      <c r="F82">
        <f t="shared" si="9"/>
        <v>1.791759469228055</v>
      </c>
      <c r="G82" s="26">
        <f t="shared" si="10"/>
        <v>6.4627048873847173</v>
      </c>
      <c r="H82" s="27">
        <f t="shared" si="11"/>
        <v>366</v>
      </c>
      <c r="I82">
        <f t="shared" si="12"/>
        <v>9.059937053833499E-3</v>
      </c>
      <c r="K82" s="26"/>
    </row>
    <row r="83" spans="1:11">
      <c r="A83">
        <v>400</v>
      </c>
      <c r="B83">
        <v>0.09</v>
      </c>
      <c r="C83">
        <v>1.6</v>
      </c>
      <c r="D83">
        <v>0.2</v>
      </c>
      <c r="E83">
        <v>1</v>
      </c>
      <c r="F83">
        <f t="shared" si="9"/>
        <v>2.0794415416798357</v>
      </c>
      <c r="G83" s="26">
        <f t="shared" si="10"/>
        <v>6.3829184072935483</v>
      </c>
      <c r="H83" s="27">
        <f t="shared" si="11"/>
        <v>466</v>
      </c>
      <c r="I83">
        <f t="shared" si="12"/>
        <v>1.0904376246579648E-2</v>
      </c>
      <c r="K83" s="26"/>
    </row>
    <row r="85" spans="1:11">
      <c r="G85">
        <f>(1/H70)*SQRT(I70/($B$109*10^(-6)))</f>
        <v>9.353313868300674</v>
      </c>
      <c r="I85">
        <f>AVERAGE(I70:I80)</f>
        <v>8.8017609188285259E-3</v>
      </c>
      <c r="K85">
        <f>SUM(K70:K80)</f>
        <v>2.5177648889154829E-6</v>
      </c>
    </row>
    <row r="86" spans="1:11">
      <c r="G86" s="26">
        <f t="shared" ref="G86:G91" si="14">(1/H71)*SQRT(I71/($B$109*10^(-6)))</f>
        <v>8.0691313648319838</v>
      </c>
      <c r="K86" t="s">
        <v>49</v>
      </c>
    </row>
    <row r="87" spans="1:11">
      <c r="G87" s="26">
        <f t="shared" si="14"/>
        <v>7.831012564194082</v>
      </c>
      <c r="K87">
        <f>SQRT(K85/110)</f>
        <v>1.5129035566556609E-4</v>
      </c>
    </row>
    <row r="88" spans="1:11">
      <c r="G88" s="26">
        <f t="shared" si="14"/>
        <v>6.5999234583099948</v>
      </c>
    </row>
    <row r="89" spans="1:11">
      <c r="G89" s="26">
        <f t="shared" si="14"/>
        <v>6.1024347465992674</v>
      </c>
    </row>
    <row r="90" spans="1:11">
      <c r="G90" s="26">
        <f t="shared" si="14"/>
        <v>5.5203353354258118</v>
      </c>
    </row>
    <row r="91" spans="1:11">
      <c r="G91" s="26">
        <f t="shared" si="14"/>
        <v>4.9396983374282222</v>
      </c>
    </row>
    <row r="108" spans="2:5">
      <c r="B108" t="s">
        <v>48</v>
      </c>
      <c r="C108" t="s">
        <v>24</v>
      </c>
      <c r="D108" t="s">
        <v>50</v>
      </c>
    </row>
    <row r="109" spans="2:5">
      <c r="B109">
        <v>2.1999999999999999E-2</v>
      </c>
      <c r="C109">
        <f>2*PI()/SQRT(1/(8.8*10^(-3)*B109*10^(-6))-66^2/(4*(1*10^(-2))^2))</f>
        <v>8.7516681300821647E-5</v>
      </c>
      <c r="D109">
        <f>0.09*10^(-3)</f>
        <v>8.9999999999999992E-5</v>
      </c>
      <c r="E109">
        <f>-(C109-(D109))/C109</f>
        <v>2.8375375554317673E-2</v>
      </c>
    </row>
    <row r="110" spans="2:5">
      <c r="B110">
        <v>3.3000000000000002E-2</v>
      </c>
      <c r="C110" s="30">
        <f t="shared" ref="C110:C112" si="15">2*PI()/SQRT(1/(8.8*10^(-3)*B110*10^(-6))-66^2/(4*(1*10^(-2))^2))</f>
        <v>1.0724226579953372E-4</v>
      </c>
      <c r="D110">
        <v>1.1E-4</v>
      </c>
      <c r="E110" s="28">
        <f t="shared" ref="E110:E112" si="16">-(C110-(D110))/C110</f>
        <v>2.5714993803108085E-2</v>
      </c>
    </row>
    <row r="111" spans="2:5">
      <c r="B111">
        <v>4.7E-2</v>
      </c>
      <c r="C111" s="30">
        <f t="shared" si="15"/>
        <v>1.2807088081564821E-4</v>
      </c>
      <c r="D111">
        <v>1.2999999999999999E-4</v>
      </c>
      <c r="E111" s="28">
        <f t="shared" si="16"/>
        <v>1.5062902449532204E-2</v>
      </c>
    </row>
    <row r="112" spans="2:5">
      <c r="B112">
        <v>0.47</v>
      </c>
      <c r="C112" s="30">
        <f t="shared" si="15"/>
        <v>4.1350215709583092E-4</v>
      </c>
      <c r="D112">
        <v>4.2000000000000002E-4</v>
      </c>
      <c r="E112" s="28">
        <f t="shared" si="16"/>
        <v>1.5714169303990343E-2</v>
      </c>
    </row>
    <row r="114" spans="2:4">
      <c r="B114">
        <f>B109*10^(-6)</f>
        <v>2.1999999999999998E-8</v>
      </c>
    </row>
    <row r="115" spans="2:4" ht="15">
      <c r="B115" s="28">
        <f t="shared" ref="B115:B117" si="17">B110*10^(-6)</f>
        <v>3.2999999999999998E-8</v>
      </c>
      <c r="D115" t="s">
        <v>52</v>
      </c>
    </row>
    <row r="116" spans="2:4">
      <c r="B116" s="28">
        <f t="shared" si="17"/>
        <v>4.6999999999999997E-8</v>
      </c>
      <c r="D116">
        <f>2*PI()*SQRT(0.01*B109*10^(-6))</f>
        <v>9.3194698738493893E-5</v>
      </c>
    </row>
    <row r="117" spans="2:4">
      <c r="B117" s="28">
        <f t="shared" si="17"/>
        <v>4.6999999999999995E-7</v>
      </c>
      <c r="D117" s="29">
        <f t="shared" ref="D117:D119" si="18">2*PI()*SQRT(0.01*B110*10^(-6))</f>
        <v>1.1413972932085459E-4</v>
      </c>
    </row>
    <row r="118" spans="2:4">
      <c r="D118" s="29">
        <f t="shared" si="18"/>
        <v>1.3621621149499053E-4</v>
      </c>
    </row>
    <row r="119" spans="2:4">
      <c r="D119" s="29">
        <f t="shared" si="18"/>
        <v>4.3075348256337975E-4</v>
      </c>
    </row>
    <row r="121" spans="2:4">
      <c r="B121" t="s">
        <v>51</v>
      </c>
    </row>
    <row r="122" spans="2:4">
      <c r="B122">
        <v>0.22</v>
      </c>
      <c r="C122">
        <f>ROUND(C109*10^(5),2)</f>
        <v>8.75</v>
      </c>
      <c r="D122">
        <f>D109*10^(5)</f>
        <v>9</v>
      </c>
    </row>
    <row r="123" spans="2:4">
      <c r="B123">
        <v>0.33</v>
      </c>
      <c r="C123" s="29">
        <f t="shared" ref="C123:C125" si="19">ROUND(C110*10^(5),2)</f>
        <v>10.72</v>
      </c>
      <c r="D123" s="29">
        <f t="shared" ref="D123:D125" si="20">D110*10^(5)</f>
        <v>11</v>
      </c>
    </row>
    <row r="124" spans="2:4">
      <c r="B124">
        <v>0.47</v>
      </c>
      <c r="C124" s="29">
        <f t="shared" si="19"/>
        <v>12.81</v>
      </c>
      <c r="D124" s="29">
        <f t="shared" si="20"/>
        <v>12.999999999999998</v>
      </c>
    </row>
    <row r="125" spans="2:4">
      <c r="B125">
        <v>4.7</v>
      </c>
      <c r="C125" s="29">
        <f t="shared" si="19"/>
        <v>41.35</v>
      </c>
      <c r="D125" s="29">
        <f t="shared" si="20"/>
        <v>42</v>
      </c>
    </row>
    <row r="129" spans="1:2">
      <c r="B129" t="s">
        <v>53</v>
      </c>
    </row>
    <row r="130" spans="1:2">
      <c r="A130">
        <v>0</v>
      </c>
      <c r="B130">
        <f>2*PI()/SQRT(1/(0.01*$B$114)-(A130+66)^2/(4*0.01*0.01))</f>
        <v>9.3306537666059086E-5</v>
      </c>
    </row>
    <row r="131" spans="1:2">
      <c r="A131">
        <v>200</v>
      </c>
      <c r="B131" s="30">
        <f t="shared" ref="B131:B132" si="21">2*PI()/SQRT(1/(0.01*$B$114)-(A131+66)^2/(4*0.01*0.01))</f>
        <v>9.506277548755379E-5</v>
      </c>
    </row>
    <row r="132" spans="1:2">
      <c r="A132">
        <v>400</v>
      </c>
      <c r="B132" s="30">
        <f t="shared" si="21"/>
        <v>9.9314050834573318E-5</v>
      </c>
    </row>
  </sheetData>
  <mergeCells count="15">
    <mergeCell ref="A3:J3"/>
    <mergeCell ref="H11:J11"/>
    <mergeCell ref="D11:F11"/>
    <mergeCell ref="A11:C11"/>
    <mergeCell ref="C10:J10"/>
    <mergeCell ref="A65:XFD68"/>
    <mergeCell ref="A12:B12"/>
    <mergeCell ref="A10:B10"/>
    <mergeCell ref="C12:J12"/>
    <mergeCell ref="D5:D9"/>
    <mergeCell ref="E5:E9"/>
    <mergeCell ref="F5:F9"/>
    <mergeCell ref="H5:H9"/>
    <mergeCell ref="I5:I9"/>
    <mergeCell ref="J5:J9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Образцы</vt:lpstr>
      <vt:lpstr>Определение температурного</vt:lpstr>
      <vt:lpstr>Ширина запрещенной зоны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2021-05-12T18:41:17Z</dcterms:modified>
</cp:coreProperties>
</file>