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B7AD1B7D-A551-4EE0-A6FE-A58D197CB0DA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Образцы" sheetId="1" r:id="rId1"/>
    <sheet name="Определение температурного" sheetId="2" r:id="rId2"/>
    <sheet name="Ширина запрещенной зоны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4" i="3" l="1"/>
  <c r="I4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27" i="3"/>
  <c r="K28" i="3"/>
  <c r="G46" i="3"/>
  <c r="I70" i="3" s="1"/>
  <c r="G62" i="3"/>
  <c r="G50" i="3"/>
  <c r="G51" i="3"/>
  <c r="G52" i="3"/>
  <c r="G53" i="3"/>
  <c r="G54" i="3"/>
  <c r="G55" i="3"/>
  <c r="G56" i="3"/>
  <c r="G57" i="3"/>
  <c r="G58" i="3"/>
  <c r="G59" i="3"/>
  <c r="G60" i="3"/>
  <c r="G61" i="3"/>
  <c r="G49" i="3"/>
  <c r="G42" i="3"/>
  <c r="G34" i="3"/>
  <c r="J33" i="3" s="1"/>
  <c r="G33" i="3"/>
  <c r="K35" i="3"/>
  <c r="B47" i="3"/>
  <c r="G28" i="3"/>
  <c r="J28" i="3" s="1"/>
  <c r="G29" i="3"/>
  <c r="J29" i="3" s="1"/>
  <c r="G30" i="3"/>
  <c r="J30" i="3" s="1"/>
  <c r="G31" i="3"/>
  <c r="J31" i="3" s="1"/>
  <c r="G32" i="3"/>
  <c r="J32" i="3" s="1"/>
  <c r="G35" i="3"/>
  <c r="J34" i="3" s="1"/>
  <c r="G36" i="3"/>
  <c r="J35" i="3" s="1"/>
  <c r="G37" i="3"/>
  <c r="J36" i="3" s="1"/>
  <c r="G38" i="3"/>
  <c r="J37" i="3" s="1"/>
  <c r="G39" i="3"/>
  <c r="J38" i="3" s="1"/>
  <c r="G40" i="3"/>
  <c r="J39" i="3" s="1"/>
  <c r="G27" i="3"/>
  <c r="J27" i="3" s="1"/>
  <c r="K30" i="3" l="1"/>
  <c r="K36" i="3"/>
  <c r="K29" i="3"/>
  <c r="K34" i="3"/>
  <c r="K33" i="3"/>
  <c r="K39" i="3"/>
  <c r="K32" i="3"/>
  <c r="K38" i="3"/>
  <c r="K31" i="3"/>
  <c r="K37" i="3"/>
  <c r="R15" i="1"/>
  <c r="P15" i="1"/>
  <c r="Q15" i="1" s="1"/>
  <c r="R14" i="1"/>
  <c r="P14" i="1"/>
  <c r="Q14" i="1" s="1"/>
  <c r="R13" i="1"/>
  <c r="P13" i="1"/>
  <c r="Q13" i="1" s="1"/>
  <c r="R12" i="1"/>
  <c r="P12" i="1"/>
  <c r="Q12" i="1" s="1"/>
  <c r="R11" i="1"/>
  <c r="P11" i="1"/>
  <c r="Q11" i="1" s="1"/>
  <c r="R10" i="1"/>
  <c r="P10" i="1"/>
  <c r="Q10" i="1" s="1"/>
  <c r="R9" i="1"/>
  <c r="P9" i="1"/>
  <c r="Q9" i="1" s="1"/>
  <c r="R8" i="1"/>
  <c r="P8" i="1"/>
  <c r="R7" i="1"/>
  <c r="P7" i="1"/>
  <c r="R6" i="1"/>
  <c r="P6" i="1"/>
  <c r="R5" i="1"/>
  <c r="P5" i="1"/>
  <c r="R4" i="1"/>
  <c r="P4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D10" i="2" s="1"/>
  <c r="G8" i="1"/>
  <c r="F8" i="1"/>
  <c r="G7" i="1"/>
  <c r="F7" i="1"/>
  <c r="D8" i="2" s="1"/>
  <c r="G6" i="1"/>
  <c r="F6" i="1"/>
  <c r="G5" i="1"/>
  <c r="F5" i="1"/>
  <c r="G4" i="1"/>
  <c r="F4" i="1"/>
  <c r="D5" i="2" s="1"/>
  <c r="K27" i="3" l="1"/>
  <c r="H42" i="3"/>
  <c r="I49" i="3" s="1"/>
  <c r="K49" i="3" s="1"/>
  <c r="D9" i="2"/>
  <c r="Q4" i="1"/>
  <c r="Q8" i="1"/>
  <c r="Q5" i="1"/>
  <c r="D6" i="2"/>
  <c r="D7" i="2"/>
  <c r="E5" i="2" s="1"/>
  <c r="D12" i="2" s="1"/>
  <c r="F5" i="2" s="1"/>
  <c r="Q6" i="1"/>
  <c r="Q7" i="1"/>
  <c r="I51" i="3" l="1"/>
  <c r="K51" i="3" s="1"/>
  <c r="I59" i="3"/>
  <c r="K59" i="3" s="1"/>
  <c r="I52" i="3"/>
  <c r="K52" i="3" s="1"/>
  <c r="I60" i="3"/>
  <c r="K60" i="3" s="1"/>
  <c r="I53" i="3"/>
  <c r="K53" i="3" s="1"/>
  <c r="I61" i="3"/>
  <c r="K61" i="3" s="1"/>
  <c r="I54" i="3"/>
  <c r="K54" i="3" s="1"/>
  <c r="I62" i="3"/>
  <c r="K62" i="3" s="1"/>
  <c r="I55" i="3"/>
  <c r="K55" i="3" s="1"/>
  <c r="I56" i="3"/>
  <c r="K56" i="3" s="1"/>
  <c r="I57" i="3"/>
  <c r="K57" i="3" s="1"/>
  <c r="I50" i="3"/>
  <c r="K50" i="3" s="1"/>
  <c r="I58" i="3"/>
  <c r="K58" i="3" s="1"/>
  <c r="G5" i="2"/>
  <c r="G45" i="3" l="1"/>
  <c r="G47" i="3" s="1"/>
  <c r="G76" i="3" s="1"/>
  <c r="G83" i="3" l="1"/>
  <c r="G81" i="3"/>
  <c r="G79" i="3"/>
  <c r="G82" i="3"/>
  <c r="G80" i="3"/>
  <c r="G70" i="3"/>
  <c r="G74" i="3"/>
  <c r="G71" i="3"/>
  <c r="F86" i="3" s="1"/>
  <c r="G72" i="3"/>
  <c r="G78" i="3"/>
  <c r="G77" i="3"/>
  <c r="G73" i="3"/>
  <c r="G75" i="3"/>
  <c r="F87" i="3" l="1"/>
  <c r="H89" i="3" s="1"/>
  <c r="H90" i="3" s="1"/>
  <c r="G89" i="3"/>
  <c r="G90" i="3" s="1"/>
  <c r="F89" i="3" l="1"/>
  <c r="F90" i="3" s="1"/>
</calcChain>
</file>

<file path=xl/sharedStrings.xml><?xml version="1.0" encoding="utf-8"?>
<sst xmlns="http://schemas.openxmlformats.org/spreadsheetml/2006/main" count="54" uniqueCount="47">
  <si>
    <t>Tаблица 1: Металлический образец</t>
  </si>
  <si>
    <t>№</t>
  </si>
  <si>
    <t>T, K</t>
  </si>
  <si>
    <t>I, мкА</t>
  </si>
  <si>
    <t>U, В</t>
  </si>
  <si>
    <t>R, кОм</t>
  </si>
  <si>
    <t>t, ℃</t>
  </si>
  <si>
    <t>Tаблица 2: Полупроводниковый образец</t>
  </si>
  <si>
    <t>R, Ом</t>
  </si>
  <si>
    <t>ln R</t>
  </si>
  <si>
    <r>
      <rPr>
        <b/>
        <sz val="12"/>
        <color indexed="8"/>
        <rFont val="Helvetica Neue"/>
      </rPr>
      <t>10</t>
    </r>
    <r>
      <rPr>
        <b/>
        <vertAlign val="superscript"/>
        <sz val="12"/>
        <color indexed="8"/>
        <rFont val="Helvetica Neue"/>
      </rPr>
      <t>3</t>
    </r>
    <r>
      <rPr>
        <b/>
        <sz val="12"/>
        <color indexed="8"/>
        <rFont val="Helvetica Neue"/>
      </rPr>
      <t>/T, 1/K</t>
    </r>
  </si>
  <si>
    <t>α</t>
  </si>
  <si>
    <t xml:space="preserve"> Определение температурного коэффициента и погрешности</t>
  </si>
  <si>
    <r>
      <t>t</t>
    </r>
    <r>
      <rPr>
        <b/>
        <vertAlign val="subscript"/>
        <sz val="16"/>
        <color indexed="8"/>
        <rFont val="Helvetica Neue"/>
      </rPr>
      <t>α</t>
    </r>
  </si>
  <si>
    <r>
      <t>ε</t>
    </r>
    <r>
      <rPr>
        <b/>
        <vertAlign val="subscript"/>
        <sz val="16"/>
        <color theme="1"/>
        <rFont val="Helvetica Neue"/>
      </rPr>
      <t>α</t>
    </r>
    <r>
      <rPr>
        <b/>
        <sz val="16"/>
        <color theme="1"/>
        <rFont val="Helvetica Neue"/>
      </rPr>
      <t>, %</t>
    </r>
  </si>
  <si>
    <t>Пара</t>
  </si>
  <si>
    <t>4,10</t>
  </si>
  <si>
    <t>5,11</t>
  </si>
  <si>
    <t>6,12</t>
  </si>
  <si>
    <r>
      <t>α*10</t>
    </r>
    <r>
      <rPr>
        <b/>
        <vertAlign val="superscript"/>
        <sz val="16"/>
        <color indexed="8"/>
        <rFont val="Helvetica Neue"/>
        <charset val="204"/>
      </rPr>
      <t>-3</t>
    </r>
    <r>
      <rPr>
        <b/>
        <sz val="16"/>
        <color indexed="8"/>
        <rFont val="Helvetica Neue"/>
      </rPr>
      <t>, ℃</t>
    </r>
    <r>
      <rPr>
        <b/>
        <vertAlign val="superscript"/>
        <sz val="16"/>
        <color indexed="8"/>
        <rFont val="Helvetica Neue"/>
        <charset val="204"/>
      </rPr>
      <t>-1</t>
    </r>
  </si>
  <si>
    <r>
      <t>&lt;α&gt;*10</t>
    </r>
    <r>
      <rPr>
        <b/>
        <vertAlign val="superscript"/>
        <sz val="16"/>
        <color indexed="8"/>
        <rFont val="Helvetica Neue"/>
        <charset val="204"/>
      </rPr>
      <t>-3</t>
    </r>
    <r>
      <rPr>
        <b/>
        <sz val="16"/>
        <color indexed="8"/>
        <rFont val="Helvetica Neue"/>
      </rPr>
      <t>, ℃</t>
    </r>
    <r>
      <rPr>
        <b/>
        <vertAlign val="superscript"/>
        <sz val="16"/>
        <color indexed="8"/>
        <rFont val="Helvetica Neue"/>
        <charset val="204"/>
      </rPr>
      <t>-1</t>
    </r>
  </si>
  <si>
    <r>
      <t>S*10</t>
    </r>
    <r>
      <rPr>
        <b/>
        <vertAlign val="superscript"/>
        <sz val="16"/>
        <color indexed="8"/>
        <rFont val="Helvetica Neue"/>
        <charset val="204"/>
      </rPr>
      <t>-5</t>
    </r>
    <r>
      <rPr>
        <b/>
        <sz val="16"/>
        <color indexed="8"/>
        <rFont val="Helvetica Neue"/>
        <charset val="204"/>
      </rPr>
      <t>,℃</t>
    </r>
    <r>
      <rPr>
        <b/>
        <vertAlign val="superscript"/>
        <sz val="16"/>
        <color indexed="8"/>
        <rFont val="Helvetica Neue"/>
        <charset val="204"/>
      </rPr>
      <t>-1</t>
    </r>
  </si>
  <si>
    <r>
      <t>Δα*10</t>
    </r>
    <r>
      <rPr>
        <b/>
        <vertAlign val="superscript"/>
        <sz val="16"/>
        <color theme="1"/>
        <rFont val="Helvetica Neue"/>
        <charset val="204"/>
      </rPr>
      <t>-3</t>
    </r>
    <r>
      <rPr>
        <b/>
        <sz val="16"/>
        <color theme="1"/>
        <rFont val="Helvetica Neue"/>
      </rPr>
      <t>, ℃</t>
    </r>
    <r>
      <rPr>
        <b/>
        <vertAlign val="superscript"/>
        <sz val="16"/>
        <color theme="1"/>
        <rFont val="Helvetica Neue"/>
        <charset val="204"/>
      </rPr>
      <t>-1</t>
    </r>
  </si>
  <si>
    <t>a</t>
    <phoneticPr fontId="18" type="noConversion"/>
  </si>
  <si>
    <t>I1</t>
    <phoneticPr fontId="18" type="noConversion"/>
  </si>
  <si>
    <t>I2</t>
    <phoneticPr fontId="18" type="noConversion"/>
  </si>
  <si>
    <t>I3</t>
    <phoneticPr fontId="18" type="noConversion"/>
  </si>
  <si>
    <t>&lt;I&gt;</t>
    <phoneticPr fontId="18" type="noConversion"/>
  </si>
  <si>
    <t>B</t>
    <phoneticPr fontId="18" type="noConversion"/>
  </si>
  <si>
    <t>SIN/SIN</t>
    <phoneticPr fontId="18" type="noConversion"/>
  </si>
  <si>
    <t>u0</t>
    <phoneticPr fontId="18" type="noConversion"/>
  </si>
  <si>
    <t>平均</t>
    <phoneticPr fontId="18" type="noConversion"/>
  </si>
  <si>
    <t>斜率分子</t>
    <phoneticPr fontId="18" type="noConversion"/>
  </si>
  <si>
    <t>斜率分母</t>
    <phoneticPr fontId="18" type="noConversion"/>
  </si>
  <si>
    <t>斜率</t>
    <phoneticPr fontId="18" type="noConversion"/>
  </si>
  <si>
    <t>x-&lt;x&gt;</t>
    <phoneticPr fontId="18" type="noConversion"/>
  </si>
  <si>
    <t>y-&lt;y&gt;</t>
    <phoneticPr fontId="18" type="noConversion"/>
  </si>
  <si>
    <t>乘积</t>
    <phoneticPr fontId="18" type="noConversion"/>
  </si>
  <si>
    <t>截距</t>
    <phoneticPr fontId="18" type="noConversion"/>
  </si>
  <si>
    <t>误差计算</t>
    <phoneticPr fontId="18" type="noConversion"/>
  </si>
  <si>
    <t>di</t>
    <phoneticPr fontId="18" type="noConversion"/>
  </si>
  <si>
    <t>D</t>
    <phoneticPr fontId="18" type="noConversion"/>
  </si>
  <si>
    <t>Sa^2</t>
    <phoneticPr fontId="18" type="noConversion"/>
  </si>
  <si>
    <t>Sb^2</t>
    <phoneticPr fontId="18" type="noConversion"/>
  </si>
  <si>
    <t>误差</t>
    <phoneticPr fontId="18" type="noConversion"/>
  </si>
  <si>
    <t>相对误差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</si>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</sst>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21">
    <font>
      <sz val="11"/>
      <color theme="1"/>
      <name val="宋体"/>
      <family val="2"/>
      <scheme val="minor"/>
    </font>
    <font>
      <b/>
      <sz val="13"/>
      <color indexed="8"/>
      <name val="Helvetica Neue"/>
    </font>
    <font>
      <b/>
      <sz val="12"/>
      <color indexed="8"/>
      <name val="Helvetica Neue"/>
    </font>
    <font>
      <sz val="12"/>
      <color indexed="8"/>
      <name val="Helvetica Neue"/>
    </font>
    <font>
      <b/>
      <vertAlign val="superscript"/>
      <sz val="12"/>
      <color indexed="8"/>
      <name val="Helvetica Neue"/>
    </font>
    <font>
      <b/>
      <sz val="20"/>
      <color indexed="8"/>
      <name val="Helvetica Neue"/>
    </font>
    <font>
      <b/>
      <sz val="16"/>
      <color indexed="8"/>
      <name val="Helvetica Neue"/>
    </font>
    <font>
      <b/>
      <vertAlign val="subscript"/>
      <sz val="16"/>
      <color indexed="8"/>
      <name val="Helvetica Neue"/>
    </font>
    <font>
      <b/>
      <sz val="16"/>
      <color theme="1"/>
      <name val="Helvetica Neue"/>
    </font>
    <font>
      <b/>
      <vertAlign val="subscript"/>
      <sz val="16"/>
      <color theme="1"/>
      <name val="Helvetica Neue"/>
    </font>
    <font>
      <sz val="16"/>
      <color indexed="8"/>
      <name val="Helvetica Neue"/>
    </font>
    <font>
      <sz val="16"/>
      <color theme="1"/>
      <name val="宋体"/>
      <family val="2"/>
      <scheme val="minor"/>
    </font>
    <font>
      <b/>
      <sz val="16"/>
      <name val="Helvetica Neue"/>
    </font>
    <font>
      <b/>
      <vertAlign val="superscript"/>
      <sz val="16"/>
      <color indexed="8"/>
      <name val="Helvetica Neue"/>
      <charset val="204"/>
    </font>
    <font>
      <b/>
      <vertAlign val="superscript"/>
      <sz val="16"/>
      <color theme="1"/>
      <name val="Helvetica Neue"/>
      <charset val="204"/>
    </font>
    <font>
      <b/>
      <sz val="16"/>
      <color indexed="8"/>
      <name val="Helvetica Neue"/>
      <charset val="204"/>
    </font>
    <font>
      <b/>
      <sz val="16"/>
      <color theme="1"/>
      <name val="宋体"/>
      <family val="2"/>
      <charset val="204"/>
      <scheme val="minor"/>
    </font>
    <font>
      <sz val="16"/>
      <color indexed="8"/>
      <name val="Helvetica Neue"/>
      <charset val="204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NumberFormat="1" applyFont="1" applyBorder="1" applyAlignment="1">
      <alignment horizontal="center" vertical="top" wrapText="1"/>
    </xf>
    <xf numFmtId="0" fontId="3" fillId="0" borderId="0" xfId="0" applyNumberFormat="1" applyFont="1" applyBorder="1" applyAlignment="1">
      <alignment horizontal="center" vertical="top" wrapText="1"/>
    </xf>
    <xf numFmtId="176" fontId="3" fillId="0" borderId="0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 readingOrder="1"/>
    </xf>
    <xf numFmtId="49" fontId="8" fillId="0" borderId="2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/>
    </xf>
    <xf numFmtId="2" fontId="10" fillId="0" borderId="2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 readingOrder="1"/>
    </xf>
    <xf numFmtId="49" fontId="12" fillId="0" borderId="2" xfId="0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2" fillId="0" borderId="3" xfId="0" applyNumberFormat="1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 wrapText="1"/>
    </xf>
    <xf numFmtId="2" fontId="3" fillId="0" borderId="7" xfId="0" applyNumberFormat="1" applyFont="1" applyBorder="1" applyAlignment="1">
      <alignment horizontal="center" vertical="top" wrapText="1"/>
    </xf>
    <xf numFmtId="2" fontId="3" fillId="0" borderId="2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1" fontId="2" fillId="0" borderId="7" xfId="0" applyNumberFormat="1" applyFont="1" applyBorder="1" applyAlignment="1">
      <alignment horizontal="center" vertical="top" wrapText="1"/>
    </xf>
    <xf numFmtId="1" fontId="3" fillId="0" borderId="7" xfId="0" applyNumberFormat="1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wrapText="1"/>
    </xf>
    <xf numFmtId="2" fontId="16" fillId="0" borderId="2" xfId="0" applyNumberFormat="1" applyFont="1" applyBorder="1" applyAlignment="1">
      <alignment vertical="top" wrapText="1"/>
    </xf>
    <xf numFmtId="0" fontId="19" fillId="0" borderId="0" xfId="0" applyFont="1"/>
    <xf numFmtId="0" fontId="2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1" fillId="0" borderId="4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2" fontId="10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vertical="top" wrapText="1"/>
    </xf>
    <xf numFmtId="2" fontId="11" fillId="0" borderId="2" xfId="0" applyNumberFormat="1" applyFont="1" applyBorder="1" applyAlignment="1">
      <alignment vertical="top" wrapText="1"/>
    </xf>
    <xf numFmtId="1" fontId="10" fillId="0" borderId="2" xfId="0" applyNumberFormat="1" applyFont="1" applyBorder="1" applyAlignment="1">
      <alignment horizontal="center" vertical="center" wrapText="1"/>
    </xf>
    <xf numFmtId="0" fontId="0" fillId="0" borderId="0" xfId="0"/>
    <xf numFmtId="49" fontId="6" fillId="0" borderId="2" xfId="0" applyNumberFormat="1" applyFont="1" applyBorder="1" applyAlignment="1">
      <alignment horizontal="center" vertical="center" wrapText="1"/>
    </xf>
    <xf numFmtId="177" fontId="10" fillId="0" borderId="2" xfId="0" applyNumberFormat="1" applyFont="1" applyBorder="1" applyAlignment="1">
      <alignment horizontal="center" vertical="center" wrapText="1"/>
    </xf>
    <xf numFmtId="177" fontId="11" fillId="0" borderId="2" xfId="0" applyNumberFormat="1" applyFont="1" applyBorder="1" applyAlignment="1">
      <alignment vertical="top" wrapText="1"/>
    </xf>
    <xf numFmtId="2" fontId="11" fillId="0" borderId="2" xfId="0" applyNumberFormat="1" applyFont="1" applyBorder="1" applyAlignment="1">
      <alignment horizontal="center" vertical="top" wrapText="1"/>
    </xf>
    <xf numFmtId="2" fontId="17" fillId="0" borderId="2" xfId="0" applyNumberFormat="1" applyFont="1" applyBorder="1" applyAlignment="1">
      <alignment horizontal="center" vertical="center" wrapText="1"/>
    </xf>
    <xf numFmtId="2" fontId="15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Bc(y)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'Ширина запрещенной зоны'!$G$27:$G$40</c:f>
              <c:numCache>
                <c:formatCode>General</c:formatCode>
                <c:ptCount val="14"/>
                <c:pt idx="0">
                  <c:v>0.34729635533386072</c:v>
                </c:pt>
                <c:pt idx="1">
                  <c:v>0.53208888623795592</c:v>
                </c:pt>
                <c:pt idx="2">
                  <c:v>0.65270364466613928</c:v>
                </c:pt>
                <c:pt idx="3">
                  <c:v>0.74222719896855904</c:v>
                </c:pt>
                <c:pt idx="4">
                  <c:v>0.81520746909590458</c:v>
                </c:pt>
                <c:pt idx="5">
                  <c:v>0.87938524157181674</c:v>
                </c:pt>
                <c:pt idx="6">
                  <c:v>0.93969262078590832</c:v>
                </c:pt>
                <c:pt idx="7">
                  <c:v>1</c:v>
                </c:pt>
                <c:pt idx="8">
                  <c:v>1.0641777724759123</c:v>
                </c:pt>
                <c:pt idx="9">
                  <c:v>1.1371580426032577</c:v>
                </c:pt>
                <c:pt idx="10">
                  <c:v>1.2266815969056775</c:v>
                </c:pt>
                <c:pt idx="11">
                  <c:v>1.3472963553338611</c:v>
                </c:pt>
                <c:pt idx="12">
                  <c:v>1.5320888862379562</c:v>
                </c:pt>
                <c:pt idx="13">
                  <c:v>1.8793852415718173</c:v>
                </c:pt>
              </c:numCache>
            </c:numRef>
          </c:xVal>
          <c:yVal>
            <c:numRef>
              <c:f>'Ширина запрещенной зоны'!$H$27:$H$40</c:f>
              <c:numCache>
                <c:formatCode>General</c:formatCode>
                <c:ptCount val="14"/>
                <c:pt idx="0">
                  <c:v>6.4141241704222531E-6</c:v>
                </c:pt>
                <c:pt idx="1">
                  <c:v>9.4113784556662961E-6</c:v>
                </c:pt>
                <c:pt idx="2">
                  <c:v>1.1569401541042008E-5</c:v>
                </c:pt>
                <c:pt idx="3">
                  <c:v>1.2828248340844506E-5</c:v>
                </c:pt>
                <c:pt idx="4">
                  <c:v>1.4386820569171409E-5</c:v>
                </c:pt>
                <c:pt idx="5">
                  <c:v>1.5345941940449504E-5</c:v>
                </c:pt>
                <c:pt idx="6">
                  <c:v>1.6185173140317836E-5</c:v>
                </c:pt>
                <c:pt idx="7">
                  <c:v>1.7803690454349618E-5</c:v>
                </c:pt>
                <c:pt idx="8">
                  <c:v>1.9182427425561877E-5</c:v>
                </c:pt>
                <c:pt idx="9">
                  <c:v>2.0261438968249731E-5</c:v>
                </c:pt>
                <c:pt idx="10">
                  <c:v>2.2119736625101038E-5</c:v>
                </c:pt>
                <c:pt idx="11">
                  <c:v>2.3918089196247465E-5</c:v>
                </c:pt>
                <c:pt idx="12">
                  <c:v>2.6555672967262224E-5</c:v>
                </c:pt>
                <c:pt idx="13">
                  <c:v>3.1351279823652692E-5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C0-479D-8259-D6DB17711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581648"/>
        <c:axId val="1883574992"/>
      </c:scatterChart>
      <c:valAx>
        <c:axId val="188358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3574992"/>
        <c:crosses val="autoZero"/>
        <c:crossBetween val="midCat"/>
      </c:valAx>
      <c:valAx>
        <c:axId val="188357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358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734285639152803E-2"/>
          <c:y val="5.0925925925925923E-2"/>
          <c:w val="0.92931695193076203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'Ширина запрещенной зоны'!$J$27:$J$39</c:f>
              <c:numCache>
                <c:formatCode>General</c:formatCode>
                <c:ptCount val="13"/>
                <c:pt idx="0">
                  <c:v>0.34729635533386072</c:v>
                </c:pt>
                <c:pt idx="1">
                  <c:v>0.53208888623795592</c:v>
                </c:pt>
                <c:pt idx="2">
                  <c:v>0.65270364466613928</c:v>
                </c:pt>
                <c:pt idx="3">
                  <c:v>0.74222719896855904</c:v>
                </c:pt>
                <c:pt idx="4">
                  <c:v>0.81520746909590458</c:v>
                </c:pt>
                <c:pt idx="5">
                  <c:v>0.87938524157181674</c:v>
                </c:pt>
                <c:pt idx="6">
                  <c:v>1</c:v>
                </c:pt>
                <c:pt idx="7">
                  <c:v>1.0641777724759123</c:v>
                </c:pt>
                <c:pt idx="8">
                  <c:v>1.1371580426032577</c:v>
                </c:pt>
                <c:pt idx="9">
                  <c:v>1.2266815969056775</c:v>
                </c:pt>
                <c:pt idx="10">
                  <c:v>1.3472963553338611</c:v>
                </c:pt>
                <c:pt idx="11">
                  <c:v>1.5320888862379562</c:v>
                </c:pt>
                <c:pt idx="12">
                  <c:v>1.8793852415718173</c:v>
                </c:pt>
              </c:numCache>
            </c:numRef>
          </c:xVal>
          <c:yVal>
            <c:numRef>
              <c:f>'Ширина запрещенной зоны'!$K$27:$K$39</c:f>
              <c:numCache>
                <c:formatCode>General</c:formatCode>
                <c:ptCount val="13"/>
                <c:pt idx="0">
                  <c:v>6.4141241704222531E-6</c:v>
                </c:pt>
                <c:pt idx="1">
                  <c:v>9.4113784556662961E-6</c:v>
                </c:pt>
                <c:pt idx="2">
                  <c:v>1.1569401541042008E-5</c:v>
                </c:pt>
                <c:pt idx="3">
                  <c:v>1.2828248340844506E-5</c:v>
                </c:pt>
                <c:pt idx="4">
                  <c:v>1.4386820569171409E-5</c:v>
                </c:pt>
                <c:pt idx="5">
                  <c:v>1.5345941940449504E-5</c:v>
                </c:pt>
                <c:pt idx="6">
                  <c:v>1.7803690454349618E-5</c:v>
                </c:pt>
                <c:pt idx="7">
                  <c:v>1.9182427425561877E-5</c:v>
                </c:pt>
                <c:pt idx="8">
                  <c:v>2.0261438968249731E-5</c:v>
                </c:pt>
                <c:pt idx="9">
                  <c:v>2.2119736625101038E-5</c:v>
                </c:pt>
                <c:pt idx="10">
                  <c:v>2.3918089196247465E-5</c:v>
                </c:pt>
                <c:pt idx="11">
                  <c:v>2.6555672967262224E-5</c:v>
                </c:pt>
                <c:pt idx="12">
                  <c:v>3.1351279823652692E-5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24-49C6-A759-77A41F2C7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581648"/>
        <c:axId val="1883582480"/>
      </c:scatterChart>
      <c:valAx>
        <c:axId val="188358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3582480"/>
        <c:crosses val="autoZero"/>
        <c:crossBetween val="midCat"/>
      </c:valAx>
      <c:valAx>
        <c:axId val="188358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358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2974943</xdr:colOff>
      <xdr:row>13</xdr:row>
      <xdr:rowOff>98901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775668" y="37279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90487</xdr:colOff>
      <xdr:row>40</xdr:row>
      <xdr:rowOff>33337</xdr:rowOff>
    </xdr:from>
    <xdr:to>
      <xdr:col>19</xdr:col>
      <xdr:colOff>90487</xdr:colOff>
      <xdr:row>56</xdr:row>
      <xdr:rowOff>14287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A1ACBC0-7AEE-4D11-8EA9-691F6BCC7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561974</xdr:colOff>
      <xdr:row>23</xdr:row>
      <xdr:rowOff>23812</xdr:rowOff>
    </xdr:from>
    <xdr:to>
      <xdr:col>19</xdr:col>
      <xdr:colOff>38100</xdr:colOff>
      <xdr:row>38</xdr:row>
      <xdr:rowOff>157162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811DDEA-0E7E-40BF-82C2-7D4280E85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6"/>
  <sheetViews>
    <sheetView workbookViewId="0">
      <selection activeCell="E37" sqref="E37"/>
    </sheetView>
  </sheetViews>
  <sheetFormatPr defaultRowHeight="14.4"/>
  <cols>
    <col min="2" max="3" width="9.21875" bestFit="1" customWidth="1"/>
    <col min="4" max="4" width="9.6640625" bestFit="1" customWidth="1"/>
    <col min="5" max="7" width="9.21875" bestFit="1" customWidth="1"/>
    <col min="12" max="13" width="9.21875" bestFit="1" customWidth="1"/>
    <col min="14" max="14" width="9.6640625" bestFit="1" customWidth="1"/>
    <col min="15" max="15" width="9.21875" bestFit="1" customWidth="1"/>
    <col min="16" max="16" width="13.77734375" customWidth="1"/>
    <col min="17" max="18" width="9.21875" bestFit="1" customWidth="1"/>
  </cols>
  <sheetData>
    <row r="2" spans="2:18" ht="16.8">
      <c r="B2" s="34" t="s">
        <v>0</v>
      </c>
      <c r="C2" s="35"/>
      <c r="D2" s="35"/>
      <c r="E2" s="35"/>
      <c r="F2" s="35"/>
      <c r="G2" s="36"/>
      <c r="H2" s="12"/>
      <c r="I2" s="12"/>
      <c r="J2" s="12"/>
      <c r="K2" s="12"/>
      <c r="L2" s="37" t="s">
        <v>7</v>
      </c>
      <c r="M2" s="37"/>
      <c r="N2" s="37"/>
      <c r="O2" s="37"/>
      <c r="P2" s="37"/>
      <c r="Q2" s="37"/>
      <c r="R2" s="37"/>
    </row>
    <row r="3" spans="2:18" ht="33.6"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2"/>
      <c r="I3" s="12"/>
      <c r="J3" s="12"/>
      <c r="K3" s="12"/>
      <c r="L3" s="13" t="s">
        <v>1</v>
      </c>
      <c r="M3" s="13" t="s">
        <v>2</v>
      </c>
      <c r="N3" s="13" t="s">
        <v>3</v>
      </c>
      <c r="O3" s="13" t="s">
        <v>4</v>
      </c>
      <c r="P3" s="13" t="s">
        <v>8</v>
      </c>
      <c r="Q3" s="13" t="s">
        <v>9</v>
      </c>
      <c r="R3" s="13" t="s">
        <v>10</v>
      </c>
    </row>
    <row r="4" spans="2:18" ht="15.6">
      <c r="B4" s="17">
        <v>1</v>
      </c>
      <c r="C4" s="18">
        <v>388</v>
      </c>
      <c r="D4" s="18">
        <v>1349</v>
      </c>
      <c r="E4" s="14">
        <v>1.9850000000000001</v>
      </c>
      <c r="F4" s="14">
        <f t="shared" ref="F4:F15" si="0">E4/((D4*10^(-3)))</f>
        <v>1.4714603409933285</v>
      </c>
      <c r="G4" s="18">
        <f t="shared" ref="G4:G15" si="1">C4-273</f>
        <v>115</v>
      </c>
      <c r="H4" s="12"/>
      <c r="I4" s="12"/>
      <c r="J4" s="12"/>
      <c r="K4" s="12"/>
      <c r="L4" s="17">
        <v>1</v>
      </c>
      <c r="M4" s="18">
        <v>300</v>
      </c>
      <c r="N4" s="18">
        <v>1055</v>
      </c>
      <c r="O4" s="14">
        <v>0.93400000000000005</v>
      </c>
      <c r="P4" s="14">
        <f t="shared" ref="P4:P14" si="2">O4/(N4*10^-6)</f>
        <v>885.30805687203804</v>
      </c>
      <c r="Q4" s="14">
        <f t="shared" ref="Q4:Q15" si="3">LN(P4)</f>
        <v>6.7859356713008125</v>
      </c>
      <c r="R4" s="14">
        <f t="shared" ref="R4:R14" si="4">(10^3)/M4</f>
        <v>3.3333333333333335</v>
      </c>
    </row>
    <row r="5" spans="2:18" ht="15.6">
      <c r="B5" s="17">
        <v>2</v>
      </c>
      <c r="C5" s="18">
        <v>380</v>
      </c>
      <c r="D5" s="18">
        <v>1377</v>
      </c>
      <c r="E5" s="14">
        <v>1.9610000000000001</v>
      </c>
      <c r="F5" s="14">
        <f t="shared" si="0"/>
        <v>1.4241103848946988</v>
      </c>
      <c r="G5" s="18">
        <f t="shared" si="1"/>
        <v>107</v>
      </c>
      <c r="H5" s="12"/>
      <c r="I5" s="12"/>
      <c r="J5" s="12"/>
      <c r="K5" s="12"/>
      <c r="L5" s="17">
        <v>2</v>
      </c>
      <c r="M5" s="18">
        <v>307</v>
      </c>
      <c r="N5" s="18">
        <v>1194</v>
      </c>
      <c r="O5" s="14">
        <v>0.82299999999999995</v>
      </c>
      <c r="P5" s="14">
        <f t="shared" si="2"/>
        <v>689.27973199329983</v>
      </c>
      <c r="Q5" s="14">
        <f t="shared" si="3"/>
        <v>6.5356471857066598</v>
      </c>
      <c r="R5" s="14">
        <f t="shared" si="4"/>
        <v>3.2573289902280131</v>
      </c>
    </row>
    <row r="6" spans="2:18" ht="15.6">
      <c r="B6" s="17">
        <v>3</v>
      </c>
      <c r="C6" s="18">
        <v>372</v>
      </c>
      <c r="D6" s="18">
        <v>1396</v>
      </c>
      <c r="E6" s="14">
        <v>1.9450000000000001</v>
      </c>
      <c r="F6" s="14">
        <f t="shared" si="0"/>
        <v>1.3932664756446991</v>
      </c>
      <c r="G6" s="18">
        <f t="shared" si="1"/>
        <v>99</v>
      </c>
      <c r="H6" s="12"/>
      <c r="I6" s="12"/>
      <c r="J6" s="12"/>
      <c r="K6" s="12"/>
      <c r="L6" s="17">
        <v>3</v>
      </c>
      <c r="M6" s="18">
        <v>316</v>
      </c>
      <c r="N6" s="18">
        <v>1368</v>
      </c>
      <c r="O6" s="14">
        <v>0.71499999999999997</v>
      </c>
      <c r="P6" s="14">
        <f t="shared" si="2"/>
        <v>522.66081871345034</v>
      </c>
      <c r="Q6" s="14">
        <f t="shared" si="3"/>
        <v>6.2589327234936487</v>
      </c>
      <c r="R6" s="14">
        <f t="shared" si="4"/>
        <v>3.1645569620253164</v>
      </c>
    </row>
    <row r="7" spans="2:18" ht="15.6">
      <c r="B7" s="17">
        <v>4</v>
      </c>
      <c r="C7" s="18">
        <v>364</v>
      </c>
      <c r="D7" s="18">
        <v>1416</v>
      </c>
      <c r="E7" s="14">
        <v>1.929</v>
      </c>
      <c r="F7" s="14">
        <f t="shared" si="0"/>
        <v>1.3622881355932204</v>
      </c>
      <c r="G7" s="18">
        <f t="shared" si="1"/>
        <v>91</v>
      </c>
      <c r="H7" s="12"/>
      <c r="I7" s="12"/>
      <c r="J7" s="12"/>
      <c r="K7" s="12"/>
      <c r="L7" s="17">
        <v>4</v>
      </c>
      <c r="M7" s="18">
        <v>324</v>
      </c>
      <c r="N7" s="18">
        <v>1537</v>
      </c>
      <c r="O7" s="14">
        <v>0.59399999999999997</v>
      </c>
      <c r="P7" s="14">
        <f t="shared" si="2"/>
        <v>386.46714378659726</v>
      </c>
      <c r="Q7" s="14">
        <f t="shared" si="3"/>
        <v>5.9570468548061859</v>
      </c>
      <c r="R7" s="14">
        <f t="shared" si="4"/>
        <v>3.0864197530864197</v>
      </c>
    </row>
    <row r="8" spans="2:18" ht="15.6">
      <c r="B8" s="17">
        <v>5</v>
      </c>
      <c r="C8" s="18">
        <v>356</v>
      </c>
      <c r="D8" s="18">
        <v>1436</v>
      </c>
      <c r="E8" s="14">
        <v>1.913</v>
      </c>
      <c r="F8" s="14">
        <f t="shared" si="0"/>
        <v>1.3321727019498608</v>
      </c>
      <c r="G8" s="18">
        <f t="shared" si="1"/>
        <v>83</v>
      </c>
      <c r="H8" s="12"/>
      <c r="I8" s="12"/>
      <c r="J8" s="12"/>
      <c r="K8" s="12"/>
      <c r="L8" s="17">
        <v>5</v>
      </c>
      <c r="M8" s="18">
        <v>332</v>
      </c>
      <c r="N8" s="18">
        <v>1690</v>
      </c>
      <c r="O8" s="14">
        <v>0.48699999999999999</v>
      </c>
      <c r="P8" s="14">
        <f t="shared" si="2"/>
        <v>288.16568047337279</v>
      </c>
      <c r="Q8" s="14">
        <f t="shared" si="3"/>
        <v>5.663535594147608</v>
      </c>
      <c r="R8" s="14">
        <f t="shared" si="4"/>
        <v>3.0120481927710845</v>
      </c>
    </row>
    <row r="9" spans="2:18" ht="15.6">
      <c r="B9" s="17">
        <v>6</v>
      </c>
      <c r="C9" s="18">
        <v>348</v>
      </c>
      <c r="D9" s="18">
        <v>1456</v>
      </c>
      <c r="E9" s="14">
        <v>1.897</v>
      </c>
      <c r="F9" s="14">
        <f t="shared" si="0"/>
        <v>1.3028846153846154</v>
      </c>
      <c r="G9" s="18">
        <f t="shared" si="1"/>
        <v>75</v>
      </c>
      <c r="H9" s="12"/>
      <c r="I9" s="12"/>
      <c r="J9" s="12"/>
      <c r="K9" s="12"/>
      <c r="L9" s="17">
        <v>6</v>
      </c>
      <c r="M9" s="18">
        <v>340</v>
      </c>
      <c r="N9" s="18">
        <v>1835</v>
      </c>
      <c r="O9" s="14">
        <v>0.38800000000000001</v>
      </c>
      <c r="P9" s="14">
        <f t="shared" si="2"/>
        <v>211.44414168937331</v>
      </c>
      <c r="Q9" s="14">
        <f t="shared" si="3"/>
        <v>5.3539608581167402</v>
      </c>
      <c r="R9" s="14">
        <f t="shared" si="4"/>
        <v>2.9411764705882355</v>
      </c>
    </row>
    <row r="10" spans="2:18" ht="15.6">
      <c r="B10" s="17">
        <v>7</v>
      </c>
      <c r="C10" s="18">
        <v>340</v>
      </c>
      <c r="D10" s="18">
        <v>1475</v>
      </c>
      <c r="E10" s="14">
        <v>1.881</v>
      </c>
      <c r="F10" s="14">
        <f t="shared" si="0"/>
        <v>1.2752542372881355</v>
      </c>
      <c r="G10" s="18">
        <f t="shared" si="1"/>
        <v>67</v>
      </c>
      <c r="H10" s="12"/>
      <c r="I10" s="12"/>
      <c r="J10" s="12"/>
      <c r="K10" s="12"/>
      <c r="L10" s="17">
        <v>7</v>
      </c>
      <c r="M10" s="18">
        <v>348</v>
      </c>
      <c r="N10" s="18">
        <v>1953</v>
      </c>
      <c r="O10" s="14">
        <v>0.309</v>
      </c>
      <c r="P10" s="14">
        <f t="shared" si="2"/>
        <v>158.21812596006146</v>
      </c>
      <c r="Q10" s="14">
        <f t="shared" si="3"/>
        <v>5.0639746250032038</v>
      </c>
      <c r="R10" s="14">
        <f t="shared" si="4"/>
        <v>2.8735632183908044</v>
      </c>
    </row>
    <row r="11" spans="2:18" ht="15.6">
      <c r="B11" s="17">
        <v>8</v>
      </c>
      <c r="C11" s="18">
        <v>332</v>
      </c>
      <c r="D11" s="18">
        <v>1496</v>
      </c>
      <c r="E11" s="14">
        <v>1.865</v>
      </c>
      <c r="F11" s="14">
        <f t="shared" si="0"/>
        <v>1.2466577540106951</v>
      </c>
      <c r="G11" s="18">
        <f t="shared" si="1"/>
        <v>59</v>
      </c>
      <c r="H11" s="12"/>
      <c r="I11" s="12"/>
      <c r="J11" s="12"/>
      <c r="K11" s="12"/>
      <c r="L11" s="17">
        <v>8</v>
      </c>
      <c r="M11" s="18">
        <v>356</v>
      </c>
      <c r="N11" s="18">
        <v>2300</v>
      </c>
      <c r="O11" s="14">
        <v>0.26800000000000002</v>
      </c>
      <c r="P11" s="14">
        <f t="shared" si="2"/>
        <v>116.5217391304348</v>
      </c>
      <c r="Q11" s="14">
        <f t="shared" si="3"/>
        <v>4.7580778575757527</v>
      </c>
      <c r="R11" s="14">
        <f t="shared" si="4"/>
        <v>2.808988764044944</v>
      </c>
    </row>
    <row r="12" spans="2:18" ht="15.6">
      <c r="B12" s="17">
        <v>9</v>
      </c>
      <c r="C12" s="18">
        <v>324</v>
      </c>
      <c r="D12" s="18">
        <v>1520</v>
      </c>
      <c r="E12" s="14">
        <v>1.8460000000000001</v>
      </c>
      <c r="F12" s="14">
        <f t="shared" si="0"/>
        <v>1.2144736842105264</v>
      </c>
      <c r="G12" s="18">
        <f t="shared" si="1"/>
        <v>51</v>
      </c>
      <c r="H12" s="12"/>
      <c r="I12" s="12"/>
      <c r="J12" s="12"/>
      <c r="K12" s="12"/>
      <c r="L12" s="17">
        <v>9</v>
      </c>
      <c r="M12" s="18">
        <v>364</v>
      </c>
      <c r="N12" s="18">
        <v>2390</v>
      </c>
      <c r="O12" s="14">
        <v>0.21</v>
      </c>
      <c r="P12" s="14">
        <f t="shared" si="2"/>
        <v>87.86610878661088</v>
      </c>
      <c r="Q12" s="14">
        <f t="shared" si="3"/>
        <v>4.4758141647740493</v>
      </c>
      <c r="R12" s="14">
        <f t="shared" si="4"/>
        <v>2.7472527472527473</v>
      </c>
    </row>
    <row r="13" spans="2:18" ht="15.6">
      <c r="B13" s="17">
        <v>10</v>
      </c>
      <c r="C13" s="18">
        <v>316</v>
      </c>
      <c r="D13" s="18">
        <v>1547</v>
      </c>
      <c r="E13" s="14">
        <v>1.825</v>
      </c>
      <c r="F13" s="14">
        <f t="shared" si="0"/>
        <v>1.1797026502908856</v>
      </c>
      <c r="G13" s="18">
        <f t="shared" si="1"/>
        <v>43</v>
      </c>
      <c r="H13" s="12"/>
      <c r="I13" s="12"/>
      <c r="J13" s="12"/>
      <c r="K13" s="12"/>
      <c r="L13" s="17">
        <v>10</v>
      </c>
      <c r="M13" s="18">
        <v>372</v>
      </c>
      <c r="N13" s="18">
        <v>2470</v>
      </c>
      <c r="O13" s="14">
        <v>0.16500000000000001</v>
      </c>
      <c r="P13" s="14">
        <f t="shared" si="2"/>
        <v>66.801619433198383</v>
      </c>
      <c r="Q13" s="14">
        <f t="shared" si="3"/>
        <v>4.2017273232606946</v>
      </c>
      <c r="R13" s="14">
        <f t="shared" si="4"/>
        <v>2.6881720430107525</v>
      </c>
    </row>
    <row r="14" spans="2:18" ht="15.6">
      <c r="B14" s="19">
        <v>11</v>
      </c>
      <c r="C14" s="20">
        <v>308</v>
      </c>
      <c r="D14" s="20">
        <v>1572</v>
      </c>
      <c r="E14" s="15">
        <v>1.804</v>
      </c>
      <c r="F14" s="15">
        <f t="shared" si="0"/>
        <v>1.1475826972010177</v>
      </c>
      <c r="G14" s="20">
        <f t="shared" si="1"/>
        <v>35</v>
      </c>
      <c r="H14" s="12"/>
      <c r="I14" s="12"/>
      <c r="J14" s="12"/>
      <c r="K14" s="12"/>
      <c r="L14" s="17">
        <v>11</v>
      </c>
      <c r="M14" s="18">
        <v>380</v>
      </c>
      <c r="N14" s="18">
        <v>2530</v>
      </c>
      <c r="O14" s="14">
        <v>0.13100000000000001</v>
      </c>
      <c r="P14" s="14">
        <f t="shared" si="2"/>
        <v>51.778656126482218</v>
      </c>
      <c r="Q14" s="14">
        <f t="shared" si="3"/>
        <v>3.9469780204617226</v>
      </c>
      <c r="R14" s="14">
        <f t="shared" si="4"/>
        <v>2.6315789473684212</v>
      </c>
    </row>
    <row r="15" spans="2:18" ht="15.6">
      <c r="B15" s="21">
        <v>12</v>
      </c>
      <c r="C15" s="22">
        <v>300</v>
      </c>
      <c r="D15" s="22">
        <v>1595</v>
      </c>
      <c r="E15" s="16">
        <v>1.7829999999999999</v>
      </c>
      <c r="F15" s="16">
        <f t="shared" si="0"/>
        <v>1.1178683385579937</v>
      </c>
      <c r="G15" s="22">
        <f t="shared" si="1"/>
        <v>27</v>
      </c>
      <c r="H15" s="12"/>
      <c r="I15" s="12"/>
      <c r="J15" s="12"/>
      <c r="K15" s="12"/>
      <c r="L15" s="17">
        <v>12</v>
      </c>
      <c r="M15" s="18">
        <v>388</v>
      </c>
      <c r="N15" s="18">
        <v>2570</v>
      </c>
      <c r="O15" s="14">
        <v>0.105</v>
      </c>
      <c r="P15" s="14">
        <f t="shared" ref="P15" si="5">O15/(N15*10^-6)</f>
        <v>40.856031128404673</v>
      </c>
      <c r="Q15" s="14">
        <f t="shared" si="3"/>
        <v>3.7100544512503952</v>
      </c>
      <c r="R15" s="14">
        <f t="shared" ref="R15" si="6">(10^3)/M15</f>
        <v>2.5773195876288661</v>
      </c>
    </row>
    <row r="16" spans="2:18" ht="15.6">
      <c r="B16" s="1"/>
      <c r="C16" s="2"/>
      <c r="D16" s="2"/>
      <c r="E16" s="3"/>
      <c r="F16" s="3"/>
      <c r="G16" s="2"/>
    </row>
  </sheetData>
  <mergeCells count="2">
    <mergeCell ref="B2:G2"/>
    <mergeCell ref="L2:R2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3"/>
  <sheetViews>
    <sheetView workbookViewId="0">
      <selection activeCell="C21" sqref="C21"/>
    </sheetView>
  </sheetViews>
  <sheetFormatPr defaultRowHeight="14.4"/>
  <cols>
    <col min="2" max="2" width="5.6640625" customWidth="1"/>
    <col min="3" max="3" width="15.77734375" customWidth="1"/>
    <col min="4" max="4" width="17" customWidth="1"/>
    <col min="5" max="5" width="19.33203125" customWidth="1"/>
    <col min="6" max="6" width="25.6640625" customWidth="1"/>
    <col min="7" max="7" width="41.21875" customWidth="1"/>
    <col min="11" max="16" width="9.109375" customWidth="1"/>
  </cols>
  <sheetData>
    <row r="3" spans="2:7" ht="24.6">
      <c r="B3" s="38" t="s">
        <v>12</v>
      </c>
      <c r="C3" s="38"/>
      <c r="D3" s="38"/>
      <c r="E3" s="38"/>
      <c r="F3" s="38"/>
      <c r="G3" s="38"/>
    </row>
    <row r="4" spans="2:7" ht="24">
      <c r="B4" s="4" t="s">
        <v>1</v>
      </c>
      <c r="C4" s="4" t="s">
        <v>15</v>
      </c>
      <c r="D4" s="4" t="s">
        <v>19</v>
      </c>
      <c r="E4" s="4" t="s">
        <v>20</v>
      </c>
      <c r="F4" s="5" t="s">
        <v>22</v>
      </c>
      <c r="G4" s="6" t="s">
        <v>14</v>
      </c>
    </row>
    <row r="5" spans="2:7" ht="21">
      <c r="B5" s="7">
        <v>1</v>
      </c>
      <c r="C5" s="11">
        <v>1.7</v>
      </c>
      <c r="D5" s="8">
        <f>(Образцы!F4-Образцы!F10)/(Образцы!F10*Образцы!G4-Образцы!F4*Образцы!G10)*10^3</f>
        <v>4.0819808929844266</v>
      </c>
      <c r="E5" s="41">
        <f>(D5+D6+D7+D8+D9+D10)/6</f>
        <v>3.7756529256070479</v>
      </c>
      <c r="F5" s="41">
        <f>D13*D12*10^-2</f>
        <v>0.18077931486628454</v>
      </c>
      <c r="G5" s="44">
        <f>(F5/E5)*100</f>
        <v>4.7880278836068841</v>
      </c>
    </row>
    <row r="6" spans="2:7" ht="21">
      <c r="B6" s="7">
        <v>2</v>
      </c>
      <c r="C6" s="11">
        <v>2.8</v>
      </c>
      <c r="D6" s="8">
        <f>(Образцы!F5-Образцы!F11)/(Образцы!F11*Образцы!G5-Образцы!F5*Образцы!G11)*10^3</f>
        <v>3.5943510034278705</v>
      </c>
      <c r="E6" s="43"/>
      <c r="F6" s="43"/>
      <c r="G6" s="42"/>
    </row>
    <row r="7" spans="2:7" ht="21">
      <c r="B7" s="7">
        <v>3</v>
      </c>
      <c r="C7" s="11">
        <v>3.9</v>
      </c>
      <c r="D7" s="8">
        <f>(Образцы!F6-Образцы!F12)/(Образцы!F12*Образцы!G6-Образцы!F6*Образцы!G12)*10^3</f>
        <v>3.6357508627078703</v>
      </c>
      <c r="E7" s="43"/>
      <c r="F7" s="43"/>
      <c r="G7" s="42"/>
    </row>
    <row r="8" spans="2:7" ht="21">
      <c r="B8" s="7">
        <v>4</v>
      </c>
      <c r="C8" s="11" t="s">
        <v>16</v>
      </c>
      <c r="D8" s="8">
        <f>(Образцы!F7-Образцы!F13)/(Образцы!F13*Образцы!G7-Образцы!F7*Образцы!G13)*10^3</f>
        <v>3.7434580178347536</v>
      </c>
      <c r="E8" s="43"/>
      <c r="F8" s="43"/>
      <c r="G8" s="42"/>
    </row>
    <row r="9" spans="2:7" ht="21">
      <c r="B9" s="7">
        <v>5</v>
      </c>
      <c r="C9" s="11" t="s">
        <v>17</v>
      </c>
      <c r="D9" s="8">
        <f>(Образцы!F8-Образцы!F14)/(Образцы!F14*Образцы!G8-Образцы!F8*Образцы!G14)*10^3</f>
        <v>3.7963266886835427</v>
      </c>
      <c r="E9" s="43"/>
      <c r="F9" s="43"/>
      <c r="G9" s="42"/>
    </row>
    <row r="10" spans="2:7" ht="21">
      <c r="B10" s="7">
        <v>6</v>
      </c>
      <c r="C10" s="11" t="s">
        <v>18</v>
      </c>
      <c r="D10" s="8">
        <f>(Образцы!F9-Образцы!F15)/(Образцы!F15*Образцы!G9-Образцы!F9*Образцы!G15)*10^3</f>
        <v>3.8020500880038242</v>
      </c>
      <c r="E10" s="43"/>
      <c r="F10" s="43"/>
      <c r="G10" s="42"/>
    </row>
    <row r="11" spans="2:7" ht="24.75" customHeight="1">
      <c r="B11" s="39" t="s">
        <v>11</v>
      </c>
      <c r="C11" s="40"/>
      <c r="D11" s="41">
        <v>0.95</v>
      </c>
      <c r="E11" s="43"/>
      <c r="F11" s="43"/>
      <c r="G11" s="43"/>
    </row>
    <row r="12" spans="2:7" ht="24.75" customHeight="1">
      <c r="B12" s="39" t="s">
        <v>21</v>
      </c>
      <c r="C12" s="40"/>
      <c r="D12" s="41">
        <f>SQRT((1/30)*((D5-E5)^2+(D6-E5)^2+(D7-E5)^2+(D8-E5)^2+(D9-E5)^2+(D10-E5)^2))*10^2</f>
        <v>7.0342145862367538</v>
      </c>
      <c r="E12" s="43"/>
      <c r="F12" s="43"/>
      <c r="G12" s="43"/>
    </row>
    <row r="13" spans="2:7" ht="24.75" customHeight="1">
      <c r="B13" s="39" t="s">
        <v>13</v>
      </c>
      <c r="C13" s="40"/>
      <c r="D13" s="41">
        <v>2.57</v>
      </c>
      <c r="E13" s="42"/>
      <c r="F13" s="42"/>
      <c r="G13" s="42"/>
    </row>
  </sheetData>
  <mergeCells count="10">
    <mergeCell ref="B3:G3"/>
    <mergeCell ref="B11:C11"/>
    <mergeCell ref="B12:C12"/>
    <mergeCell ref="B13:C13"/>
    <mergeCell ref="D13:G13"/>
    <mergeCell ref="E5:E10"/>
    <mergeCell ref="F5:F10"/>
    <mergeCell ref="G5:G10"/>
    <mergeCell ref="D11:G11"/>
    <mergeCell ref="D12:G1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V132"/>
  <sheetViews>
    <sheetView tabSelected="1" topLeftCell="GC33" workbookViewId="0">
      <selection activeCell="M35" sqref="M35"/>
    </sheetView>
  </sheetViews>
  <sheetFormatPr defaultRowHeight="14.4"/>
  <cols>
    <col min="1" max="1" width="6.21875" customWidth="1"/>
    <col min="2" max="2" width="12.77734375" customWidth="1"/>
    <col min="3" max="3" width="13.33203125" customWidth="1"/>
    <col min="4" max="4" width="15.109375" customWidth="1"/>
    <col min="5" max="5" width="13.6640625" customWidth="1"/>
    <col min="6" max="6" width="10.6640625" customWidth="1"/>
    <col min="7" max="7" width="10.33203125" customWidth="1"/>
    <col min="8" max="8" width="11.109375" customWidth="1"/>
    <col min="9" max="9" width="10" customWidth="1"/>
    <col min="10" max="10" width="10.21875" customWidth="1"/>
    <col min="11" max="11" width="12.77734375" bestFit="1" customWidth="1"/>
    <col min="13" max="13" width="12.77734375" bestFit="1" customWidth="1"/>
    <col min="15" max="15" width="12.77734375" bestFit="1" customWidth="1"/>
    <col min="18" max="18" width="11.21875" customWidth="1"/>
    <col min="22" max="22" width="12.77734375" bestFit="1" customWidth="1"/>
  </cols>
  <sheetData>
    <row r="3" spans="1:18" ht="24.6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8" ht="57.75" customHeight="1">
      <c r="A4" s="4"/>
      <c r="B4" s="4"/>
      <c r="C4" s="4"/>
      <c r="D4" s="4"/>
      <c r="E4" s="9"/>
      <c r="F4" s="9"/>
      <c r="G4" s="10"/>
      <c r="H4" s="10"/>
      <c r="I4" s="9"/>
      <c r="J4" s="9"/>
    </row>
    <row r="5" spans="1:18" ht="21">
      <c r="A5" s="7"/>
      <c r="B5" s="11"/>
      <c r="C5" s="8"/>
      <c r="D5" s="47"/>
      <c r="E5" s="47"/>
      <c r="F5" s="44"/>
      <c r="G5" s="8"/>
      <c r="H5" s="41"/>
      <c r="I5" s="41"/>
      <c r="J5" s="44"/>
    </row>
    <row r="6" spans="1:18" ht="21">
      <c r="A6" s="7"/>
      <c r="B6" s="11"/>
      <c r="C6" s="8"/>
      <c r="D6" s="48"/>
      <c r="E6" s="48"/>
      <c r="F6" s="42"/>
      <c r="G6" s="8"/>
      <c r="H6" s="42"/>
      <c r="I6" s="42"/>
      <c r="J6" s="42"/>
    </row>
    <row r="7" spans="1:18" ht="21">
      <c r="A7" s="7"/>
      <c r="B7" s="11"/>
      <c r="C7" s="8"/>
      <c r="D7" s="48"/>
      <c r="E7" s="48"/>
      <c r="F7" s="42"/>
      <c r="G7" s="8"/>
      <c r="H7" s="42"/>
      <c r="I7" s="42"/>
      <c r="J7" s="42"/>
    </row>
    <row r="8" spans="1:18" ht="21">
      <c r="A8" s="7"/>
      <c r="B8" s="11"/>
      <c r="C8" s="8"/>
      <c r="D8" s="48"/>
      <c r="E8" s="48"/>
      <c r="F8" s="42"/>
      <c r="G8" s="8"/>
      <c r="H8" s="42"/>
      <c r="I8" s="42"/>
      <c r="J8" s="42"/>
    </row>
    <row r="9" spans="1:18" ht="21">
      <c r="A9" s="7"/>
      <c r="B9" s="11"/>
      <c r="C9" s="8"/>
      <c r="D9" s="48"/>
      <c r="E9" s="48"/>
      <c r="F9" s="42"/>
      <c r="G9" s="8"/>
      <c r="H9" s="42"/>
      <c r="I9" s="42"/>
      <c r="J9" s="42"/>
    </row>
    <row r="10" spans="1:18" ht="23.25" customHeight="1">
      <c r="A10" s="46"/>
      <c r="B10" s="46"/>
      <c r="C10" s="41"/>
      <c r="D10" s="42"/>
      <c r="E10" s="42"/>
      <c r="F10" s="42"/>
      <c r="G10" s="42"/>
      <c r="H10" s="42"/>
      <c r="I10" s="42"/>
      <c r="J10" s="42"/>
    </row>
    <row r="11" spans="1:18" ht="23.25" customHeight="1">
      <c r="A11" s="51"/>
      <c r="B11" s="51"/>
      <c r="C11" s="51"/>
      <c r="D11" s="50"/>
      <c r="E11" s="50"/>
      <c r="F11" s="50"/>
      <c r="G11" s="23"/>
      <c r="H11" s="49"/>
      <c r="I11" s="49"/>
      <c r="J11" s="49"/>
    </row>
    <row r="12" spans="1:18" ht="23.25" customHeight="1">
      <c r="A12" s="46"/>
      <c r="B12" s="46"/>
      <c r="C12" s="41"/>
      <c r="D12" s="42"/>
      <c r="E12" s="42"/>
      <c r="F12" s="42"/>
      <c r="G12" s="42"/>
      <c r="H12" s="42"/>
      <c r="I12" s="42"/>
      <c r="J12" s="42"/>
    </row>
    <row r="15" spans="1:18" ht="15">
      <c r="K15" s="24"/>
      <c r="R15" s="24"/>
    </row>
    <row r="25" spans="2:22">
      <c r="B25">
        <v>160</v>
      </c>
    </row>
    <row r="26" spans="2:22"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29</v>
      </c>
      <c r="H26" t="s">
        <v>28</v>
      </c>
    </row>
    <row r="27" spans="2:22">
      <c r="B27">
        <v>10</v>
      </c>
      <c r="C27">
        <v>9.6999999999999993</v>
      </c>
      <c r="D27">
        <v>10.1</v>
      </c>
      <c r="E27">
        <v>12.3</v>
      </c>
      <c r="F27">
        <f>ROUND(AVERAGE(C27:E27),1)</f>
        <v>10.7</v>
      </c>
      <c r="G27">
        <f>SIN(B27*PI()/180)/SIN(($B$25-B27)*PI()/180)</f>
        <v>0.34729635533386072</v>
      </c>
      <c r="H27">
        <f>$B$47*10^(-3)*(0.8)^(1.5)*100*F27/0.15</f>
        <v>6.4141241704222531E-6</v>
      </c>
      <c r="J27">
        <f>G27</f>
        <v>0.34729635533386072</v>
      </c>
      <c r="K27" s="31">
        <f>H27</f>
        <v>6.4141241704222531E-6</v>
      </c>
    </row>
    <row r="28" spans="2:22">
      <c r="B28">
        <v>20</v>
      </c>
      <c r="C28">
        <v>15.6</v>
      </c>
      <c r="D28">
        <v>15.4</v>
      </c>
      <c r="E28">
        <v>16.100000000000001</v>
      </c>
      <c r="F28" s="33">
        <f t="shared" ref="F28:F40" si="0">ROUND(AVERAGE(C28:E28),1)</f>
        <v>15.7</v>
      </c>
      <c r="G28" s="31">
        <f t="shared" ref="G28:G40" si="1">SIN(B28*PI()/180)/SIN(($B$25-B28)*PI()/180)</f>
        <v>0.53208888623795592</v>
      </c>
      <c r="H28" s="33">
        <f t="shared" ref="H28:H40" si="2">$B$47*10^(-3)*(0.8)^(1.5)*100*F28/0.15</f>
        <v>9.4113784556662961E-6</v>
      </c>
      <c r="J28" s="31">
        <f t="shared" ref="J28:J32" si="3">G28</f>
        <v>0.53208888623795592</v>
      </c>
      <c r="K28" s="31">
        <f t="shared" ref="K28:K32" si="4">H28</f>
        <v>9.4113784556662961E-6</v>
      </c>
    </row>
    <row r="29" spans="2:22">
      <c r="B29">
        <v>30</v>
      </c>
      <c r="C29">
        <v>18.2</v>
      </c>
      <c r="D29">
        <v>19.5</v>
      </c>
      <c r="E29">
        <v>20.100000000000001</v>
      </c>
      <c r="F29" s="33">
        <f t="shared" si="0"/>
        <v>19.3</v>
      </c>
      <c r="G29" s="31">
        <f t="shared" si="1"/>
        <v>0.65270364466613928</v>
      </c>
      <c r="H29" s="33">
        <f t="shared" si="2"/>
        <v>1.1569401541042008E-5</v>
      </c>
      <c r="J29" s="31">
        <f t="shared" si="3"/>
        <v>0.65270364466613928</v>
      </c>
      <c r="K29" s="31">
        <f t="shared" si="4"/>
        <v>1.1569401541042008E-5</v>
      </c>
    </row>
    <row r="30" spans="2:22">
      <c r="B30">
        <v>40</v>
      </c>
      <c r="C30">
        <v>20.8</v>
      </c>
      <c r="D30">
        <v>21.8</v>
      </c>
      <c r="E30">
        <v>21.7</v>
      </c>
      <c r="F30" s="33">
        <f t="shared" si="0"/>
        <v>21.4</v>
      </c>
      <c r="G30" s="31">
        <f t="shared" si="1"/>
        <v>0.74222719896855904</v>
      </c>
      <c r="H30" s="33">
        <f t="shared" si="2"/>
        <v>1.2828248340844506E-5</v>
      </c>
      <c r="J30" s="31">
        <f t="shared" si="3"/>
        <v>0.74222719896855904</v>
      </c>
      <c r="K30" s="31">
        <f t="shared" si="4"/>
        <v>1.2828248340844506E-5</v>
      </c>
    </row>
    <row r="31" spans="2:22" ht="15">
      <c r="B31">
        <v>50</v>
      </c>
      <c r="C31">
        <v>23.6</v>
      </c>
      <c r="D31">
        <v>24.2</v>
      </c>
      <c r="E31">
        <v>24.3</v>
      </c>
      <c r="F31" s="33">
        <f t="shared" si="0"/>
        <v>24</v>
      </c>
      <c r="G31" s="31">
        <f t="shared" si="1"/>
        <v>0.81520746909590458</v>
      </c>
      <c r="H31" s="33">
        <f t="shared" si="2"/>
        <v>1.4386820569171409E-5</v>
      </c>
      <c r="J31" s="31">
        <f t="shared" si="3"/>
        <v>0.81520746909590458</v>
      </c>
      <c r="K31" s="31">
        <f t="shared" si="4"/>
        <v>1.4386820569171409E-5</v>
      </c>
      <c r="O31" s="24"/>
    </row>
    <row r="32" spans="2:22" ht="15">
      <c r="B32">
        <v>60</v>
      </c>
      <c r="C32">
        <v>25.1</v>
      </c>
      <c r="D32">
        <v>25.5</v>
      </c>
      <c r="E32">
        <v>26.1</v>
      </c>
      <c r="F32" s="33">
        <f t="shared" si="0"/>
        <v>25.6</v>
      </c>
      <c r="G32" s="31">
        <f t="shared" si="1"/>
        <v>0.87938524157181674</v>
      </c>
      <c r="H32" s="33">
        <f t="shared" si="2"/>
        <v>1.5345941940449504E-5</v>
      </c>
      <c r="J32" s="31">
        <f t="shared" si="3"/>
        <v>0.87938524157181674</v>
      </c>
      <c r="K32" s="31">
        <f t="shared" si="4"/>
        <v>1.5345941940449504E-5</v>
      </c>
      <c r="M32" s="24"/>
      <c r="R32" s="24"/>
      <c r="U32" s="24"/>
      <c r="V32" s="24"/>
    </row>
    <row r="33" spans="2:22">
      <c r="B33">
        <v>70</v>
      </c>
      <c r="C33">
        <v>26</v>
      </c>
      <c r="D33">
        <v>26.9</v>
      </c>
      <c r="E33">
        <v>28</v>
      </c>
      <c r="F33" s="33">
        <f t="shared" si="0"/>
        <v>27</v>
      </c>
      <c r="G33" s="31">
        <f>SIN(B33*PI()/180)/SIN(($B$25-B33)*PI()/180)</f>
        <v>0.93969262078590832</v>
      </c>
      <c r="H33" s="33">
        <f t="shared" si="2"/>
        <v>1.6185173140317836E-5</v>
      </c>
      <c r="J33">
        <f>G34</f>
        <v>1</v>
      </c>
      <c r="K33" s="31">
        <f>H34</f>
        <v>1.7803690454349618E-5</v>
      </c>
      <c r="V33" s="25"/>
    </row>
    <row r="34" spans="2:22">
      <c r="B34">
        <v>80</v>
      </c>
      <c r="C34">
        <v>29.4</v>
      </c>
      <c r="D34">
        <v>29.8</v>
      </c>
      <c r="E34">
        <v>29.9</v>
      </c>
      <c r="F34" s="33">
        <f t="shared" si="0"/>
        <v>29.7</v>
      </c>
      <c r="G34" s="31">
        <f>SIN(B34*PI()/180)/SIN(($B$25-B34)*PI()/180)</f>
        <v>1</v>
      </c>
      <c r="H34" s="33">
        <f t="shared" si="2"/>
        <v>1.7803690454349618E-5</v>
      </c>
      <c r="J34" s="31">
        <f t="shared" ref="J34:J39" si="5">G35</f>
        <v>1.0641777724759123</v>
      </c>
      <c r="K34" s="31">
        <f t="shared" ref="K34:K39" si="6">H35</f>
        <v>1.9182427425561877E-5</v>
      </c>
    </row>
    <row r="35" spans="2:22">
      <c r="B35">
        <v>90</v>
      </c>
      <c r="C35">
        <v>32.799999999999997</v>
      </c>
      <c r="D35">
        <v>31.8</v>
      </c>
      <c r="E35">
        <v>31.5</v>
      </c>
      <c r="F35" s="33">
        <f t="shared" si="0"/>
        <v>32</v>
      </c>
      <c r="G35" s="31">
        <f t="shared" si="1"/>
        <v>1.0641777724759123</v>
      </c>
      <c r="H35" s="33">
        <f t="shared" si="2"/>
        <v>1.9182427425561877E-5</v>
      </c>
      <c r="J35" s="31">
        <f t="shared" si="5"/>
        <v>1.1371580426032577</v>
      </c>
      <c r="K35" s="31">
        <f t="shared" si="6"/>
        <v>2.0261438968249731E-5</v>
      </c>
    </row>
    <row r="36" spans="2:22">
      <c r="B36">
        <v>100</v>
      </c>
      <c r="C36">
        <v>33.700000000000003</v>
      </c>
      <c r="D36">
        <v>33.299999999999997</v>
      </c>
      <c r="E36">
        <v>34.5</v>
      </c>
      <c r="F36" s="33">
        <f t="shared" si="0"/>
        <v>33.799999999999997</v>
      </c>
      <c r="G36" s="31">
        <f t="shared" si="1"/>
        <v>1.1371580426032577</v>
      </c>
      <c r="H36" s="33">
        <f t="shared" si="2"/>
        <v>2.0261438968249731E-5</v>
      </c>
      <c r="J36" s="31">
        <f t="shared" si="5"/>
        <v>1.2266815969056775</v>
      </c>
      <c r="K36" s="31">
        <f t="shared" si="6"/>
        <v>2.2119736625101038E-5</v>
      </c>
    </row>
    <row r="37" spans="2:22">
      <c r="B37">
        <v>110</v>
      </c>
      <c r="C37">
        <v>38.700000000000003</v>
      </c>
      <c r="D37">
        <v>35.4</v>
      </c>
      <c r="E37">
        <v>36.6</v>
      </c>
      <c r="F37" s="33">
        <f t="shared" si="0"/>
        <v>36.9</v>
      </c>
      <c r="G37" s="31">
        <f t="shared" si="1"/>
        <v>1.2266815969056775</v>
      </c>
      <c r="H37" s="33">
        <f t="shared" si="2"/>
        <v>2.2119736625101038E-5</v>
      </c>
      <c r="J37" s="31">
        <f t="shared" si="5"/>
        <v>1.3472963553338611</v>
      </c>
      <c r="K37" s="31">
        <f t="shared" si="6"/>
        <v>2.3918089196247465E-5</v>
      </c>
    </row>
    <row r="38" spans="2:22">
      <c r="B38">
        <v>120</v>
      </c>
      <c r="C38">
        <v>40.299999999999997</v>
      </c>
      <c r="D38">
        <v>39</v>
      </c>
      <c r="E38">
        <v>40.299999999999997</v>
      </c>
      <c r="F38" s="33">
        <f t="shared" si="0"/>
        <v>39.9</v>
      </c>
      <c r="G38" s="31">
        <f t="shared" si="1"/>
        <v>1.3472963553338611</v>
      </c>
      <c r="H38" s="33">
        <f t="shared" si="2"/>
        <v>2.3918089196247465E-5</v>
      </c>
      <c r="J38" s="31">
        <f t="shared" si="5"/>
        <v>1.5320888862379562</v>
      </c>
      <c r="K38" s="31">
        <f t="shared" si="6"/>
        <v>2.6555672967262224E-5</v>
      </c>
    </row>
    <row r="39" spans="2:22">
      <c r="B39">
        <v>130</v>
      </c>
      <c r="C39">
        <v>43.8</v>
      </c>
      <c r="D39">
        <v>44.8</v>
      </c>
      <c r="E39">
        <v>44.3</v>
      </c>
      <c r="F39" s="33">
        <f t="shared" si="0"/>
        <v>44.3</v>
      </c>
      <c r="G39" s="31">
        <f t="shared" si="1"/>
        <v>1.5320888862379562</v>
      </c>
      <c r="H39" s="33">
        <f t="shared" si="2"/>
        <v>2.6555672967262224E-5</v>
      </c>
      <c r="J39" s="31">
        <f t="shared" si="5"/>
        <v>1.8793852415718173</v>
      </c>
      <c r="K39" s="31">
        <f t="shared" si="6"/>
        <v>3.1351279823652692E-5</v>
      </c>
    </row>
    <row r="40" spans="2:22">
      <c r="B40">
        <v>140</v>
      </c>
      <c r="C40">
        <v>53.5</v>
      </c>
      <c r="D40">
        <v>51.3</v>
      </c>
      <c r="E40">
        <v>52.1</v>
      </c>
      <c r="F40" s="33">
        <f t="shared" si="0"/>
        <v>52.3</v>
      </c>
      <c r="G40" s="31">
        <f t="shared" si="1"/>
        <v>1.8793852415718173</v>
      </c>
      <c r="H40" s="33">
        <f t="shared" si="2"/>
        <v>3.1351279823652692E-5</v>
      </c>
      <c r="J40" s="31"/>
    </row>
    <row r="42" spans="2:22">
      <c r="F42" t="s">
        <v>31</v>
      </c>
      <c r="G42">
        <f>AVERAGE(G27:G40)</f>
        <v>1.0068135222706163</v>
      </c>
      <c r="H42" s="32">
        <f>AVERAGE(H27:H40)</f>
        <v>1.7666673115595604E-5</v>
      </c>
    </row>
    <row r="45" spans="2:22">
      <c r="F45" t="s">
        <v>32</v>
      </c>
      <c r="G45">
        <f>SUM(K49:K62)</f>
        <v>3.5944921908242502E-5</v>
      </c>
    </row>
    <row r="46" spans="2:22">
      <c r="B46" t="s">
        <v>30</v>
      </c>
      <c r="F46" t="s">
        <v>33</v>
      </c>
      <c r="G46">
        <f>SUMSQ(G49:G62)</f>
        <v>2.1350750816252191</v>
      </c>
    </row>
    <row r="47" spans="2:22">
      <c r="B47">
        <f>4*PI()*10^(-7)</f>
        <v>1.2566370614359173E-6</v>
      </c>
      <c r="F47" t="s">
        <v>34</v>
      </c>
      <c r="G47">
        <f>G45/G46</f>
        <v>1.6835436944391307E-5</v>
      </c>
      <c r="H47" t="s">
        <v>38</v>
      </c>
      <c r="I47">
        <f>H42-G47*G42</f>
        <v>7.1652754664813142E-7</v>
      </c>
    </row>
    <row r="49" spans="5:17">
      <c r="E49">
        <v>1</v>
      </c>
      <c r="F49" t="s">
        <v>35</v>
      </c>
      <c r="G49">
        <f>G27-$G$42</f>
        <v>-0.65951716693675555</v>
      </c>
      <c r="H49" t="s">
        <v>36</v>
      </c>
      <c r="I49">
        <f>H27-$H$42</f>
        <v>-1.1252548945173351E-5</v>
      </c>
      <c r="J49" t="s">
        <v>37</v>
      </c>
      <c r="K49">
        <f>G49*I49</f>
        <v>7.4212492011379057E-6</v>
      </c>
    </row>
    <row r="50" spans="5:17" ht="15">
      <c r="E50">
        <v>2</v>
      </c>
      <c r="G50" s="32">
        <f t="shared" ref="G50:G62" si="7">G28-$G$42</f>
        <v>-0.47472463603266035</v>
      </c>
      <c r="I50" s="32">
        <f t="shared" ref="I50:I62" si="8">H28-$H$42</f>
        <v>-8.2552946599293076E-6</v>
      </c>
      <c r="K50" s="32">
        <f t="shared" ref="K50:K62" si="9">G50*I50</f>
        <v>3.918991752777305E-6</v>
      </c>
      <c r="Q50" s="24"/>
    </row>
    <row r="51" spans="5:17">
      <c r="E51">
        <v>3</v>
      </c>
      <c r="G51" s="32">
        <f t="shared" si="7"/>
        <v>-0.35410987760447699</v>
      </c>
      <c r="I51" s="32">
        <f t="shared" si="8"/>
        <v>-6.0972715745535958E-6</v>
      </c>
      <c r="K51" s="32">
        <f t="shared" si="9"/>
        <v>2.1591040909864304E-6</v>
      </c>
    </row>
    <row r="52" spans="5:17">
      <c r="E52">
        <v>4</v>
      </c>
      <c r="G52" s="32">
        <f t="shared" si="7"/>
        <v>-0.26458632330205722</v>
      </c>
      <c r="I52" s="32">
        <f t="shared" si="8"/>
        <v>-4.8384247747510976E-6</v>
      </c>
      <c r="K52" s="32">
        <f t="shared" si="9"/>
        <v>1.2801810217249773E-6</v>
      </c>
    </row>
    <row r="53" spans="5:17">
      <c r="E53">
        <v>5</v>
      </c>
      <c r="G53" s="32">
        <f t="shared" si="7"/>
        <v>-0.19160605317471169</v>
      </c>
      <c r="I53" s="32">
        <f t="shared" si="8"/>
        <v>-3.2798525464241943E-6</v>
      </c>
      <c r="K53" s="32">
        <f t="shared" si="9"/>
        <v>6.2843960141536766E-7</v>
      </c>
    </row>
    <row r="54" spans="5:17">
      <c r="E54">
        <v>6</v>
      </c>
      <c r="G54" s="32">
        <f t="shared" si="7"/>
        <v>-0.12742828069879952</v>
      </c>
      <c r="I54" s="32">
        <f t="shared" si="8"/>
        <v>-2.3207311751460994E-6</v>
      </c>
      <c r="K54" s="32">
        <f t="shared" si="9"/>
        <v>2.9572678361297201E-7</v>
      </c>
    </row>
    <row r="55" spans="5:17">
      <c r="E55">
        <v>7</v>
      </c>
      <c r="G55" s="32">
        <f t="shared" si="7"/>
        <v>-6.7120901484707951E-2</v>
      </c>
      <c r="I55" s="32">
        <f t="shared" si="8"/>
        <v>-1.4814999752777672E-6</v>
      </c>
      <c r="K55" s="32">
        <f t="shared" si="9"/>
        <v>9.9439613890216283E-8</v>
      </c>
    </row>
    <row r="56" spans="5:17">
      <c r="E56">
        <v>8</v>
      </c>
      <c r="G56" s="32">
        <f t="shared" si="7"/>
        <v>-6.8135222706162679E-3</v>
      </c>
      <c r="I56" s="32">
        <f t="shared" si="8"/>
        <v>1.3701733875401404E-7</v>
      </c>
      <c r="K56" s="32">
        <f t="shared" si="9"/>
        <v>-9.3357068906104814E-10</v>
      </c>
    </row>
    <row r="57" spans="5:17">
      <c r="E57">
        <v>9</v>
      </c>
      <c r="G57" s="32">
        <f t="shared" si="7"/>
        <v>5.7364250205296008E-2</v>
      </c>
      <c r="I57" s="32">
        <f t="shared" si="8"/>
        <v>1.5157543099662733E-6</v>
      </c>
      <c r="K57" s="32">
        <f t="shared" si="9"/>
        <v>8.6950109486661105E-8</v>
      </c>
    </row>
    <row r="58" spans="5:17">
      <c r="E58">
        <v>10</v>
      </c>
      <c r="G58" s="32">
        <f t="shared" si="7"/>
        <v>0.13034452033264143</v>
      </c>
      <c r="I58" s="32">
        <f t="shared" si="8"/>
        <v>2.5947658526541275E-6</v>
      </c>
      <c r="K58" s="32">
        <f t="shared" si="9"/>
        <v>3.3821351043971961E-7</v>
      </c>
    </row>
    <row r="59" spans="5:17">
      <c r="E59">
        <v>11</v>
      </c>
      <c r="G59" s="32">
        <f t="shared" si="7"/>
        <v>0.21986807463506119</v>
      </c>
      <c r="I59" s="32">
        <f t="shared" si="8"/>
        <v>4.4530635095054342E-6</v>
      </c>
      <c r="K59" s="32">
        <f t="shared" si="9"/>
        <v>9.7908650006260825E-7</v>
      </c>
    </row>
    <row r="60" spans="5:17">
      <c r="E60">
        <v>12</v>
      </c>
      <c r="G60" s="32">
        <f t="shared" si="7"/>
        <v>0.34048283306324478</v>
      </c>
      <c r="I60" s="32">
        <f t="shared" si="8"/>
        <v>6.2514160806518612E-6</v>
      </c>
      <c r="K60" s="32">
        <f t="shared" si="9"/>
        <v>2.1284998577974716E-6</v>
      </c>
    </row>
    <row r="61" spans="5:17">
      <c r="E61">
        <v>13</v>
      </c>
      <c r="G61" s="32">
        <f t="shared" si="7"/>
        <v>0.52527536396733998</v>
      </c>
      <c r="I61" s="32">
        <f t="shared" si="8"/>
        <v>8.8889998516666204E-6</v>
      </c>
      <c r="K61" s="32">
        <f t="shared" si="9"/>
        <v>4.6691726323898155E-6</v>
      </c>
    </row>
    <row r="62" spans="5:17">
      <c r="E62">
        <v>14</v>
      </c>
      <c r="G62" s="32">
        <f t="shared" si="7"/>
        <v>0.87257171930120103</v>
      </c>
      <c r="I62" s="32">
        <f t="shared" si="8"/>
        <v>1.3684606708057088E-5</v>
      </c>
      <c r="K62" s="32">
        <f t="shared" si="9"/>
        <v>1.1940800803210121E-5</v>
      </c>
    </row>
    <row r="65" spans="5:11" s="45" customFormat="1"/>
    <row r="66" spans="5:11" s="45" customFormat="1"/>
    <row r="67" spans="5:11" s="45" customFormat="1"/>
    <row r="68" spans="5:11" s="45" customFormat="1"/>
    <row r="69" spans="5:11">
      <c r="F69" t="s">
        <v>39</v>
      </c>
    </row>
    <row r="70" spans="5:11">
      <c r="E70">
        <v>1</v>
      </c>
      <c r="F70" t="s">
        <v>40</v>
      </c>
      <c r="G70">
        <f>H27-($I$47+$G$47*G27)</f>
        <v>-1.4928926746600843E-7</v>
      </c>
      <c r="H70" t="s">
        <v>41</v>
      </c>
      <c r="I70">
        <f>G46</f>
        <v>2.1350750816252191</v>
      </c>
    </row>
    <row r="71" spans="5:11">
      <c r="E71">
        <v>2</v>
      </c>
      <c r="G71" s="32">
        <f t="shared" ref="G71:G83" si="10">H28-($I$47+$G$47*G28)</f>
        <v>-2.6309798405234194E-7</v>
      </c>
      <c r="H71" s="27"/>
      <c r="K71" s="26"/>
    </row>
    <row r="72" spans="5:11">
      <c r="E72">
        <v>3</v>
      </c>
      <c r="G72" s="32">
        <f t="shared" si="10"/>
        <v>-1.3567705875730148E-7</v>
      </c>
      <c r="H72" s="27"/>
      <c r="K72" s="26"/>
    </row>
    <row r="73" spans="5:11">
      <c r="E73">
        <v>4</v>
      </c>
      <c r="G73" s="32">
        <f t="shared" si="10"/>
        <v>-3.8399841245098216E-7</v>
      </c>
      <c r="H73" s="27"/>
      <c r="K73" s="26"/>
    </row>
    <row r="74" spans="5:11">
      <c r="E74">
        <v>5</v>
      </c>
      <c r="G74" s="32">
        <f t="shared" si="10"/>
        <v>-5.4080920037648359E-8</v>
      </c>
      <c r="H74" s="27"/>
      <c r="K74" s="26"/>
    </row>
    <row r="75" spans="5:11">
      <c r="E75">
        <v>6</v>
      </c>
      <c r="G75" s="32">
        <f t="shared" si="10"/>
        <v>-1.7542039050926639E-7</v>
      </c>
      <c r="H75" s="27"/>
      <c r="K75" s="26"/>
    </row>
    <row r="76" spans="5:11">
      <c r="E76">
        <v>7</v>
      </c>
      <c r="G76" s="32">
        <f t="shared" si="10"/>
        <v>-3.5149027068126818E-7</v>
      </c>
      <c r="H76" s="27"/>
      <c r="K76" s="26"/>
    </row>
    <row r="77" spans="5:11">
      <c r="E77">
        <v>8</v>
      </c>
      <c r="G77" s="32">
        <f t="shared" si="10"/>
        <v>2.5172596331017914E-7</v>
      </c>
      <c r="H77" s="27"/>
      <c r="K77" s="26"/>
    </row>
    <row r="78" spans="5:11">
      <c r="E78">
        <v>9</v>
      </c>
      <c r="G78" s="32">
        <f t="shared" si="10"/>
        <v>5.5000209277272549E-7</v>
      </c>
      <c r="H78" s="27"/>
      <c r="K78" s="26"/>
    </row>
    <row r="79" spans="5:11">
      <c r="E79">
        <v>10</v>
      </c>
      <c r="G79" s="32">
        <f t="shared" si="10"/>
        <v>4.0035889954701017E-7</v>
      </c>
      <c r="H79" s="27"/>
      <c r="K79" s="26"/>
    </row>
    <row r="80" spans="5:11">
      <c r="E80">
        <v>11</v>
      </c>
      <c r="G80" s="32">
        <f t="shared" si="10"/>
        <v>7.5148840290213963E-7</v>
      </c>
      <c r="H80" s="27"/>
      <c r="K80" s="26"/>
    </row>
    <row r="81" spans="5:11">
      <c r="E81">
        <v>12</v>
      </c>
      <c r="G81" s="32">
        <f t="shared" si="10"/>
        <v>5.1923881396789197E-7</v>
      </c>
      <c r="H81" s="27"/>
      <c r="K81" s="26"/>
    </row>
    <row r="82" spans="5:11">
      <c r="E82">
        <v>13</v>
      </c>
      <c r="G82" s="32">
        <f t="shared" si="10"/>
        <v>4.5759583152273737E-8</v>
      </c>
      <c r="H82" s="27"/>
      <c r="K82" s="26"/>
    </row>
    <row r="83" spans="5:11">
      <c r="E83">
        <v>14</v>
      </c>
      <c r="G83" s="32">
        <f t="shared" si="10"/>
        <v>-1.0055194516973964E-6</v>
      </c>
      <c r="H83" s="27"/>
      <c r="K83" s="26"/>
    </row>
    <row r="84" spans="5:11">
      <c r="F84">
        <f>SUMSQ(G70:G83)</f>
        <v>2.7882759332575865E-12</v>
      </c>
    </row>
    <row r="86" spans="5:11">
      <c r="E86" t="s">
        <v>43</v>
      </c>
      <c r="F86">
        <f>(1/I70)*SUMSQ(G70:G83)/12</f>
        <v>1.0882817647545955E-13</v>
      </c>
      <c r="G86" s="26"/>
    </row>
    <row r="87" spans="5:11">
      <c r="E87" t="s">
        <v>42</v>
      </c>
      <c r="F87">
        <f>(1/14+G42^2/I70)*SUMSQ(G70:G83)/12</f>
        <v>1.2691311568733119E-13</v>
      </c>
      <c r="G87" s="26"/>
    </row>
    <row r="88" spans="5:11">
      <c r="F88" t="s">
        <v>46</v>
      </c>
      <c r="G88" s="26" t="s">
        <v>34</v>
      </c>
      <c r="H88" t="s">
        <v>38</v>
      </c>
    </row>
    <row r="89" spans="5:11">
      <c r="E89" t="s">
        <v>44</v>
      </c>
      <c r="F89">
        <f>SQRT(4*F86+4*F87)</f>
        <v>9.7106393643835982E-7</v>
      </c>
      <c r="G89" s="26">
        <f>SQRT(4*F86)</f>
        <v>6.5978231705755667E-7</v>
      </c>
      <c r="H89">
        <f>SQRT(4*F87)</f>
        <v>7.1249734227527104E-7</v>
      </c>
    </row>
    <row r="90" spans="5:11">
      <c r="E90" t="s">
        <v>45</v>
      </c>
      <c r="F90">
        <f>F89/H42*100</f>
        <v>5.4965863130231014</v>
      </c>
      <c r="G90" s="32">
        <f>G89*100/G47</f>
        <v>3.9190091664200128</v>
      </c>
      <c r="H90" s="32">
        <f>H89*100/I47</f>
        <v>99.437536715550806</v>
      </c>
    </row>
    <row r="91" spans="5:11">
      <c r="G91" s="26"/>
    </row>
    <row r="110" spans="3:5">
      <c r="C110" s="30"/>
      <c r="E110" s="28"/>
    </row>
    <row r="111" spans="3:5">
      <c r="C111" s="30"/>
      <c r="E111" s="28"/>
    </row>
    <row r="112" spans="3:5">
      <c r="C112" s="30"/>
      <c r="E112" s="28"/>
    </row>
    <row r="115" spans="2:4">
      <c r="B115" s="28"/>
    </row>
    <row r="116" spans="2:4">
      <c r="B116" s="28"/>
    </row>
    <row r="117" spans="2:4">
      <c r="B117" s="28"/>
      <c r="D117" s="29"/>
    </row>
    <row r="118" spans="2:4">
      <c r="D118" s="29"/>
    </row>
    <row r="119" spans="2:4">
      <c r="D119" s="29"/>
    </row>
    <row r="123" spans="2:4">
      <c r="C123" s="29"/>
      <c r="D123" s="29"/>
    </row>
    <row r="124" spans="2:4">
      <c r="C124" s="29"/>
      <c r="D124" s="29"/>
    </row>
    <row r="125" spans="2:4">
      <c r="C125" s="29"/>
      <c r="D125" s="29"/>
    </row>
    <row r="131" spans="2:2">
      <c r="B131" s="30"/>
    </row>
    <row r="132" spans="2:2">
      <c r="B132" s="30"/>
    </row>
  </sheetData>
  <mergeCells count="15">
    <mergeCell ref="A3:J3"/>
    <mergeCell ref="H11:J11"/>
    <mergeCell ref="D11:F11"/>
    <mergeCell ref="A11:C11"/>
    <mergeCell ref="C10:J10"/>
    <mergeCell ref="A65:XFD68"/>
    <mergeCell ref="A12:B12"/>
    <mergeCell ref="A10:B10"/>
    <mergeCell ref="C12:J12"/>
    <mergeCell ref="D5:D9"/>
    <mergeCell ref="E5:E9"/>
    <mergeCell ref="F5:F9"/>
    <mergeCell ref="H5:H9"/>
    <mergeCell ref="I5:I9"/>
    <mergeCell ref="J5:J9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Образцы</vt:lpstr>
      <vt:lpstr>Определение температурного</vt:lpstr>
      <vt:lpstr>Ширина запрещенной зоны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2021-05-27T15:51:41Z</dcterms:modified>
</cp:coreProperties>
</file>