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4F1EF90-CF15-47DA-93E9-CE2AC01AB5E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Образцы" sheetId="1" r:id="rId1"/>
    <sheet name="Определение температурного" sheetId="2" r:id="rId2"/>
    <sheet name="Ширина запрещенной зон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" i="3" l="1"/>
  <c r="M50" i="3"/>
  <c r="M49" i="3"/>
  <c r="M48" i="3"/>
  <c r="M42" i="3"/>
  <c r="M43" i="3"/>
  <c r="M44" i="3"/>
  <c r="M45" i="3"/>
  <c r="M46" i="3"/>
  <c r="M47" i="3"/>
  <c r="M41" i="3"/>
  <c r="R41" i="3"/>
  <c r="M40" i="3"/>
  <c r="M36" i="3"/>
  <c r="M34" i="3"/>
  <c r="M39" i="3"/>
  <c r="M35" i="3"/>
  <c r="M37" i="3"/>
  <c r="M38" i="3"/>
  <c r="M33" i="3"/>
  <c r="O32" i="3"/>
  <c r="R52" i="3"/>
  <c r="R50" i="3"/>
  <c r="U20" i="3"/>
  <c r="U29" i="3"/>
  <c r="R39" i="3" s="1"/>
  <c r="R34" i="3"/>
  <c r="R35" i="3"/>
  <c r="R36" i="3"/>
  <c r="R37" i="3"/>
  <c r="R38" i="3"/>
  <c r="R33" i="3"/>
  <c r="V18" i="3"/>
  <c r="V19" i="3"/>
  <c r="V20" i="3"/>
  <c r="V21" i="3"/>
  <c r="V22" i="3"/>
  <c r="V23" i="3"/>
  <c r="V24" i="3"/>
  <c r="V25" i="3"/>
  <c r="V26" i="3"/>
  <c r="V27" i="3"/>
  <c r="V28" i="3"/>
  <c r="V29" i="3"/>
  <c r="V17" i="3"/>
  <c r="U18" i="3"/>
  <c r="U19" i="3"/>
  <c r="U21" i="3"/>
  <c r="U22" i="3"/>
  <c r="U23" i="3"/>
  <c r="U24" i="3"/>
  <c r="U25" i="3"/>
  <c r="U26" i="3"/>
  <c r="U27" i="3"/>
  <c r="U28" i="3"/>
  <c r="U17" i="3"/>
  <c r="P18" i="3"/>
  <c r="P19" i="3"/>
  <c r="P20" i="3"/>
  <c r="P21" i="3"/>
  <c r="P22" i="3"/>
  <c r="P23" i="3"/>
  <c r="P24" i="3"/>
  <c r="P25" i="3"/>
  <c r="P26" i="3"/>
  <c r="P27" i="3"/>
  <c r="P28" i="3"/>
  <c r="P29" i="3"/>
  <c r="P17" i="3"/>
  <c r="O18" i="3"/>
  <c r="O19" i="3"/>
  <c r="O20" i="3"/>
  <c r="O21" i="3"/>
  <c r="O22" i="3"/>
  <c r="O23" i="3"/>
  <c r="O24" i="3"/>
  <c r="O25" i="3"/>
  <c r="O26" i="3"/>
  <c r="O27" i="3"/>
  <c r="O28" i="3"/>
  <c r="O29" i="3"/>
  <c r="O17" i="3"/>
  <c r="N18" i="3"/>
  <c r="N19" i="3"/>
  <c r="N20" i="3"/>
  <c r="N21" i="3"/>
  <c r="N22" i="3"/>
  <c r="N23" i="3"/>
  <c r="N24" i="3"/>
  <c r="N25" i="3"/>
  <c r="N26" i="3"/>
  <c r="N27" i="3"/>
  <c r="N28" i="3"/>
  <c r="N29" i="3"/>
  <c r="N17" i="3"/>
  <c r="R40" i="3" l="1"/>
  <c r="R15" i="1"/>
  <c r="P15" i="1"/>
  <c r="Q15" i="1" s="1"/>
  <c r="R14" i="1"/>
  <c r="P14" i="1"/>
  <c r="Q14" i="1" s="1"/>
  <c r="R13" i="1"/>
  <c r="P13" i="1"/>
  <c r="Q13" i="1" s="1"/>
  <c r="R12" i="1"/>
  <c r="P12" i="1"/>
  <c r="Q12" i="1" s="1"/>
  <c r="R11" i="1"/>
  <c r="P11" i="1"/>
  <c r="Q11" i="1" s="1"/>
  <c r="R10" i="1"/>
  <c r="P10" i="1"/>
  <c r="Q10" i="1" s="1"/>
  <c r="R9" i="1"/>
  <c r="P9" i="1"/>
  <c r="Q9" i="1" s="1"/>
  <c r="R8" i="1"/>
  <c r="P8" i="1"/>
  <c r="R7" i="1"/>
  <c r="P7" i="1"/>
  <c r="R6" i="1"/>
  <c r="P6" i="1"/>
  <c r="R5" i="1"/>
  <c r="P5" i="1"/>
  <c r="R4" i="1"/>
  <c r="P4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D10" i="2" s="1"/>
  <c r="G8" i="1"/>
  <c r="F8" i="1"/>
  <c r="G7" i="1"/>
  <c r="F7" i="1"/>
  <c r="D8" i="2" s="1"/>
  <c r="G6" i="1"/>
  <c r="F6" i="1"/>
  <c r="G5" i="1"/>
  <c r="F5" i="1"/>
  <c r="G4" i="1"/>
  <c r="F4" i="1"/>
  <c r="D5" i="2" s="1"/>
  <c r="R42" i="3" l="1"/>
  <c r="R43" i="3"/>
  <c r="R44" i="3"/>
  <c r="R45" i="3"/>
  <c r="R46" i="3"/>
  <c r="R47" i="3"/>
  <c r="D9" i="2"/>
  <c r="Q4" i="1"/>
  <c r="Q8" i="1"/>
  <c r="Q5" i="1"/>
  <c r="D6" i="2"/>
  <c r="D7" i="2"/>
  <c r="E5" i="2" s="1"/>
  <c r="D12" i="2" s="1"/>
  <c r="F5" i="2" s="1"/>
  <c r="Q6" i="1"/>
  <c r="Q7" i="1"/>
  <c r="R48" i="3" l="1"/>
  <c r="R49" i="3" s="1"/>
  <c r="G5" i="2"/>
</calcChain>
</file>

<file path=xl/sharedStrings.xml><?xml version="1.0" encoding="utf-8"?>
<sst xmlns="http://schemas.openxmlformats.org/spreadsheetml/2006/main" count="54" uniqueCount="42">
  <si>
    <t>Tаблица 1: Металлический образец</t>
  </si>
  <si>
    <t>№</t>
  </si>
  <si>
    <t>T, K</t>
  </si>
  <si>
    <t>I, мкА</t>
  </si>
  <si>
    <t>U, В</t>
  </si>
  <si>
    <t>R, кОм</t>
  </si>
  <si>
    <t>t, ℃</t>
  </si>
  <si>
    <t>Tаблица 2: Полупроводниковый образец</t>
  </si>
  <si>
    <t>R, Ом</t>
  </si>
  <si>
    <t>ln R</t>
  </si>
  <si>
    <r>
      <rPr>
        <b/>
        <sz val="12"/>
        <color indexed="8"/>
        <rFont val="Helvetica Neue"/>
      </rPr>
      <t>10</t>
    </r>
    <r>
      <rPr>
        <b/>
        <vertAlign val="superscript"/>
        <sz val="12"/>
        <color indexed="8"/>
        <rFont val="Helvetica Neue"/>
      </rPr>
      <t>3</t>
    </r>
    <r>
      <rPr>
        <b/>
        <sz val="12"/>
        <color indexed="8"/>
        <rFont val="Helvetica Neue"/>
      </rPr>
      <t>/T, 1/K</t>
    </r>
  </si>
  <si>
    <t>α</t>
  </si>
  <si>
    <t xml:space="preserve"> Определение температурного коэффициента и погрешности</t>
  </si>
  <si>
    <r>
      <t>t</t>
    </r>
    <r>
      <rPr>
        <b/>
        <vertAlign val="subscript"/>
        <sz val="16"/>
        <color indexed="8"/>
        <rFont val="Helvetica Neue"/>
      </rPr>
      <t>α</t>
    </r>
  </si>
  <si>
    <r>
      <t>ε</t>
    </r>
    <r>
      <rPr>
        <b/>
        <vertAlign val="subscript"/>
        <sz val="16"/>
        <color theme="1"/>
        <rFont val="Helvetica Neue"/>
      </rPr>
      <t>α</t>
    </r>
    <r>
      <rPr>
        <b/>
        <sz val="16"/>
        <color theme="1"/>
        <rFont val="Helvetica Neue"/>
      </rPr>
      <t>, %</t>
    </r>
  </si>
  <si>
    <t>Пара</t>
  </si>
  <si>
    <t>4,10</t>
  </si>
  <si>
    <t>5,11</t>
  </si>
  <si>
    <t>6,12</t>
  </si>
  <si>
    <r>
      <t>α*10</t>
    </r>
    <r>
      <rPr>
        <b/>
        <vertAlign val="superscript"/>
        <sz val="16"/>
        <color indexed="8"/>
        <rFont val="Helvetica Neue"/>
        <charset val="204"/>
      </rPr>
      <t>-3</t>
    </r>
    <r>
      <rPr>
        <b/>
        <sz val="16"/>
        <color indexed="8"/>
        <rFont val="Helvetica Neue"/>
      </rPr>
      <t>, ℃</t>
    </r>
    <r>
      <rPr>
        <b/>
        <vertAlign val="superscript"/>
        <sz val="16"/>
        <color indexed="8"/>
        <rFont val="Helvetica Neue"/>
        <charset val="204"/>
      </rPr>
      <t>-1</t>
    </r>
  </si>
  <si>
    <r>
      <t>&lt;α&gt;*10</t>
    </r>
    <r>
      <rPr>
        <b/>
        <vertAlign val="superscript"/>
        <sz val="16"/>
        <color indexed="8"/>
        <rFont val="Helvetica Neue"/>
        <charset val="204"/>
      </rPr>
      <t>-3</t>
    </r>
    <r>
      <rPr>
        <b/>
        <sz val="16"/>
        <color indexed="8"/>
        <rFont val="Helvetica Neue"/>
      </rPr>
      <t>, ℃</t>
    </r>
    <r>
      <rPr>
        <b/>
        <vertAlign val="superscript"/>
        <sz val="16"/>
        <color indexed="8"/>
        <rFont val="Helvetica Neue"/>
        <charset val="204"/>
      </rPr>
      <t>-1</t>
    </r>
  </si>
  <si>
    <r>
      <t>S*10</t>
    </r>
    <r>
      <rPr>
        <b/>
        <vertAlign val="superscript"/>
        <sz val="16"/>
        <color indexed="8"/>
        <rFont val="Helvetica Neue"/>
        <charset val="204"/>
      </rPr>
      <t>-5</t>
    </r>
    <r>
      <rPr>
        <b/>
        <sz val="16"/>
        <color indexed="8"/>
        <rFont val="Helvetica Neue"/>
        <charset val="204"/>
      </rPr>
      <t>,℃</t>
    </r>
    <r>
      <rPr>
        <b/>
        <vertAlign val="superscript"/>
        <sz val="16"/>
        <color indexed="8"/>
        <rFont val="Helvetica Neue"/>
        <charset val="204"/>
      </rPr>
      <t>-1</t>
    </r>
  </si>
  <si>
    <r>
      <t>Δα*10</t>
    </r>
    <r>
      <rPr>
        <b/>
        <vertAlign val="superscript"/>
        <sz val="16"/>
        <color theme="1"/>
        <rFont val="Helvetica Neue"/>
        <charset val="204"/>
      </rPr>
      <t>-3</t>
    </r>
    <r>
      <rPr>
        <b/>
        <sz val="16"/>
        <color theme="1"/>
        <rFont val="Helvetica Neue"/>
      </rPr>
      <t>, ℃</t>
    </r>
    <r>
      <rPr>
        <b/>
        <vertAlign val="superscript"/>
        <sz val="16"/>
        <color theme="1"/>
        <rFont val="Helvetica Neue"/>
        <charset val="204"/>
      </rPr>
      <t>-1</t>
    </r>
  </si>
  <si>
    <t>Полу</t>
    <phoneticPr fontId="18" type="noConversion"/>
  </si>
  <si>
    <t>T</t>
    <phoneticPr fontId="18" type="noConversion"/>
  </si>
  <si>
    <t>I</t>
    <phoneticPr fontId="18" type="noConversion"/>
  </si>
  <si>
    <t>U</t>
    <phoneticPr fontId="18" type="noConversion"/>
  </si>
  <si>
    <t>R</t>
    <phoneticPr fontId="18" type="noConversion"/>
  </si>
  <si>
    <t>ln R</t>
    <phoneticPr fontId="18" type="noConversion"/>
  </si>
  <si>
    <t>1/K</t>
    <phoneticPr fontId="18" type="noConversion"/>
  </si>
  <si>
    <t>Метал</t>
    <phoneticPr fontId="18" type="noConversion"/>
  </si>
  <si>
    <t>t</t>
    <phoneticPr fontId="18" type="noConversion"/>
  </si>
  <si>
    <t>Коэффициент</t>
    <phoneticPr fontId="18" type="noConversion"/>
  </si>
  <si>
    <t>&lt;a&gt;</t>
    <phoneticPr fontId="18" type="noConversion"/>
  </si>
  <si>
    <t>sum</t>
    <phoneticPr fontId="18" type="noConversion"/>
  </si>
  <si>
    <t>S</t>
    <phoneticPr fontId="18" type="noConversion"/>
  </si>
  <si>
    <t>аб</t>
    <phoneticPr fontId="18" type="noConversion"/>
  </si>
  <si>
    <t>к</t>
    <phoneticPr fontId="18" type="noConversion"/>
  </si>
  <si>
    <t>ширина</t>
    <phoneticPr fontId="18" type="noConversion"/>
  </si>
  <si>
    <t>平均值</t>
    <phoneticPr fontId="18" type="noConversion"/>
  </si>
  <si>
    <t>绝对</t>
    <phoneticPr fontId="18" type="noConversion"/>
  </si>
  <si>
    <t>相对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</si>
</sst>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1">
    <font>
      <sz val="11"/>
      <color theme="1"/>
      <name val="宋体"/>
      <family val="2"/>
      <scheme val="minor"/>
    </font>
    <font>
      <b/>
      <sz val="13"/>
      <color indexed="8"/>
      <name val="Helvetica Neue"/>
    </font>
    <font>
      <b/>
      <sz val="12"/>
      <color indexed="8"/>
      <name val="Helvetica Neue"/>
    </font>
    <font>
      <sz val="12"/>
      <color indexed="8"/>
      <name val="Helvetica Neue"/>
    </font>
    <font>
      <b/>
      <vertAlign val="superscript"/>
      <sz val="12"/>
      <color indexed="8"/>
      <name val="Helvetica Neue"/>
    </font>
    <font>
      <b/>
      <sz val="20"/>
      <color indexed="8"/>
      <name val="Helvetica Neue"/>
    </font>
    <font>
      <b/>
      <sz val="16"/>
      <color indexed="8"/>
      <name val="Helvetica Neue"/>
    </font>
    <font>
      <b/>
      <vertAlign val="subscript"/>
      <sz val="16"/>
      <color indexed="8"/>
      <name val="Helvetica Neue"/>
    </font>
    <font>
      <b/>
      <sz val="16"/>
      <color theme="1"/>
      <name val="Helvetica Neue"/>
    </font>
    <font>
      <b/>
      <vertAlign val="subscript"/>
      <sz val="16"/>
      <color theme="1"/>
      <name val="Helvetica Neue"/>
    </font>
    <font>
      <sz val="16"/>
      <color indexed="8"/>
      <name val="Helvetica Neue"/>
    </font>
    <font>
      <sz val="16"/>
      <color theme="1"/>
      <name val="宋体"/>
      <family val="2"/>
      <scheme val="minor"/>
    </font>
    <font>
      <b/>
      <sz val="16"/>
      <name val="Helvetica Neue"/>
    </font>
    <font>
      <b/>
      <vertAlign val="superscript"/>
      <sz val="16"/>
      <color indexed="8"/>
      <name val="Helvetica Neue"/>
      <charset val="204"/>
    </font>
    <font>
      <b/>
      <vertAlign val="superscript"/>
      <sz val="16"/>
      <color theme="1"/>
      <name val="Helvetica Neue"/>
      <charset val="204"/>
    </font>
    <font>
      <b/>
      <sz val="16"/>
      <color indexed="8"/>
      <name val="Helvetica Neue"/>
      <charset val="204"/>
    </font>
    <font>
      <b/>
      <sz val="16"/>
      <color theme="1"/>
      <name val="宋体"/>
      <family val="2"/>
      <charset val="204"/>
      <scheme val="minor"/>
    </font>
    <font>
      <sz val="16"/>
      <color indexed="8"/>
      <name val="Helvetica Neue"/>
      <charset val="20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176" fontId="3" fillId="0" borderId="0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 readingOrder="1"/>
    </xf>
    <xf numFmtId="49" fontId="8" fillId="0" borderId="2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 readingOrder="1"/>
    </xf>
    <xf numFmtId="49" fontId="12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7" xfId="0" applyNumberFormat="1" applyFont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2" fontId="16" fillId="0" borderId="2" xfId="0" applyNumberFormat="1" applyFont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vertical="top" wrapText="1"/>
    </xf>
    <xf numFmtId="2" fontId="11" fillId="0" borderId="2" xfId="0" applyNumberFormat="1" applyFont="1" applyBorder="1" applyAlignment="1">
      <alignment vertical="top" wrapText="1"/>
    </xf>
    <xf numFmtId="1" fontId="10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vertical="top" wrapText="1"/>
    </xf>
    <xf numFmtId="2" fontId="11" fillId="0" borderId="2" xfId="0" applyNumberFormat="1" applyFont="1" applyBorder="1" applyAlignment="1">
      <alignment horizontal="center" vertical="top" wrapText="1"/>
    </xf>
    <xf numFmtId="2" fontId="17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altLang="zh-CN"/>
              <a:t>Полупроводник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25759408353211"/>
                  <c:y val="-3.839998064882865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'Ширина запрещенной зоны'!$P$17:$P$29</c:f>
              <c:numCache>
                <c:formatCode>General</c:formatCode>
                <c:ptCount val="13"/>
                <c:pt idx="0">
                  <c:v>3.3898305084745762E-3</c:v>
                </c:pt>
                <c:pt idx="1">
                  <c:v>3.3333333333333335E-3</c:v>
                </c:pt>
                <c:pt idx="2">
                  <c:v>3.2786885245901639E-3</c:v>
                </c:pt>
                <c:pt idx="3">
                  <c:v>3.2258064516129032E-3</c:v>
                </c:pt>
                <c:pt idx="4">
                  <c:v>3.1746031746031746E-3</c:v>
                </c:pt>
                <c:pt idx="5">
                  <c:v>3.1250000000000002E-3</c:v>
                </c:pt>
                <c:pt idx="6">
                  <c:v>3.0769230769230769E-3</c:v>
                </c:pt>
                <c:pt idx="7">
                  <c:v>3.0303030303030303E-3</c:v>
                </c:pt>
                <c:pt idx="8">
                  <c:v>2.9850746268656717E-3</c:v>
                </c:pt>
                <c:pt idx="9">
                  <c:v>2.9411764705882353E-3</c:v>
                </c:pt>
                <c:pt idx="10">
                  <c:v>2.8985507246376812E-3</c:v>
                </c:pt>
                <c:pt idx="11">
                  <c:v>2.8571428571428571E-3</c:v>
                </c:pt>
                <c:pt idx="12">
                  <c:v>2.8169014084507044E-3</c:v>
                </c:pt>
              </c:numCache>
            </c:numRef>
          </c:xVal>
          <c:yVal>
            <c:numRef>
              <c:f>'Ширина запрещенной зоны'!$O$17:$O$29</c:f>
              <c:numCache>
                <c:formatCode>General</c:formatCode>
                <c:ptCount val="13"/>
                <c:pt idx="0">
                  <c:v>6.7281380621622606</c:v>
                </c:pt>
                <c:pt idx="1">
                  <c:v>6.4814546102858346</c:v>
                </c:pt>
                <c:pt idx="2">
                  <c:v>6.3743431565433504</c:v>
                </c:pt>
                <c:pt idx="3">
                  <c:v>6.2153678097684333</c:v>
                </c:pt>
                <c:pt idx="4">
                  <c:v>6.0106542415011228</c:v>
                </c:pt>
                <c:pt idx="5">
                  <c:v>5.8254985066735934</c:v>
                </c:pt>
                <c:pt idx="6">
                  <c:v>5.6307815817717106</c:v>
                </c:pt>
                <c:pt idx="7">
                  <c:v>5.4384705367314412</c:v>
                </c:pt>
                <c:pt idx="8">
                  <c:v>5.248706865994702</c:v>
                </c:pt>
                <c:pt idx="9">
                  <c:v>5.0472886117442908</c:v>
                </c:pt>
                <c:pt idx="10">
                  <c:v>4.9054229156137241</c:v>
                </c:pt>
                <c:pt idx="11">
                  <c:v>4.7201938625568731</c:v>
                </c:pt>
                <c:pt idx="12">
                  <c:v>4.5447830359729959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4A-4E43-8171-331D2ED71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9120"/>
        <c:axId val="157539536"/>
      </c:scatterChart>
      <c:valAx>
        <c:axId val="157539120"/>
        <c:scaling>
          <c:orientation val="minMax"/>
          <c:max val="3.5000000000000009E-3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1/K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49651656290308388"/>
              <c:y val="0.85170203736162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539536"/>
        <c:crosses val="autoZero"/>
        <c:crossBetween val="midCat"/>
      </c:valAx>
      <c:valAx>
        <c:axId val="157539536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ln</a:t>
                </a:r>
                <a:r>
                  <a:rPr lang="en-US" altLang="zh-CN" sz="1400" baseline="0"/>
                  <a:t> R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53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altLang="zh-CN"/>
              <a:t>Металл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Меттал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374300130972695"/>
                  <c:y val="-1.3802040944527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'Ширина запрещенной зоны'!$V$17:$V$29</c:f>
              <c:numCache>
                <c:formatCode>General</c:formatCode>
                <c:ptCount val="13"/>
                <c:pt idx="0">
                  <c:v>86.850000000000023</c:v>
                </c:pt>
                <c:pt idx="1">
                  <c:v>81.850000000000023</c:v>
                </c:pt>
                <c:pt idx="2">
                  <c:v>76.850000000000023</c:v>
                </c:pt>
                <c:pt idx="3">
                  <c:v>71.850000000000023</c:v>
                </c:pt>
                <c:pt idx="4">
                  <c:v>66.850000000000023</c:v>
                </c:pt>
                <c:pt idx="5">
                  <c:v>61.850000000000023</c:v>
                </c:pt>
                <c:pt idx="6">
                  <c:v>56.850000000000023</c:v>
                </c:pt>
                <c:pt idx="7">
                  <c:v>51.850000000000023</c:v>
                </c:pt>
                <c:pt idx="8">
                  <c:v>46.850000000000023</c:v>
                </c:pt>
                <c:pt idx="9">
                  <c:v>41.850000000000023</c:v>
                </c:pt>
                <c:pt idx="10">
                  <c:v>36.850000000000023</c:v>
                </c:pt>
                <c:pt idx="11">
                  <c:v>31.850000000000023</c:v>
                </c:pt>
                <c:pt idx="12">
                  <c:v>26.850000000000023</c:v>
                </c:pt>
              </c:numCache>
            </c:numRef>
          </c:xVal>
          <c:yVal>
            <c:numRef>
              <c:f>'Ширина запрещенной зоны'!$U$17:$U$29</c:f>
              <c:numCache>
                <c:formatCode>General</c:formatCode>
                <c:ptCount val="13"/>
                <c:pt idx="0">
                  <c:v>1353.0864197530864</c:v>
                </c:pt>
                <c:pt idx="1">
                  <c:v>1336.3192182410423</c:v>
                </c:pt>
                <c:pt idx="2">
                  <c:v>1316.9750603378923</c:v>
                </c:pt>
                <c:pt idx="3">
                  <c:v>1298.1614708233415</c:v>
                </c:pt>
                <c:pt idx="4">
                  <c:v>1277.6898734177216</c:v>
                </c:pt>
                <c:pt idx="5">
                  <c:v>1258.8235294117649</c:v>
                </c:pt>
                <c:pt idx="6">
                  <c:v>1229.7609868928296</c:v>
                </c:pt>
                <c:pt idx="7">
                  <c:v>1213.3537989255565</c:v>
                </c:pt>
                <c:pt idx="8">
                  <c:v>1194.6768060836503</c:v>
                </c:pt>
                <c:pt idx="9">
                  <c:v>1177.2247360482654</c:v>
                </c:pt>
                <c:pt idx="10">
                  <c:v>1155.8538404175988</c:v>
                </c:pt>
                <c:pt idx="11">
                  <c:v>1138.2113821138212</c:v>
                </c:pt>
                <c:pt idx="12">
                  <c:v>1120.1465201465201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B-4DE0-BA5C-C066586A0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192896"/>
        <c:axId val="2091193312"/>
      </c:scatterChart>
      <c:valAx>
        <c:axId val="2091192896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193312"/>
        <c:crosses val="autoZero"/>
        <c:crossBetween val="midCat"/>
      </c:valAx>
      <c:valAx>
        <c:axId val="2091193312"/>
        <c:scaling>
          <c:orientation val="minMax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R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1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2974943</xdr:colOff>
      <xdr:row>13</xdr:row>
      <xdr:rowOff>98901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75668" y="37279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31</xdr:row>
      <xdr:rowOff>95250</xdr:rowOff>
    </xdr:from>
    <xdr:to>
      <xdr:col>9</xdr:col>
      <xdr:colOff>238125</xdr:colOff>
      <xdr:row>49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830BEBB-FDB6-4525-A5CE-6EA3D0B7F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581024</xdr:colOff>
      <xdr:row>15</xdr:row>
      <xdr:rowOff>138111</xdr:rowOff>
    </xdr:from>
    <xdr:to>
      <xdr:col>29</xdr:col>
      <xdr:colOff>571499</xdr:colOff>
      <xdr:row>32</xdr:row>
      <xdr:rowOff>85724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713941-7865-4F51-AD13-916B39092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6"/>
  <sheetViews>
    <sheetView workbookViewId="0">
      <selection activeCell="E37" sqref="E37"/>
    </sheetView>
  </sheetViews>
  <sheetFormatPr defaultRowHeight="13.5"/>
  <cols>
    <col min="2" max="3" width="9.25" bestFit="1" customWidth="1"/>
    <col min="4" max="4" width="9.625" bestFit="1" customWidth="1"/>
    <col min="5" max="7" width="9.25" bestFit="1" customWidth="1"/>
    <col min="12" max="13" width="9.25" bestFit="1" customWidth="1"/>
    <col min="14" max="14" width="9.625" bestFit="1" customWidth="1"/>
    <col min="15" max="15" width="9.25" bestFit="1" customWidth="1"/>
    <col min="16" max="16" width="13.75" customWidth="1"/>
    <col min="17" max="18" width="9.25" bestFit="1" customWidth="1"/>
  </cols>
  <sheetData>
    <row r="2" spans="2:18" ht="16.5">
      <c r="B2" s="26" t="s">
        <v>0</v>
      </c>
      <c r="C2" s="27"/>
      <c r="D2" s="27"/>
      <c r="E2" s="27"/>
      <c r="F2" s="27"/>
      <c r="G2" s="28"/>
      <c r="H2" s="12"/>
      <c r="I2" s="12"/>
      <c r="J2" s="12"/>
      <c r="K2" s="12"/>
      <c r="L2" s="29" t="s">
        <v>7</v>
      </c>
      <c r="M2" s="29"/>
      <c r="N2" s="29"/>
      <c r="O2" s="29"/>
      <c r="P2" s="29"/>
      <c r="Q2" s="29"/>
      <c r="R2" s="29"/>
    </row>
    <row r="3" spans="2:18" ht="34.5"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2"/>
      <c r="I3" s="12"/>
      <c r="J3" s="12"/>
      <c r="K3" s="12"/>
      <c r="L3" s="13" t="s">
        <v>1</v>
      </c>
      <c r="M3" s="13" t="s">
        <v>2</v>
      </c>
      <c r="N3" s="13" t="s">
        <v>3</v>
      </c>
      <c r="O3" s="13" t="s">
        <v>4</v>
      </c>
      <c r="P3" s="13" t="s">
        <v>8</v>
      </c>
      <c r="Q3" s="13" t="s">
        <v>9</v>
      </c>
      <c r="R3" s="13" t="s">
        <v>10</v>
      </c>
    </row>
    <row r="4" spans="2:18" ht="15.75">
      <c r="B4" s="17">
        <v>1</v>
      </c>
      <c r="C4" s="18">
        <v>388</v>
      </c>
      <c r="D4" s="18">
        <v>1349</v>
      </c>
      <c r="E4" s="14">
        <v>1.9850000000000001</v>
      </c>
      <c r="F4" s="14">
        <f t="shared" ref="F4:F15" si="0">E4/((D4*10^(-3)))</f>
        <v>1.4714603409933285</v>
      </c>
      <c r="G4" s="18">
        <f t="shared" ref="G4:G15" si="1">C4-273</f>
        <v>115</v>
      </c>
      <c r="H4" s="12"/>
      <c r="I4" s="12"/>
      <c r="J4" s="12"/>
      <c r="K4" s="12"/>
      <c r="L4" s="17">
        <v>1</v>
      </c>
      <c r="M4" s="18">
        <v>300</v>
      </c>
      <c r="N4" s="18">
        <v>1055</v>
      </c>
      <c r="O4" s="14">
        <v>0.93400000000000005</v>
      </c>
      <c r="P4" s="14">
        <f t="shared" ref="P4:P14" si="2">O4/(N4*10^-6)</f>
        <v>885.30805687203804</v>
      </c>
      <c r="Q4" s="14">
        <f t="shared" ref="Q4:Q15" si="3">LN(P4)</f>
        <v>6.7859356713008125</v>
      </c>
      <c r="R4" s="14">
        <f t="shared" ref="R4:R14" si="4">(10^3)/M4</f>
        <v>3.3333333333333335</v>
      </c>
    </row>
    <row r="5" spans="2:18" ht="15.75">
      <c r="B5" s="17">
        <v>2</v>
      </c>
      <c r="C5" s="18">
        <v>380</v>
      </c>
      <c r="D5" s="18">
        <v>1377</v>
      </c>
      <c r="E5" s="14">
        <v>1.9610000000000001</v>
      </c>
      <c r="F5" s="14">
        <f t="shared" si="0"/>
        <v>1.4241103848946988</v>
      </c>
      <c r="G5" s="18">
        <f t="shared" si="1"/>
        <v>107</v>
      </c>
      <c r="H5" s="12"/>
      <c r="I5" s="12"/>
      <c r="J5" s="12"/>
      <c r="K5" s="12"/>
      <c r="L5" s="17">
        <v>2</v>
      </c>
      <c r="M5" s="18">
        <v>307</v>
      </c>
      <c r="N5" s="18">
        <v>1194</v>
      </c>
      <c r="O5" s="14">
        <v>0.82299999999999995</v>
      </c>
      <c r="P5" s="14">
        <f t="shared" si="2"/>
        <v>689.27973199329983</v>
      </c>
      <c r="Q5" s="14">
        <f t="shared" si="3"/>
        <v>6.5356471857066598</v>
      </c>
      <c r="R5" s="14">
        <f t="shared" si="4"/>
        <v>3.2573289902280131</v>
      </c>
    </row>
    <row r="6" spans="2:18" ht="15.75">
      <c r="B6" s="17">
        <v>3</v>
      </c>
      <c r="C6" s="18">
        <v>372</v>
      </c>
      <c r="D6" s="18">
        <v>1396</v>
      </c>
      <c r="E6" s="14">
        <v>1.9450000000000001</v>
      </c>
      <c r="F6" s="14">
        <f t="shared" si="0"/>
        <v>1.3932664756446991</v>
      </c>
      <c r="G6" s="18">
        <f t="shared" si="1"/>
        <v>99</v>
      </c>
      <c r="H6" s="12"/>
      <c r="I6" s="12"/>
      <c r="J6" s="12"/>
      <c r="K6" s="12"/>
      <c r="L6" s="17">
        <v>3</v>
      </c>
      <c r="M6" s="18">
        <v>316</v>
      </c>
      <c r="N6" s="18">
        <v>1368</v>
      </c>
      <c r="O6" s="14">
        <v>0.71499999999999997</v>
      </c>
      <c r="P6" s="14">
        <f t="shared" si="2"/>
        <v>522.66081871345034</v>
      </c>
      <c r="Q6" s="14">
        <f t="shared" si="3"/>
        <v>6.2589327234936487</v>
      </c>
      <c r="R6" s="14">
        <f t="shared" si="4"/>
        <v>3.1645569620253164</v>
      </c>
    </row>
    <row r="7" spans="2:18" ht="15.75">
      <c r="B7" s="17">
        <v>4</v>
      </c>
      <c r="C7" s="18">
        <v>364</v>
      </c>
      <c r="D7" s="18">
        <v>1416</v>
      </c>
      <c r="E7" s="14">
        <v>1.929</v>
      </c>
      <c r="F7" s="14">
        <f t="shared" si="0"/>
        <v>1.3622881355932204</v>
      </c>
      <c r="G7" s="18">
        <f t="shared" si="1"/>
        <v>91</v>
      </c>
      <c r="H7" s="12"/>
      <c r="I7" s="12"/>
      <c r="J7" s="12"/>
      <c r="K7" s="12"/>
      <c r="L7" s="17">
        <v>4</v>
      </c>
      <c r="M7" s="18">
        <v>324</v>
      </c>
      <c r="N7" s="18">
        <v>1537</v>
      </c>
      <c r="O7" s="14">
        <v>0.59399999999999997</v>
      </c>
      <c r="P7" s="14">
        <f t="shared" si="2"/>
        <v>386.46714378659726</v>
      </c>
      <c r="Q7" s="14">
        <f t="shared" si="3"/>
        <v>5.9570468548061859</v>
      </c>
      <c r="R7" s="14">
        <f t="shared" si="4"/>
        <v>3.0864197530864197</v>
      </c>
    </row>
    <row r="8" spans="2:18" ht="15.75">
      <c r="B8" s="17">
        <v>5</v>
      </c>
      <c r="C8" s="18">
        <v>356</v>
      </c>
      <c r="D8" s="18">
        <v>1436</v>
      </c>
      <c r="E8" s="14">
        <v>1.913</v>
      </c>
      <c r="F8" s="14">
        <f t="shared" si="0"/>
        <v>1.3321727019498608</v>
      </c>
      <c r="G8" s="18">
        <f t="shared" si="1"/>
        <v>83</v>
      </c>
      <c r="H8" s="12"/>
      <c r="I8" s="12"/>
      <c r="J8" s="12"/>
      <c r="K8" s="12"/>
      <c r="L8" s="17">
        <v>5</v>
      </c>
      <c r="M8" s="18">
        <v>332</v>
      </c>
      <c r="N8" s="18">
        <v>1690</v>
      </c>
      <c r="O8" s="14">
        <v>0.48699999999999999</v>
      </c>
      <c r="P8" s="14">
        <f t="shared" si="2"/>
        <v>288.16568047337279</v>
      </c>
      <c r="Q8" s="14">
        <f t="shared" si="3"/>
        <v>5.663535594147608</v>
      </c>
      <c r="R8" s="14">
        <f t="shared" si="4"/>
        <v>3.0120481927710845</v>
      </c>
    </row>
    <row r="9" spans="2:18" ht="15.75">
      <c r="B9" s="17">
        <v>6</v>
      </c>
      <c r="C9" s="18">
        <v>348</v>
      </c>
      <c r="D9" s="18">
        <v>1456</v>
      </c>
      <c r="E9" s="14">
        <v>1.897</v>
      </c>
      <c r="F9" s="14">
        <f t="shared" si="0"/>
        <v>1.3028846153846154</v>
      </c>
      <c r="G9" s="18">
        <f t="shared" si="1"/>
        <v>75</v>
      </c>
      <c r="H9" s="12"/>
      <c r="I9" s="12"/>
      <c r="J9" s="12"/>
      <c r="K9" s="12"/>
      <c r="L9" s="17">
        <v>6</v>
      </c>
      <c r="M9" s="18">
        <v>340</v>
      </c>
      <c r="N9" s="18">
        <v>1835</v>
      </c>
      <c r="O9" s="14">
        <v>0.38800000000000001</v>
      </c>
      <c r="P9" s="14">
        <f t="shared" si="2"/>
        <v>211.44414168937331</v>
      </c>
      <c r="Q9" s="14">
        <f t="shared" si="3"/>
        <v>5.3539608581167402</v>
      </c>
      <c r="R9" s="14">
        <f t="shared" si="4"/>
        <v>2.9411764705882355</v>
      </c>
    </row>
    <row r="10" spans="2:18" ht="15.75">
      <c r="B10" s="17">
        <v>7</v>
      </c>
      <c r="C10" s="18">
        <v>340</v>
      </c>
      <c r="D10" s="18">
        <v>1475</v>
      </c>
      <c r="E10" s="14">
        <v>1.881</v>
      </c>
      <c r="F10" s="14">
        <f t="shared" si="0"/>
        <v>1.2752542372881355</v>
      </c>
      <c r="G10" s="18">
        <f t="shared" si="1"/>
        <v>67</v>
      </c>
      <c r="H10" s="12"/>
      <c r="I10" s="12"/>
      <c r="J10" s="12"/>
      <c r="K10" s="12"/>
      <c r="L10" s="17">
        <v>7</v>
      </c>
      <c r="M10" s="18">
        <v>348</v>
      </c>
      <c r="N10" s="18">
        <v>1953</v>
      </c>
      <c r="O10" s="14">
        <v>0.309</v>
      </c>
      <c r="P10" s="14">
        <f t="shared" si="2"/>
        <v>158.21812596006146</v>
      </c>
      <c r="Q10" s="14">
        <f t="shared" si="3"/>
        <v>5.0639746250032038</v>
      </c>
      <c r="R10" s="14">
        <f t="shared" si="4"/>
        <v>2.8735632183908044</v>
      </c>
    </row>
    <row r="11" spans="2:18" ht="15.75">
      <c r="B11" s="17">
        <v>8</v>
      </c>
      <c r="C11" s="18">
        <v>332</v>
      </c>
      <c r="D11" s="18">
        <v>1496</v>
      </c>
      <c r="E11" s="14">
        <v>1.865</v>
      </c>
      <c r="F11" s="14">
        <f t="shared" si="0"/>
        <v>1.2466577540106951</v>
      </c>
      <c r="G11" s="18">
        <f t="shared" si="1"/>
        <v>59</v>
      </c>
      <c r="H11" s="12"/>
      <c r="I11" s="12"/>
      <c r="J11" s="12"/>
      <c r="K11" s="12"/>
      <c r="L11" s="17">
        <v>8</v>
      </c>
      <c r="M11" s="18">
        <v>356</v>
      </c>
      <c r="N11" s="18">
        <v>2300</v>
      </c>
      <c r="O11" s="14">
        <v>0.26800000000000002</v>
      </c>
      <c r="P11" s="14">
        <f t="shared" si="2"/>
        <v>116.5217391304348</v>
      </c>
      <c r="Q11" s="14">
        <f t="shared" si="3"/>
        <v>4.7580778575757527</v>
      </c>
      <c r="R11" s="14">
        <f t="shared" si="4"/>
        <v>2.808988764044944</v>
      </c>
    </row>
    <row r="12" spans="2:18" ht="15.75">
      <c r="B12" s="17">
        <v>9</v>
      </c>
      <c r="C12" s="18">
        <v>324</v>
      </c>
      <c r="D12" s="18">
        <v>1520</v>
      </c>
      <c r="E12" s="14">
        <v>1.8460000000000001</v>
      </c>
      <c r="F12" s="14">
        <f t="shared" si="0"/>
        <v>1.2144736842105264</v>
      </c>
      <c r="G12" s="18">
        <f t="shared" si="1"/>
        <v>51</v>
      </c>
      <c r="H12" s="12"/>
      <c r="I12" s="12"/>
      <c r="J12" s="12"/>
      <c r="K12" s="12"/>
      <c r="L12" s="17">
        <v>9</v>
      </c>
      <c r="M12" s="18">
        <v>364</v>
      </c>
      <c r="N12" s="18">
        <v>2390</v>
      </c>
      <c r="O12" s="14">
        <v>0.21</v>
      </c>
      <c r="P12" s="14">
        <f t="shared" si="2"/>
        <v>87.86610878661088</v>
      </c>
      <c r="Q12" s="14">
        <f t="shared" si="3"/>
        <v>4.4758141647740493</v>
      </c>
      <c r="R12" s="14">
        <f t="shared" si="4"/>
        <v>2.7472527472527473</v>
      </c>
    </row>
    <row r="13" spans="2:18" ht="15.75">
      <c r="B13" s="17">
        <v>10</v>
      </c>
      <c r="C13" s="18">
        <v>316</v>
      </c>
      <c r="D13" s="18">
        <v>1547</v>
      </c>
      <c r="E13" s="14">
        <v>1.825</v>
      </c>
      <c r="F13" s="14">
        <f t="shared" si="0"/>
        <v>1.1797026502908856</v>
      </c>
      <c r="G13" s="18">
        <f t="shared" si="1"/>
        <v>43</v>
      </c>
      <c r="H13" s="12"/>
      <c r="I13" s="12"/>
      <c r="J13" s="12"/>
      <c r="K13" s="12"/>
      <c r="L13" s="17">
        <v>10</v>
      </c>
      <c r="M13" s="18">
        <v>372</v>
      </c>
      <c r="N13" s="18">
        <v>2470</v>
      </c>
      <c r="O13" s="14">
        <v>0.16500000000000001</v>
      </c>
      <c r="P13" s="14">
        <f t="shared" si="2"/>
        <v>66.801619433198383</v>
      </c>
      <c r="Q13" s="14">
        <f t="shared" si="3"/>
        <v>4.2017273232606946</v>
      </c>
      <c r="R13" s="14">
        <f t="shared" si="4"/>
        <v>2.6881720430107525</v>
      </c>
    </row>
    <row r="14" spans="2:18" ht="15.75">
      <c r="B14" s="19">
        <v>11</v>
      </c>
      <c r="C14" s="20">
        <v>308</v>
      </c>
      <c r="D14" s="20">
        <v>1572</v>
      </c>
      <c r="E14" s="15">
        <v>1.804</v>
      </c>
      <c r="F14" s="15">
        <f t="shared" si="0"/>
        <v>1.1475826972010177</v>
      </c>
      <c r="G14" s="20">
        <f t="shared" si="1"/>
        <v>35</v>
      </c>
      <c r="H14" s="12"/>
      <c r="I14" s="12"/>
      <c r="J14" s="12"/>
      <c r="K14" s="12"/>
      <c r="L14" s="17">
        <v>11</v>
      </c>
      <c r="M14" s="18">
        <v>380</v>
      </c>
      <c r="N14" s="18">
        <v>2530</v>
      </c>
      <c r="O14" s="14">
        <v>0.13100000000000001</v>
      </c>
      <c r="P14" s="14">
        <f t="shared" si="2"/>
        <v>51.778656126482218</v>
      </c>
      <c r="Q14" s="14">
        <f t="shared" si="3"/>
        <v>3.9469780204617226</v>
      </c>
      <c r="R14" s="14">
        <f t="shared" si="4"/>
        <v>2.6315789473684212</v>
      </c>
    </row>
    <row r="15" spans="2:18" ht="15.75">
      <c r="B15" s="21">
        <v>12</v>
      </c>
      <c r="C15" s="22">
        <v>300</v>
      </c>
      <c r="D15" s="22">
        <v>1595</v>
      </c>
      <c r="E15" s="16">
        <v>1.7829999999999999</v>
      </c>
      <c r="F15" s="16">
        <f t="shared" si="0"/>
        <v>1.1178683385579937</v>
      </c>
      <c r="G15" s="22">
        <f t="shared" si="1"/>
        <v>27</v>
      </c>
      <c r="H15" s="12"/>
      <c r="I15" s="12"/>
      <c r="J15" s="12"/>
      <c r="K15" s="12"/>
      <c r="L15" s="17">
        <v>12</v>
      </c>
      <c r="M15" s="18">
        <v>388</v>
      </c>
      <c r="N15" s="18">
        <v>2570</v>
      </c>
      <c r="O15" s="14">
        <v>0.105</v>
      </c>
      <c r="P15" s="14">
        <f t="shared" ref="P15" si="5">O15/(N15*10^-6)</f>
        <v>40.856031128404673</v>
      </c>
      <c r="Q15" s="14">
        <f t="shared" si="3"/>
        <v>3.7100544512503952</v>
      </c>
      <c r="R15" s="14">
        <f t="shared" ref="R15" si="6">(10^3)/M15</f>
        <v>2.5773195876288661</v>
      </c>
    </row>
    <row r="16" spans="2:18" ht="15.75">
      <c r="B16" s="1"/>
      <c r="C16" s="2"/>
      <c r="D16" s="2"/>
      <c r="E16" s="3"/>
      <c r="F16" s="3"/>
      <c r="G16" s="2"/>
    </row>
  </sheetData>
  <mergeCells count="2">
    <mergeCell ref="B2:G2"/>
    <mergeCell ref="L2:R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3"/>
  <sheetViews>
    <sheetView workbookViewId="0">
      <selection activeCell="D5" sqref="D5"/>
    </sheetView>
  </sheetViews>
  <sheetFormatPr defaultRowHeight="13.5"/>
  <cols>
    <col min="2" max="2" width="5.625" customWidth="1"/>
    <col min="3" max="3" width="15.75" customWidth="1"/>
    <col min="4" max="4" width="17" customWidth="1"/>
    <col min="5" max="5" width="19.375" customWidth="1"/>
    <col min="6" max="6" width="25.625" customWidth="1"/>
    <col min="7" max="7" width="41.25" customWidth="1"/>
    <col min="11" max="16" width="9.125" customWidth="1"/>
  </cols>
  <sheetData>
    <row r="3" spans="2:7" ht="26.25">
      <c r="B3" s="30" t="s">
        <v>12</v>
      </c>
      <c r="C3" s="30"/>
      <c r="D3" s="30"/>
      <c r="E3" s="30"/>
      <c r="F3" s="30"/>
      <c r="G3" s="30"/>
    </row>
    <row r="4" spans="2:7" ht="23.25">
      <c r="B4" s="4" t="s">
        <v>1</v>
      </c>
      <c r="C4" s="4" t="s">
        <v>15</v>
      </c>
      <c r="D4" s="4" t="s">
        <v>19</v>
      </c>
      <c r="E4" s="4" t="s">
        <v>20</v>
      </c>
      <c r="F4" s="5" t="s">
        <v>22</v>
      </c>
      <c r="G4" s="6" t="s">
        <v>14</v>
      </c>
    </row>
    <row r="5" spans="2:7" ht="20.25">
      <c r="B5" s="7">
        <v>1</v>
      </c>
      <c r="C5" s="11">
        <v>1.7</v>
      </c>
      <c r="D5" s="8">
        <f>(Образцы!F4-Образцы!F10)/(Образцы!F10*Образцы!G4-Образцы!F4*Образцы!G10)*10^3</f>
        <v>4.0819808929844266</v>
      </c>
      <c r="E5" s="33">
        <f>(D5+D6+D7+D8+D9+D10)/6</f>
        <v>3.7756529256070479</v>
      </c>
      <c r="F5" s="33">
        <f>D13*D12*10^-2</f>
        <v>0.18077931486628454</v>
      </c>
      <c r="G5" s="36">
        <f>(F5/E5)*100</f>
        <v>4.7880278836068841</v>
      </c>
    </row>
    <row r="6" spans="2:7" ht="20.25">
      <c r="B6" s="7">
        <v>2</v>
      </c>
      <c r="C6" s="11">
        <v>2.8</v>
      </c>
      <c r="D6" s="8">
        <f>(Образцы!F5-Образцы!F11)/(Образцы!F11*Образцы!G5-Образцы!F5*Образцы!G11)*10^3</f>
        <v>3.5943510034278705</v>
      </c>
      <c r="E6" s="35"/>
      <c r="F6" s="35"/>
      <c r="G6" s="34"/>
    </row>
    <row r="7" spans="2:7" ht="20.25">
      <c r="B7" s="7">
        <v>3</v>
      </c>
      <c r="C7" s="11">
        <v>3.9</v>
      </c>
      <c r="D7" s="8">
        <f>(Образцы!F6-Образцы!F12)/(Образцы!F12*Образцы!G6-Образцы!F6*Образцы!G12)*10^3</f>
        <v>3.6357508627078703</v>
      </c>
      <c r="E7" s="35"/>
      <c r="F7" s="35"/>
      <c r="G7" s="34"/>
    </row>
    <row r="8" spans="2:7" ht="20.25">
      <c r="B8" s="7">
        <v>4</v>
      </c>
      <c r="C8" s="11" t="s">
        <v>16</v>
      </c>
      <c r="D8" s="8">
        <f>(Образцы!F7-Образцы!F13)/(Образцы!F13*Образцы!G7-Образцы!F7*Образцы!G13)*10^3</f>
        <v>3.7434580178347536</v>
      </c>
      <c r="E8" s="35"/>
      <c r="F8" s="35"/>
      <c r="G8" s="34"/>
    </row>
    <row r="9" spans="2:7" ht="20.25">
      <c r="B9" s="7">
        <v>5</v>
      </c>
      <c r="C9" s="11" t="s">
        <v>17</v>
      </c>
      <c r="D9" s="8">
        <f>(Образцы!F8-Образцы!F14)/(Образцы!F14*Образцы!G8-Образцы!F8*Образцы!G14)*10^3</f>
        <v>3.7963266886835427</v>
      </c>
      <c r="E9" s="35"/>
      <c r="F9" s="35"/>
      <c r="G9" s="34"/>
    </row>
    <row r="10" spans="2:7" ht="20.25">
      <c r="B10" s="7">
        <v>6</v>
      </c>
      <c r="C10" s="11" t="s">
        <v>18</v>
      </c>
      <c r="D10" s="8">
        <f>(Образцы!F9-Образцы!F15)/(Образцы!F15*Образцы!G9-Образцы!F9*Образцы!G15)*10^3</f>
        <v>3.8020500880038242</v>
      </c>
      <c r="E10" s="35"/>
      <c r="F10" s="35"/>
      <c r="G10" s="34"/>
    </row>
    <row r="11" spans="2:7" ht="24.75" customHeight="1">
      <c r="B11" s="31" t="s">
        <v>11</v>
      </c>
      <c r="C11" s="32"/>
      <c r="D11" s="33">
        <v>0.95</v>
      </c>
      <c r="E11" s="35"/>
      <c r="F11" s="35"/>
      <c r="G11" s="35"/>
    </row>
    <row r="12" spans="2:7" ht="24.75" customHeight="1">
      <c r="B12" s="31" t="s">
        <v>21</v>
      </c>
      <c r="C12" s="32"/>
      <c r="D12" s="33">
        <f>SQRT((1/30)*((D5-E5)^2+(D6-E5)^2+(D7-E5)^2+(D8-E5)^2+(D9-E5)^2+(D10-E5)^2))*10^2</f>
        <v>7.0342145862367538</v>
      </c>
      <c r="E12" s="35"/>
      <c r="F12" s="35"/>
      <c r="G12" s="35"/>
    </row>
    <row r="13" spans="2:7" ht="24.75" customHeight="1">
      <c r="B13" s="31" t="s">
        <v>13</v>
      </c>
      <c r="C13" s="32"/>
      <c r="D13" s="33">
        <v>2.57</v>
      </c>
      <c r="E13" s="34"/>
      <c r="F13" s="34"/>
      <c r="G13" s="34"/>
    </row>
  </sheetData>
  <mergeCells count="10">
    <mergeCell ref="B3:G3"/>
    <mergeCell ref="B11:C11"/>
    <mergeCell ref="B12:C12"/>
    <mergeCell ref="B13:C13"/>
    <mergeCell ref="D13:G13"/>
    <mergeCell ref="E5:E10"/>
    <mergeCell ref="F5:F10"/>
    <mergeCell ref="G5:G10"/>
    <mergeCell ref="D11:G11"/>
    <mergeCell ref="D12:G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52"/>
  <sheetViews>
    <sheetView tabSelected="1" topLeftCell="E22" workbookViewId="0">
      <selection activeCell="V18" sqref="V18"/>
    </sheetView>
  </sheetViews>
  <sheetFormatPr defaultRowHeight="13.5"/>
  <cols>
    <col min="1" max="1" width="6.25" customWidth="1"/>
    <col min="2" max="2" width="12.75" customWidth="1"/>
    <col min="3" max="3" width="13.375" customWidth="1"/>
    <col min="4" max="4" width="15.125" customWidth="1"/>
    <col min="5" max="5" width="13.625" customWidth="1"/>
    <col min="6" max="6" width="10.625" customWidth="1"/>
    <col min="7" max="7" width="10.375" customWidth="1"/>
    <col min="8" max="8" width="11.125" customWidth="1"/>
    <col min="9" max="9" width="10" customWidth="1"/>
    <col min="10" max="10" width="10.25" customWidth="1"/>
    <col min="13" max="13" width="12.75" bestFit="1" customWidth="1"/>
    <col min="15" max="15" width="12.75" bestFit="1" customWidth="1"/>
    <col min="18" max="18" width="11.25" customWidth="1"/>
    <col min="22" max="22" width="12.75" bestFit="1" customWidth="1"/>
  </cols>
  <sheetData>
    <row r="3" spans="1:22" ht="26.25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22" ht="57.75" customHeight="1">
      <c r="A4" s="4"/>
      <c r="B4" s="4"/>
      <c r="C4" s="4"/>
      <c r="D4" s="4"/>
      <c r="E4" s="9"/>
      <c r="F4" s="9"/>
      <c r="G4" s="10"/>
      <c r="H4" s="10"/>
      <c r="I4" s="9"/>
      <c r="J4" s="9"/>
    </row>
    <row r="5" spans="1:22" ht="20.25">
      <c r="A5" s="7"/>
      <c r="B5" s="11"/>
      <c r="C5" s="8"/>
      <c r="D5" s="38"/>
      <c r="E5" s="38"/>
      <c r="F5" s="36"/>
      <c r="G5" s="8"/>
      <c r="H5" s="33"/>
      <c r="I5" s="33"/>
      <c r="J5" s="36"/>
    </row>
    <row r="6" spans="1:22" ht="20.25">
      <c r="A6" s="7"/>
      <c r="B6" s="11"/>
      <c r="C6" s="8"/>
      <c r="D6" s="39"/>
      <c r="E6" s="39"/>
      <c r="F6" s="34"/>
      <c r="G6" s="8"/>
      <c r="H6" s="34"/>
      <c r="I6" s="34"/>
      <c r="J6" s="34"/>
    </row>
    <row r="7" spans="1:22" ht="20.25">
      <c r="A7" s="7"/>
      <c r="B7" s="11"/>
      <c r="C7" s="8"/>
      <c r="D7" s="39"/>
      <c r="E7" s="39"/>
      <c r="F7" s="34"/>
      <c r="G7" s="8"/>
      <c r="H7" s="34"/>
      <c r="I7" s="34"/>
      <c r="J7" s="34"/>
    </row>
    <row r="8" spans="1:22" ht="20.25">
      <c r="A8" s="7"/>
      <c r="B8" s="11"/>
      <c r="C8" s="8"/>
      <c r="D8" s="39"/>
      <c r="E8" s="39"/>
      <c r="F8" s="34"/>
      <c r="G8" s="8"/>
      <c r="H8" s="34"/>
      <c r="I8" s="34"/>
      <c r="J8" s="34"/>
    </row>
    <row r="9" spans="1:22" ht="20.25">
      <c r="A9" s="7"/>
      <c r="B9" s="11"/>
      <c r="C9" s="8"/>
      <c r="D9" s="39"/>
      <c r="E9" s="39"/>
      <c r="F9" s="34"/>
      <c r="G9" s="8"/>
      <c r="H9" s="34"/>
      <c r="I9" s="34"/>
      <c r="J9" s="34"/>
    </row>
    <row r="10" spans="1:22" ht="23.25" customHeight="1">
      <c r="A10" s="37"/>
      <c r="B10" s="37"/>
      <c r="C10" s="33"/>
      <c r="D10" s="34"/>
      <c r="E10" s="34"/>
      <c r="F10" s="34"/>
      <c r="G10" s="34"/>
      <c r="H10" s="34"/>
      <c r="I10" s="34"/>
      <c r="J10" s="34"/>
    </row>
    <row r="11" spans="1:22" ht="23.25" customHeight="1">
      <c r="A11" s="42"/>
      <c r="B11" s="42"/>
      <c r="C11" s="42"/>
      <c r="D11" s="41"/>
      <c r="E11" s="41"/>
      <c r="F11" s="41"/>
      <c r="G11" s="23"/>
      <c r="H11" s="40"/>
      <c r="I11" s="40"/>
      <c r="J11" s="40"/>
    </row>
    <row r="12" spans="1:22" ht="23.25" customHeight="1">
      <c r="A12" s="37"/>
      <c r="B12" s="37"/>
      <c r="C12" s="33"/>
      <c r="D12" s="34"/>
      <c r="E12" s="34"/>
      <c r="F12" s="34"/>
      <c r="G12" s="34"/>
      <c r="H12" s="34"/>
      <c r="I12" s="34"/>
      <c r="J12" s="34"/>
    </row>
    <row r="15" spans="1:22" ht="15">
      <c r="K15" s="24" t="s">
        <v>23</v>
      </c>
      <c r="R15" s="24" t="s">
        <v>30</v>
      </c>
    </row>
    <row r="16" spans="1:22"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R16" t="s">
        <v>24</v>
      </c>
      <c r="S16" t="s">
        <v>25</v>
      </c>
      <c r="T16" t="s">
        <v>26</v>
      </c>
      <c r="U16" t="s">
        <v>27</v>
      </c>
      <c r="V16" t="s">
        <v>31</v>
      </c>
    </row>
    <row r="17" spans="10:22">
      <c r="J17">
        <v>1</v>
      </c>
      <c r="K17">
        <v>295</v>
      </c>
      <c r="L17">
        <v>1034</v>
      </c>
      <c r="M17">
        <v>0.86399999999999999</v>
      </c>
      <c r="N17">
        <f>ROUND(M17/(L17*10^-6),2)</f>
        <v>835.59</v>
      </c>
      <c r="O17">
        <f>LN(N17)</f>
        <v>6.7281380621622606</v>
      </c>
      <c r="P17">
        <f>1/K17</f>
        <v>3.3898305084745762E-3</v>
      </c>
      <c r="R17">
        <v>360</v>
      </c>
      <c r="S17">
        <v>1215</v>
      </c>
      <c r="T17">
        <v>1.6439999999999999</v>
      </c>
      <c r="U17">
        <f>T17/(S17*10^-6)</f>
        <v>1353.0864197530864</v>
      </c>
      <c r="V17">
        <f>R17-273.15</f>
        <v>86.850000000000023</v>
      </c>
    </row>
    <row r="18" spans="10:22">
      <c r="J18">
        <v>2</v>
      </c>
      <c r="K18">
        <v>300</v>
      </c>
      <c r="L18">
        <v>1164</v>
      </c>
      <c r="M18">
        <v>0.76</v>
      </c>
      <c r="N18">
        <f t="shared" ref="N18:N29" si="0">ROUND(M18/(L18*10^-6),2)</f>
        <v>652.91999999999996</v>
      </c>
      <c r="O18">
        <f t="shared" ref="O18:O29" si="1">LN(N18)</f>
        <v>6.4814546102858346</v>
      </c>
      <c r="P18">
        <f t="shared" ref="P18:P29" si="2">1/K18</f>
        <v>3.3333333333333335E-3</v>
      </c>
      <c r="R18">
        <v>355</v>
      </c>
      <c r="S18">
        <v>1228</v>
      </c>
      <c r="T18">
        <v>1.641</v>
      </c>
      <c r="U18">
        <f t="shared" ref="U18:U28" si="3">T18/(S18*10^-6)</f>
        <v>1336.3192182410423</v>
      </c>
      <c r="V18">
        <f t="shared" ref="V18:V29" si="4">R18-273.15</f>
        <v>81.850000000000023</v>
      </c>
    </row>
    <row r="19" spans="10:22">
      <c r="J19">
        <v>3</v>
      </c>
      <c r="K19">
        <v>305</v>
      </c>
      <c r="L19">
        <v>1224</v>
      </c>
      <c r="M19">
        <v>0.71799999999999997</v>
      </c>
      <c r="N19">
        <f t="shared" si="0"/>
        <v>586.6</v>
      </c>
      <c r="O19">
        <f t="shared" si="1"/>
        <v>6.3743431565433504</v>
      </c>
      <c r="P19">
        <f t="shared" si="2"/>
        <v>3.2786885245901639E-3</v>
      </c>
      <c r="R19">
        <v>350</v>
      </c>
      <c r="S19">
        <v>1243</v>
      </c>
      <c r="T19">
        <v>1.637</v>
      </c>
      <c r="U19">
        <f t="shared" si="3"/>
        <v>1316.9750603378923</v>
      </c>
      <c r="V19">
        <f t="shared" si="4"/>
        <v>76.850000000000023</v>
      </c>
    </row>
    <row r="20" spans="10:22">
      <c r="J20">
        <v>4</v>
      </c>
      <c r="K20">
        <v>310</v>
      </c>
      <c r="L20">
        <v>1311</v>
      </c>
      <c r="M20">
        <v>0.65600000000000003</v>
      </c>
      <c r="N20">
        <f t="shared" si="0"/>
        <v>500.38</v>
      </c>
      <c r="O20">
        <f t="shared" si="1"/>
        <v>6.2153678097684333</v>
      </c>
      <c r="P20">
        <f t="shared" si="2"/>
        <v>3.2258064516129032E-3</v>
      </c>
      <c r="R20">
        <v>345</v>
      </c>
      <c r="S20">
        <v>1251</v>
      </c>
      <c r="T20">
        <v>1.6240000000000001</v>
      </c>
      <c r="U20">
        <f>T20/(S20*10^-6)</f>
        <v>1298.1614708233415</v>
      </c>
      <c r="V20">
        <f t="shared" si="4"/>
        <v>71.850000000000023</v>
      </c>
    </row>
    <row r="21" spans="10:22">
      <c r="J21">
        <v>5</v>
      </c>
      <c r="K21">
        <v>315</v>
      </c>
      <c r="L21">
        <v>1420</v>
      </c>
      <c r="M21">
        <v>0.57899999999999996</v>
      </c>
      <c r="N21">
        <f t="shared" si="0"/>
        <v>407.75</v>
      </c>
      <c r="O21">
        <f t="shared" si="1"/>
        <v>6.0106542415011228</v>
      </c>
      <c r="P21">
        <f t="shared" si="2"/>
        <v>3.1746031746031746E-3</v>
      </c>
      <c r="R21">
        <v>340</v>
      </c>
      <c r="S21">
        <v>1264</v>
      </c>
      <c r="T21">
        <v>1.615</v>
      </c>
      <c r="U21">
        <f t="shared" si="3"/>
        <v>1277.6898734177216</v>
      </c>
      <c r="V21">
        <f t="shared" si="4"/>
        <v>66.850000000000023</v>
      </c>
    </row>
    <row r="22" spans="10:22">
      <c r="J22">
        <v>6</v>
      </c>
      <c r="K22">
        <v>320</v>
      </c>
      <c r="L22">
        <v>1517</v>
      </c>
      <c r="M22">
        <v>0.51400000000000001</v>
      </c>
      <c r="N22">
        <f t="shared" si="0"/>
        <v>338.83</v>
      </c>
      <c r="O22">
        <f t="shared" si="1"/>
        <v>5.8254985066735934</v>
      </c>
      <c r="P22">
        <f t="shared" si="2"/>
        <v>3.1250000000000002E-3</v>
      </c>
      <c r="R22">
        <v>335</v>
      </c>
      <c r="S22">
        <v>1275</v>
      </c>
      <c r="T22">
        <v>1.605</v>
      </c>
      <c r="U22">
        <f t="shared" si="3"/>
        <v>1258.8235294117649</v>
      </c>
      <c r="V22">
        <f t="shared" si="4"/>
        <v>61.850000000000023</v>
      </c>
    </row>
    <row r="23" spans="10:22">
      <c r="J23">
        <v>7</v>
      </c>
      <c r="K23">
        <v>325</v>
      </c>
      <c r="L23">
        <v>1610</v>
      </c>
      <c r="M23">
        <v>0.44900000000000001</v>
      </c>
      <c r="N23">
        <f t="shared" si="0"/>
        <v>278.88</v>
      </c>
      <c r="O23">
        <f t="shared" si="1"/>
        <v>5.6307815817717106</v>
      </c>
      <c r="P23">
        <f t="shared" si="2"/>
        <v>3.0769230769230769E-3</v>
      </c>
      <c r="R23">
        <v>330</v>
      </c>
      <c r="S23">
        <v>1297</v>
      </c>
      <c r="T23">
        <v>1.595</v>
      </c>
      <c r="U23">
        <f t="shared" si="3"/>
        <v>1229.7609868928296</v>
      </c>
      <c r="V23">
        <f t="shared" si="4"/>
        <v>56.850000000000023</v>
      </c>
    </row>
    <row r="24" spans="10:22">
      <c r="J24">
        <v>8</v>
      </c>
      <c r="K24">
        <v>330</v>
      </c>
      <c r="L24">
        <v>1695</v>
      </c>
      <c r="M24">
        <v>0.39</v>
      </c>
      <c r="N24">
        <f t="shared" si="0"/>
        <v>230.09</v>
      </c>
      <c r="O24">
        <f t="shared" si="1"/>
        <v>5.4384705367314412</v>
      </c>
      <c r="P24">
        <f t="shared" si="2"/>
        <v>3.0303030303030303E-3</v>
      </c>
      <c r="R24">
        <v>325</v>
      </c>
      <c r="S24">
        <v>1303</v>
      </c>
      <c r="T24">
        <v>1.581</v>
      </c>
      <c r="U24">
        <f t="shared" si="3"/>
        <v>1213.3537989255565</v>
      </c>
      <c r="V24">
        <f t="shared" si="4"/>
        <v>51.850000000000023</v>
      </c>
    </row>
    <row r="25" spans="10:22">
      <c r="J25">
        <v>9</v>
      </c>
      <c r="K25">
        <v>335</v>
      </c>
      <c r="L25">
        <v>1776</v>
      </c>
      <c r="M25">
        <v>0.33800000000000002</v>
      </c>
      <c r="N25">
        <f t="shared" si="0"/>
        <v>190.32</v>
      </c>
      <c r="O25">
        <f t="shared" si="1"/>
        <v>5.248706865994702</v>
      </c>
      <c r="P25">
        <f t="shared" si="2"/>
        <v>2.9850746268656717E-3</v>
      </c>
      <c r="R25">
        <v>320</v>
      </c>
      <c r="S25">
        <v>1315</v>
      </c>
      <c r="T25">
        <v>1.571</v>
      </c>
      <c r="U25">
        <f t="shared" si="3"/>
        <v>1194.6768060836503</v>
      </c>
      <c r="V25">
        <f t="shared" si="4"/>
        <v>46.850000000000023</v>
      </c>
    </row>
    <row r="26" spans="10:22">
      <c r="J26">
        <v>10</v>
      </c>
      <c r="K26">
        <v>340</v>
      </c>
      <c r="L26">
        <v>1838</v>
      </c>
      <c r="M26">
        <v>0.28599999999999998</v>
      </c>
      <c r="N26">
        <f t="shared" si="0"/>
        <v>155.6</v>
      </c>
      <c r="O26">
        <f t="shared" si="1"/>
        <v>5.0472886117442908</v>
      </c>
      <c r="P26">
        <f t="shared" si="2"/>
        <v>2.9411764705882353E-3</v>
      </c>
      <c r="R26">
        <v>315</v>
      </c>
      <c r="S26">
        <v>1326</v>
      </c>
      <c r="T26">
        <v>1.5609999999999999</v>
      </c>
      <c r="U26">
        <f t="shared" si="3"/>
        <v>1177.2247360482654</v>
      </c>
      <c r="V26">
        <f t="shared" si="4"/>
        <v>41.850000000000023</v>
      </c>
    </row>
    <row r="27" spans="10:22">
      <c r="J27">
        <v>11</v>
      </c>
      <c r="K27">
        <v>345</v>
      </c>
      <c r="L27">
        <v>1896</v>
      </c>
      <c r="M27">
        <v>0.25600000000000001</v>
      </c>
      <c r="N27">
        <f t="shared" si="0"/>
        <v>135.02000000000001</v>
      </c>
      <c r="O27">
        <f t="shared" si="1"/>
        <v>4.9054229156137241</v>
      </c>
      <c r="P27">
        <f t="shared" si="2"/>
        <v>2.8985507246376812E-3</v>
      </c>
      <c r="R27">
        <v>310</v>
      </c>
      <c r="S27">
        <v>1341</v>
      </c>
      <c r="T27">
        <v>1.55</v>
      </c>
      <c r="U27">
        <f t="shared" si="3"/>
        <v>1155.8538404175988</v>
      </c>
      <c r="V27">
        <f t="shared" si="4"/>
        <v>36.850000000000023</v>
      </c>
    </row>
    <row r="28" spans="10:22">
      <c r="J28">
        <v>12</v>
      </c>
      <c r="K28">
        <v>350</v>
      </c>
      <c r="L28">
        <v>1952</v>
      </c>
      <c r="M28">
        <v>0.219</v>
      </c>
      <c r="N28">
        <f t="shared" si="0"/>
        <v>112.19</v>
      </c>
      <c r="O28">
        <f t="shared" si="1"/>
        <v>4.7201938625568731</v>
      </c>
      <c r="P28">
        <f t="shared" si="2"/>
        <v>2.8571428571428571E-3</v>
      </c>
      <c r="R28">
        <v>305</v>
      </c>
      <c r="S28">
        <v>1353</v>
      </c>
      <c r="T28">
        <v>1.54</v>
      </c>
      <c r="U28">
        <f t="shared" si="3"/>
        <v>1138.2113821138212</v>
      </c>
      <c r="V28">
        <f t="shared" si="4"/>
        <v>31.850000000000023</v>
      </c>
    </row>
    <row r="29" spans="10:22">
      <c r="J29">
        <v>13</v>
      </c>
      <c r="K29">
        <v>355</v>
      </c>
      <c r="L29">
        <v>1997</v>
      </c>
      <c r="M29">
        <v>0.188</v>
      </c>
      <c r="N29">
        <f t="shared" si="0"/>
        <v>94.14</v>
      </c>
      <c r="O29">
        <f t="shared" si="1"/>
        <v>4.5447830359729959</v>
      </c>
      <c r="P29">
        <f t="shared" si="2"/>
        <v>2.8169014084507044E-3</v>
      </c>
      <c r="R29">
        <v>300</v>
      </c>
      <c r="S29">
        <v>1365</v>
      </c>
      <c r="T29">
        <v>1.5289999999999999</v>
      </c>
      <c r="U29">
        <f>T29/(S29*10^(-6))</f>
        <v>1120.1465201465201</v>
      </c>
      <c r="V29">
        <f t="shared" si="4"/>
        <v>26.850000000000023</v>
      </c>
    </row>
    <row r="31" spans="10:22" ht="15">
      <c r="O31" s="24" t="s">
        <v>37</v>
      </c>
    </row>
    <row r="32" spans="10:22" ht="15">
      <c r="M32" s="24" t="s">
        <v>38</v>
      </c>
      <c r="O32">
        <f>1.380649*10^-23</f>
        <v>1.3806490000000001E-23</v>
      </c>
      <c r="R32" s="24" t="s">
        <v>32</v>
      </c>
      <c r="U32" s="24"/>
      <c r="V32" s="24" t="s">
        <v>37</v>
      </c>
    </row>
    <row r="33" spans="12:22">
      <c r="L33">
        <v>1</v>
      </c>
      <c r="M33">
        <f>2*$O$32*K17*K23*LN(N17/N23)/(K23-K17)</f>
        <v>9.6837848802921623E-20</v>
      </c>
      <c r="Q33">
        <v>1</v>
      </c>
      <c r="R33">
        <f>(U17-U23)/(U23*V17-U17*V23)</f>
        <v>4.127111504890168E-3</v>
      </c>
      <c r="V33" s="25"/>
    </row>
    <row r="34" spans="12:22">
      <c r="L34">
        <v>2</v>
      </c>
      <c r="M34">
        <f>2*$O$32*K18*K24*LN(N18/N24)/(K24-K18)</f>
        <v>9.5039664599140739E-20</v>
      </c>
      <c r="Q34">
        <v>2</v>
      </c>
      <c r="R34">
        <f t="shared" ref="R34:R38" si="5">(U18-U24)/(U24*V18-U18*V24)</f>
        <v>4.0954539571234939E-3</v>
      </c>
    </row>
    <row r="35" spans="12:22">
      <c r="L35">
        <v>3</v>
      </c>
      <c r="M35">
        <f t="shared" ref="M34:M38" si="6">2*$O$32*K19*K25*LN(N19/N25)/(K25-K19)</f>
        <v>1.0586069875806582E-19</v>
      </c>
      <c r="Q35">
        <v>3</v>
      </c>
      <c r="R35">
        <f t="shared" si="5"/>
        <v>4.0616304046652094E-3</v>
      </c>
    </row>
    <row r="36" spans="12:22">
      <c r="L36">
        <v>4</v>
      </c>
      <c r="M36">
        <f>2*$O$32*K20*K26*LN(N20/N26)/(K26-K20)</f>
        <v>1.1331957166754449E-19</v>
      </c>
      <c r="Q36">
        <v>4</v>
      </c>
      <c r="R36">
        <f t="shared" si="5"/>
        <v>3.9971765782356797E-3</v>
      </c>
    </row>
    <row r="37" spans="12:22">
      <c r="L37">
        <v>5</v>
      </c>
      <c r="M37">
        <f t="shared" si="6"/>
        <v>1.105541012257528E-19</v>
      </c>
      <c r="Q37">
        <v>5</v>
      </c>
      <c r="R37">
        <f t="shared" si="5"/>
        <v>4.036182500355502E-3</v>
      </c>
    </row>
    <row r="38" spans="12:22">
      <c r="L38">
        <v>6</v>
      </c>
      <c r="M38">
        <f t="shared" si="6"/>
        <v>1.1394415211910124E-19</v>
      </c>
      <c r="Q38">
        <v>6</v>
      </c>
      <c r="R38">
        <f t="shared" si="5"/>
        <v>3.979962576989478E-3</v>
      </c>
    </row>
    <row r="39" spans="12:22">
      <c r="L39">
        <v>7</v>
      </c>
      <c r="M39">
        <f>2*O32*K23*K29*LN(N23/N29)/(K29-K23)</f>
        <v>1.1532752751471241E-19</v>
      </c>
      <c r="Q39">
        <v>7</v>
      </c>
      <c r="R39">
        <f>(U23-U29)/(U29*V23-U23*V29)</f>
        <v>3.5750165715858597E-3</v>
      </c>
    </row>
    <row r="40" spans="12:22">
      <c r="L40" t="s">
        <v>39</v>
      </c>
      <c r="M40">
        <f>AVERAGE(M33:M39)</f>
        <v>1.0726908066960558E-19</v>
      </c>
      <c r="Q40" t="s">
        <v>33</v>
      </c>
      <c r="R40">
        <f>AVERAGE(R33:R39)</f>
        <v>3.9817905848350561E-3</v>
      </c>
    </row>
    <row r="41" spans="12:22">
      <c r="L41">
        <v>1</v>
      </c>
      <c r="M41">
        <f>(M33-$M$40)^2</f>
        <v>1.088105982565229E-40</v>
      </c>
      <c r="R41">
        <f>(R33-$R$40)^2</f>
        <v>2.111816980566424E-8</v>
      </c>
    </row>
    <row r="42" spans="12:22">
      <c r="L42">
        <v>2</v>
      </c>
      <c r="M42">
        <f t="shared" ref="M42:M47" si="7">(M34-$M$40)^2</f>
        <v>1.4955861742454375E-40</v>
      </c>
      <c r="R42">
        <f t="shared" ref="R42:R47" si="8">(R34-$R$40)^2</f>
        <v>1.291936219998003E-8</v>
      </c>
    </row>
    <row r="43" spans="12:22">
      <c r="L43">
        <v>3</v>
      </c>
      <c r="M43">
        <f t="shared" si="7"/>
        <v>1.9835396087523972E-42</v>
      </c>
      <c r="R43">
        <f t="shared" si="8"/>
        <v>6.3743968305113514E-9</v>
      </c>
    </row>
    <row r="44" spans="12:22">
      <c r="L44">
        <v>4</v>
      </c>
      <c r="M44">
        <f t="shared" si="7"/>
        <v>3.6608441316139742E-41</v>
      </c>
      <c r="R44">
        <f t="shared" si="8"/>
        <v>2.3672879292403353E-10</v>
      </c>
    </row>
    <row r="45" spans="12:22">
      <c r="L45">
        <v>5</v>
      </c>
      <c r="M45">
        <f t="shared" si="7"/>
        <v>1.0791360054309815E-41</v>
      </c>
      <c r="R45">
        <f t="shared" si="8"/>
        <v>2.9584804739833235E-9</v>
      </c>
    </row>
    <row r="46" spans="12:22">
      <c r="L46">
        <v>6</v>
      </c>
      <c r="M46">
        <f t="shared" si="7"/>
        <v>4.4556578855872035E-41</v>
      </c>
      <c r="R46">
        <f t="shared" si="8"/>
        <v>3.3416126834950111E-12</v>
      </c>
    </row>
    <row r="47" spans="12:22">
      <c r="L47">
        <v>7</v>
      </c>
      <c r="M47">
        <f t="shared" si="7"/>
        <v>6.4938565555412153E-41</v>
      </c>
      <c r="R47">
        <f t="shared" si="8"/>
        <v>1.654650978548574E-7</v>
      </c>
    </row>
    <row r="48" spans="12:22">
      <c r="L48" t="s">
        <v>34</v>
      </c>
      <c r="M48">
        <f>SUM(M41:M47)</f>
        <v>4.1724770107155287E-40</v>
      </c>
      <c r="Q48" t="s">
        <v>34</v>
      </c>
      <c r="R48">
        <f>SUM(R41:R47)</f>
        <v>2.0907557757060389E-7</v>
      </c>
    </row>
    <row r="49" spans="12:18">
      <c r="L49" t="s">
        <v>35</v>
      </c>
      <c r="M49">
        <f>(M48/42)^(1/2)</f>
        <v>3.1518992802962803E-21</v>
      </c>
      <c r="Q49" t="s">
        <v>35</v>
      </c>
      <c r="R49">
        <f>(R48/42)^(1/2)</f>
        <v>7.055487185274476E-5</v>
      </c>
    </row>
    <row r="50" spans="12:18" ht="15">
      <c r="L50" t="s">
        <v>40</v>
      </c>
      <c r="M50">
        <f>M49*2.45</f>
        <v>7.7221532367258872E-21</v>
      </c>
      <c r="Q50" s="24" t="s">
        <v>36</v>
      </c>
      <c r="R50">
        <f>R49*2.45</f>
        <v>1.7285943603922467E-4</v>
      </c>
    </row>
    <row r="52" spans="12:18">
      <c r="L52" t="s">
        <v>41</v>
      </c>
      <c r="M52">
        <f>M50*100/M40</f>
        <v>7.1988621404433637</v>
      </c>
      <c r="R52">
        <f>(R50/R40)*100</f>
        <v>4.3412488014204618</v>
      </c>
    </row>
  </sheetData>
  <mergeCells count="14">
    <mergeCell ref="A3:J3"/>
    <mergeCell ref="H11:J11"/>
    <mergeCell ref="D11:F11"/>
    <mergeCell ref="A11:C11"/>
    <mergeCell ref="C10:J10"/>
    <mergeCell ref="A12:B12"/>
    <mergeCell ref="A10:B10"/>
    <mergeCell ref="C12:J12"/>
    <mergeCell ref="D5:D9"/>
    <mergeCell ref="E5:E9"/>
    <mergeCell ref="F5:F9"/>
    <mergeCell ref="H5:H9"/>
    <mergeCell ref="I5:I9"/>
    <mergeCell ref="J5:J9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Образцы</vt:lpstr>
      <vt:lpstr>Определение температурного</vt:lpstr>
      <vt:lpstr>Ширина запрещенной зоны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2021-04-21T17:37:11Z</dcterms:modified>
</cp:coreProperties>
</file>