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rt\Documents\Учёба\ИТМО\Физика\Lab3_10\"/>
    </mc:Choice>
  </mc:AlternateContent>
  <xr:revisionPtr revIDLastSave="0" documentId="13_ncr:1_{A72187CB-178E-445D-8E85-3AA06D31C516}" xr6:coauthVersionLast="46" xr6:coauthVersionMax="46" xr10:uidLastSave="{00000000-0000-0000-0000-000000000000}"/>
  <bookViews>
    <workbookView xWindow="390" yWindow="30" windowWidth="15450" windowHeight="15570" xr2:uid="{EC367486-2AFA-4E0C-BFF8-F22AF2C5DE82}"/>
  </bookViews>
  <sheets>
    <sheet name="3.1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D18" i="1"/>
  <c r="C24" i="1"/>
  <c r="I2" i="1"/>
  <c r="H2" i="1"/>
  <c r="B27" i="1"/>
  <c r="I17" i="1"/>
  <c r="N15" i="1"/>
  <c r="N16" i="1"/>
  <c r="I26" i="1"/>
  <c r="L2" i="1"/>
  <c r="K3" i="1"/>
  <c r="K2" i="1"/>
  <c r="N4" i="1"/>
  <c r="F2" i="1"/>
  <c r="L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M2" i="1" l="1"/>
  <c r="L16" i="1"/>
  <c r="G2" i="1"/>
  <c r="M11" i="1" l="1"/>
  <c r="B28" i="1"/>
  <c r="B29" i="1"/>
  <c r="E20" i="1"/>
  <c r="B30" i="1"/>
  <c r="E21" i="1"/>
  <c r="E19" i="1"/>
  <c r="E18" i="1"/>
  <c r="K7" i="1"/>
  <c r="K10" i="1"/>
  <c r="M12" i="1"/>
  <c r="K12" i="1"/>
  <c r="I18" i="1" l="1"/>
  <c r="I27" i="1"/>
  <c r="D24" i="1" s="1"/>
  <c r="L10" i="1" l="1"/>
  <c r="G15" i="1"/>
  <c r="G14" i="1"/>
  <c r="K8" i="1"/>
  <c r="K4" i="1"/>
  <c r="M10" i="1"/>
  <c r="M6" i="1"/>
  <c r="M4" i="1"/>
  <c r="M8" i="1"/>
  <c r="K6" i="1"/>
  <c r="K5" i="1"/>
  <c r="K9" i="1"/>
  <c r="K11" i="1"/>
  <c r="M3" i="1"/>
  <c r="M5" i="1"/>
  <c r="M7" i="1"/>
  <c r="M9" i="1"/>
  <c r="G13" i="1"/>
  <c r="G12" i="1"/>
  <c r="G11" i="1"/>
  <c r="G10" i="1"/>
  <c r="G9" i="1"/>
  <c r="G8" i="1"/>
  <c r="G7" i="1"/>
  <c r="G6" i="1"/>
  <c r="G5" i="1"/>
  <c r="G4" i="1"/>
  <c r="G3" i="1"/>
  <c r="L11" i="1" l="1"/>
  <c r="N11" i="1" s="1"/>
  <c r="L8" i="1"/>
  <c r="N8" i="1" s="1"/>
  <c r="N2" i="1"/>
  <c r="L12" i="1"/>
  <c r="N12" i="1" s="1"/>
  <c r="L9" i="1"/>
  <c r="N9" i="1" s="1"/>
  <c r="L4" i="1"/>
  <c r="L5" i="1"/>
  <c r="N5" i="1" s="1"/>
  <c r="L3" i="1"/>
  <c r="N3" i="1" s="1"/>
  <c r="L6" i="1"/>
  <c r="N6" i="1" s="1"/>
  <c r="L7" i="1"/>
  <c r="N7" i="1" s="1"/>
  <c r="N10" i="1"/>
  <c r="I28" i="1" l="1"/>
  <c r="C27" i="1"/>
  <c r="H6" i="1"/>
  <c r="I6" i="1" s="1"/>
  <c r="I23" i="1"/>
  <c r="J23" i="1" s="1"/>
  <c r="C19" i="1"/>
  <c r="D19" i="1" s="1"/>
  <c r="H5" i="1"/>
  <c r="I5" i="1" s="1"/>
  <c r="H14" i="1"/>
  <c r="I14" i="1" s="1"/>
  <c r="H4" i="1"/>
  <c r="I4" i="1" s="1"/>
  <c r="H10" i="1"/>
  <c r="I10" i="1" s="1"/>
  <c r="H13" i="1"/>
  <c r="I13" i="1" s="1"/>
  <c r="I24" i="1"/>
  <c r="J24" i="1" s="1"/>
  <c r="H12" i="1"/>
  <c r="I12" i="1" s="1"/>
  <c r="H8" i="1"/>
  <c r="I8" i="1" s="1"/>
  <c r="H11" i="1"/>
  <c r="I11" i="1" s="1"/>
  <c r="I22" i="1"/>
  <c r="J22" i="1" s="1"/>
  <c r="H3" i="1"/>
  <c r="H7" i="1"/>
  <c r="I7" i="1" s="1"/>
  <c r="C21" i="1" l="1"/>
  <c r="D21" i="1" s="1"/>
  <c r="C18" i="1"/>
  <c r="H15" i="1"/>
  <c r="I15" i="1" s="1"/>
  <c r="H9" i="1"/>
  <c r="I9" i="1" s="1"/>
  <c r="C20" i="1"/>
  <c r="D20" i="1" s="1"/>
  <c r="J2" i="1"/>
  <c r="I3" i="1"/>
  <c r="J3" i="1" s="1"/>
  <c r="I19" i="1" l="1"/>
  <c r="P2" i="1" s="1"/>
  <c r="Q2" i="1" s="1"/>
  <c r="P3" i="1" l="1"/>
  <c r="Q3" i="1" s="1"/>
  <c r="P12" i="1"/>
  <c r="Q12" i="1" s="1"/>
  <c r="P11" i="1"/>
  <c r="Q11" i="1" s="1"/>
  <c r="P7" i="1"/>
  <c r="Q7" i="1" s="1"/>
  <c r="P4" i="1"/>
  <c r="Q4" i="1" s="1"/>
  <c r="P10" i="1"/>
  <c r="Q10" i="1" s="1"/>
  <c r="P8" i="1"/>
  <c r="Q8" i="1" s="1"/>
  <c r="P5" i="1"/>
  <c r="Q5" i="1" s="1"/>
  <c r="P9" i="1"/>
  <c r="Q9" i="1" s="1"/>
  <c r="P6" i="1"/>
  <c r="Q6" i="1" s="1"/>
  <c r="Q16" i="1" l="1"/>
</calcChain>
</file>

<file path=xl/sharedStrings.xml><?xml version="1.0" encoding="utf-8"?>
<sst xmlns="http://schemas.openxmlformats.org/spreadsheetml/2006/main" count="48" uniqueCount="43">
  <si>
    <t>Rм, Ом</t>
  </si>
  <si>
    <t>n</t>
  </si>
  <si>
    <t>λ</t>
  </si>
  <si>
    <t>Q</t>
  </si>
  <si>
    <t>R, Ом</t>
  </si>
  <si>
    <t xml:space="preserve"> L, мГн</t>
  </si>
  <si>
    <t>Xi-X cp.</t>
  </si>
  <si>
    <t>Yi-Y cp.</t>
  </si>
  <si>
    <t>(Xi-X cp.)^2</t>
  </si>
  <si>
    <t>(Xi-X cp.)(Yi-Y cp.)</t>
  </si>
  <si>
    <t>Li-L cp.</t>
  </si>
  <si>
    <t>(Li-L cp.)^2</t>
  </si>
  <si>
    <t>Х ср.(Rм)</t>
  </si>
  <si>
    <t>a</t>
  </si>
  <si>
    <t>S L cp.</t>
  </si>
  <si>
    <t>Y ср.(λ)</t>
  </si>
  <si>
    <t>b</t>
  </si>
  <si>
    <t>∆L cp.</t>
  </si>
  <si>
    <t>R0</t>
  </si>
  <si>
    <t>L cp.</t>
  </si>
  <si>
    <t>L, Гн</t>
  </si>
  <si>
    <t>C1, Ф</t>
  </si>
  <si>
    <t>R0, Ом</t>
  </si>
  <si>
    <t>C, мкФ</t>
  </si>
  <si>
    <t>δТ</t>
  </si>
  <si>
    <t>Т, мc</t>
  </si>
  <si>
    <t>Т теор., мс</t>
  </si>
  <si>
    <t>Т эксп., мс</t>
  </si>
  <si>
    <t>T, мc</t>
  </si>
  <si>
    <t>3 пункт</t>
  </si>
  <si>
    <t>4 пункт</t>
  </si>
  <si>
    <t>5 пункт</t>
  </si>
  <si>
    <t>6 пункт</t>
  </si>
  <si>
    <t>7 пункт</t>
  </si>
  <si>
    <t>8 пункт</t>
  </si>
  <si>
    <t>R кр эксп</t>
  </si>
  <si>
    <t>R кр теор</t>
  </si>
  <si>
    <t>Т Томпсона., мс</t>
  </si>
  <si>
    <t xml:space="preserve"> </t>
  </si>
  <si>
    <t>9 пункт</t>
  </si>
  <si>
    <r>
      <t>2U</t>
    </r>
    <r>
      <rPr>
        <sz val="6"/>
        <color theme="1"/>
        <rFont val="Arial"/>
        <family val="2"/>
        <charset val="204"/>
      </rPr>
      <t>i</t>
    </r>
    <r>
      <rPr>
        <sz val="11"/>
        <color theme="1"/>
        <rFont val="Arial"/>
        <family val="2"/>
        <charset val="204"/>
      </rPr>
      <t>, дел</t>
    </r>
  </si>
  <si>
    <r>
      <t>2U</t>
    </r>
    <r>
      <rPr>
        <sz val="6"/>
        <color theme="1"/>
        <rFont val="Arial"/>
        <family val="2"/>
        <charset val="204"/>
      </rPr>
      <t>i+n</t>
    </r>
    <r>
      <rPr>
        <sz val="11"/>
        <color theme="1"/>
        <rFont val="Arial"/>
        <family val="2"/>
        <charset val="204"/>
      </rPr>
      <t xml:space="preserve">, дел </t>
    </r>
  </si>
  <si>
    <r>
      <t>C</t>
    </r>
    <r>
      <rPr>
        <sz val="6"/>
        <color theme="1"/>
        <rFont val="Arial"/>
        <family val="2"/>
        <charset val="204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</si>
</sst>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sz val="11"/>
      <color theme="5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 wrapText="1"/>
    </xf>
    <xf numFmtId="2" fontId="2" fillId="4" borderId="2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center" readingOrder="1"/>
    </xf>
    <xf numFmtId="2" fontId="2" fillId="2" borderId="2" xfId="0" applyNumberFormat="1" applyFont="1" applyFill="1" applyBorder="1" applyAlignment="1">
      <alignment horizontal="center" readingOrder="1"/>
    </xf>
    <xf numFmtId="0" fontId="2" fillId="2" borderId="0" xfId="0" applyFont="1" applyFill="1" applyAlignment="1">
      <alignment horizontal="center"/>
    </xf>
    <xf numFmtId="2" fontId="2" fillId="11" borderId="2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9" fontId="2" fillId="9" borderId="2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2" fontId="2" fillId="6" borderId="2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8" borderId="0" xfId="0" applyFont="1" applyFill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166" fontId="2" fillId="2" borderId="2" xfId="0" applyNumberFormat="1" applyFont="1" applyFill="1" applyBorder="1" applyAlignment="1">
      <alignment horizontal="center" readingOrder="1"/>
    </xf>
    <xf numFmtId="164" fontId="2" fillId="9" borderId="2" xfId="0" applyNumberFormat="1" applyFont="1" applyFill="1" applyBorder="1" applyAlignment="1">
      <alignment horizontal="center"/>
    </xf>
    <xf numFmtId="166" fontId="2" fillId="4" borderId="2" xfId="0" applyNumberFormat="1" applyFont="1" applyFill="1" applyBorder="1" applyAlignment="1">
      <alignment horizontal="center"/>
    </xf>
    <xf numFmtId="2" fontId="2" fillId="4" borderId="3" xfId="0" applyNumberFormat="1" applyFon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λ</a:t>
            </a:r>
            <a:r>
              <a:rPr lang="ru-RU"/>
              <a:t>(</a:t>
            </a:r>
            <a:r>
              <a:rPr lang="en-US"/>
              <a:t>R</a:t>
            </a:r>
            <a:r>
              <a:rPr lang="ru-R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'3.10'!$A$2:$A$12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433673519793715"/>
                  <c:y val="6.609739506526931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0,004x + 0,355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'3.10'!$A$2:$A$12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'3.10'!$F$2:$F$12</c:f>
              <c:numCache>
                <c:formatCode>0.00</c:formatCode>
                <c:ptCount val="11"/>
                <c:pt idx="0">
                  <c:v>0.34818168913261133</c:v>
                </c:pt>
                <c:pt idx="1">
                  <c:v>0.37981142772945492</c:v>
                </c:pt>
                <c:pt idx="2">
                  <c:v>0.44791158223369826</c:v>
                </c:pt>
                <c:pt idx="3">
                  <c:v>0.52898835219401397</c:v>
                </c:pt>
                <c:pt idx="4">
                  <c:v>0.53647930414470013</c:v>
                </c:pt>
                <c:pt idx="5">
                  <c:v>0.61527556349944357</c:v>
                </c:pt>
                <c:pt idx="6">
                  <c:v>0.65802700867400321</c:v>
                </c:pt>
                <c:pt idx="7">
                  <c:v>0.71335538783209029</c:v>
                </c:pt>
                <c:pt idx="8">
                  <c:v>0.79929842426612352</c:v>
                </c:pt>
                <c:pt idx="9">
                  <c:v>0.90268340036740335</c:v>
                </c:pt>
                <c:pt idx="10">
                  <c:v>1.110734836725068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3DD-428A-8AE3-67652683DE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671178904"/>
        <c:axId val="1539053592"/>
      </c:lineChart>
      <c:catAx>
        <c:axId val="167117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ru-RU"/>
                  <a:t>м, Ом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53592"/>
        <c:crosses val="autoZero"/>
        <c:auto val="1"/>
        <c:lblAlgn val="ctr"/>
        <c:lblOffset val="100"/>
        <c:noMultiLvlLbl val="0"/>
      </c:catAx>
      <c:valAx>
        <c:axId val="153905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117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  <a:r>
              <a:rPr lang="ru-RU"/>
              <a:t>(</a:t>
            </a:r>
            <a:r>
              <a:rPr lang="en-US"/>
              <a:t>R</a:t>
            </a:r>
            <a:r>
              <a:rPr lang="ru-R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903078230820813"/>
          <c:y val="0.15776228432331016"/>
          <c:w val="0.82506848398722832"/>
          <c:h val="0.59172637474265488"/>
        </c:manualLayout>
      </c:layout>
      <c:lineChart>
        <c:grouping val="standard"/>
        <c:varyColors val="0"/>
        <c:ser>
          <c:idx val="0"/>
          <c:order val="1"/>
          <c:tx>
            <c:strRef>
              <c:f>'3.10'!$H$2:$H$15</c:f>
              <c:strCache>
                <c:ptCount val="14"/>
                <c:pt idx="0">
                  <c:v>44,5</c:v>
                </c:pt>
                <c:pt idx="1">
                  <c:v>54,5</c:v>
                </c:pt>
                <c:pt idx="2">
                  <c:v>64,5</c:v>
                </c:pt>
                <c:pt idx="3">
                  <c:v>74,5</c:v>
                </c:pt>
                <c:pt idx="4">
                  <c:v>84,5</c:v>
                </c:pt>
                <c:pt idx="5">
                  <c:v>94,5</c:v>
                </c:pt>
                <c:pt idx="6">
                  <c:v>104,5</c:v>
                </c:pt>
                <c:pt idx="7">
                  <c:v>114,5</c:v>
                </c:pt>
                <c:pt idx="8">
                  <c:v>124,5</c:v>
                </c:pt>
                <c:pt idx="9">
                  <c:v>134,5</c:v>
                </c:pt>
                <c:pt idx="10">
                  <c:v>144,5</c:v>
                </c:pt>
                <c:pt idx="11">
                  <c:v>244,5</c:v>
                </c:pt>
                <c:pt idx="12">
                  <c:v>344,5</c:v>
                </c:pt>
                <c:pt idx="13">
                  <c:v>444,5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1669877690028"/>
                  <c:y val="3.49974154949121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'3.10'!$H$2:$H$15</c:f>
              <c:numCache>
                <c:formatCode>0.0</c:formatCode>
                <c:ptCount val="14"/>
                <c:pt idx="0">
                  <c:v>44.523216447159072</c:v>
                </c:pt>
                <c:pt idx="1">
                  <c:v>54.523216447159072</c:v>
                </c:pt>
                <c:pt idx="2">
                  <c:v>64.523216447159072</c:v>
                </c:pt>
                <c:pt idx="3">
                  <c:v>74.523216447159072</c:v>
                </c:pt>
                <c:pt idx="4">
                  <c:v>84.523216447159072</c:v>
                </c:pt>
                <c:pt idx="5">
                  <c:v>94.523216447159072</c:v>
                </c:pt>
                <c:pt idx="6">
                  <c:v>104.52321644715907</c:v>
                </c:pt>
                <c:pt idx="7">
                  <c:v>114.52321644715907</c:v>
                </c:pt>
                <c:pt idx="8">
                  <c:v>124.52321644715907</c:v>
                </c:pt>
                <c:pt idx="9">
                  <c:v>134.52321644715909</c:v>
                </c:pt>
                <c:pt idx="10">
                  <c:v>144.52321644715909</c:v>
                </c:pt>
                <c:pt idx="11">
                  <c:v>244.52321644715909</c:v>
                </c:pt>
                <c:pt idx="12">
                  <c:v>344.52321644715909</c:v>
                </c:pt>
                <c:pt idx="13">
                  <c:v>444.52321644715909</c:v>
                </c:pt>
              </c:numCache>
            </c:numRef>
          </c:cat>
          <c:val>
            <c:numRef>
              <c:f>'3.10'!$G$2:$G$15</c:f>
              <c:numCache>
                <c:formatCode>0.00</c:formatCode>
                <c:ptCount val="14"/>
                <c:pt idx="0">
                  <c:v>12.526148758855657</c:v>
                </c:pt>
                <c:pt idx="1">
                  <c:v>11.80701070509369</c:v>
                </c:pt>
                <c:pt idx="2">
                  <c:v>10.618356381989813</c:v>
                </c:pt>
                <c:pt idx="3">
                  <c:v>9.6243509437835577</c:v>
                </c:pt>
                <c:pt idx="4">
                  <c:v>9.5488440287128693</c:v>
                </c:pt>
                <c:pt idx="5">
                  <c:v>8.8762045335270106</c:v>
                </c:pt>
                <c:pt idx="6">
                  <c:v>8.5858325920848539</c:v>
                </c:pt>
                <c:pt idx="7">
                  <c:v>8.2684083034434526</c:v>
                </c:pt>
                <c:pt idx="8">
                  <c:v>7.8754422952829257</c:v>
                </c:pt>
                <c:pt idx="9">
                  <c:v>7.519496912395641</c:v>
                </c:pt>
                <c:pt idx="10">
                  <c:v>7.0474819487938829</c:v>
                </c:pt>
                <c:pt idx="11">
                  <c:v>8.3775804095727811</c:v>
                </c:pt>
                <c:pt idx="12">
                  <c:v>7.5398223686155044</c:v>
                </c:pt>
                <c:pt idx="13">
                  <c:v>7.5398223686155044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45-46ED-B212-95F846DF91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671178904"/>
        <c:axId val="1539053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'3.10'!$H$2:$H$15</c15:sqref>
                        </c15:formulaRef>
                      </c:ext>
                    </c:extLst>
                    <c:strCache>
                      <c:ptCount val="14"/>
                      <c:pt idx="0">
                        <c:v>44,5</c:v>
                      </c:pt>
                      <c:pt idx="1">
                        <c:v>54,5</c:v>
                      </c:pt>
                      <c:pt idx="2">
                        <c:v>64,5</c:v>
                      </c:pt>
                      <c:pt idx="3">
                        <c:v>74,5</c:v>
                      </c:pt>
                      <c:pt idx="4">
                        <c:v>84,5</c:v>
                      </c:pt>
                      <c:pt idx="5">
                        <c:v>94,5</c:v>
                      </c:pt>
                      <c:pt idx="6">
                        <c:v>104,5</c:v>
                      </c:pt>
                      <c:pt idx="7">
                        <c:v>114,5</c:v>
                      </c:pt>
                      <c:pt idx="8">
                        <c:v>124,5</c:v>
                      </c:pt>
                      <c:pt idx="9">
                        <c:v>134,5</c:v>
                      </c:pt>
                      <c:pt idx="10">
                        <c:v>144,5</c:v>
                      </c:pt>
                      <c:pt idx="11">
                        <c:v>244,5</c:v>
                      </c:pt>
                      <c:pt idx="12">
                        <c:v>344,5</c:v>
                      </c:pt>
                      <c:pt idx="13">
                        <c:v>444,5</c:v>
                      </c:pt>
                    </c:strCache>
                  </c:strRef>
                </c:tx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'3.10'!$H$2:$H$15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44.523216447159072</c:v>
                      </c:pt>
                      <c:pt idx="1">
                        <c:v>54.523216447159072</c:v>
                      </c:pt>
                      <c:pt idx="2">
                        <c:v>64.523216447159072</c:v>
                      </c:pt>
                      <c:pt idx="3">
                        <c:v>74.523216447159072</c:v>
                      </c:pt>
                      <c:pt idx="4">
                        <c:v>84.523216447159072</c:v>
                      </c:pt>
                      <c:pt idx="5">
                        <c:v>94.523216447159072</c:v>
                      </c:pt>
                      <c:pt idx="6">
                        <c:v>104.52321644715907</c:v>
                      </c:pt>
                      <c:pt idx="7">
                        <c:v>114.52321644715907</c:v>
                      </c:pt>
                      <c:pt idx="8">
                        <c:v>124.52321644715907</c:v>
                      </c:pt>
                      <c:pt idx="9">
                        <c:v>134.52321644715909</c:v>
                      </c:pt>
                      <c:pt idx="10">
                        <c:v>144.52321644715909</c:v>
                      </c:pt>
                      <c:pt idx="11">
                        <c:v>244.52321644715909</c:v>
                      </c:pt>
                      <c:pt idx="12">
                        <c:v>344.52321644715909</c:v>
                      </c:pt>
                      <c:pt idx="13">
                        <c:v>444.52321644715909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'3.10'!$G$2:$G$15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12.526148758855657</c:v>
                      </c:pt>
                      <c:pt idx="1">
                        <c:v>11.80701070509369</c:v>
                      </c:pt>
                      <c:pt idx="2">
                        <c:v>10.618356381989813</c:v>
                      </c:pt>
                      <c:pt idx="3">
                        <c:v>9.6243509437835577</c:v>
                      </c:pt>
                      <c:pt idx="4">
                        <c:v>9.5488440287128693</c:v>
                      </c:pt>
                      <c:pt idx="5">
                        <c:v>8.8762045335270106</c:v>
                      </c:pt>
                      <c:pt idx="6">
                        <c:v>8.5858325920848539</c:v>
                      </c:pt>
                      <c:pt idx="7">
                        <c:v>8.2684083034434526</c:v>
                      </c:pt>
                      <c:pt idx="8">
                        <c:v>7.8754422952829257</c:v>
                      </c:pt>
                      <c:pt idx="9">
                        <c:v>7.519496912395641</c:v>
                      </c:pt>
                      <c:pt idx="10">
                        <c:v>7.0474819487938829</c:v>
                      </c:pt>
                      <c:pt idx="11">
                        <c:v>8.3775804095727811</c:v>
                      </c:pt>
                      <c:pt idx="12">
                        <c:v>7.5398223686155044</c:v>
                      </c:pt>
                      <c:pt idx="13">
                        <c:v>7.5398223686155044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545-46ED-B212-95F846DF914C}"/>
                  </c:ext>
                </c:extLst>
              </c15:ser>
            </c15:filteredLineSeries>
          </c:ext>
        </c:extLst>
      </c:lineChart>
      <c:catAx>
        <c:axId val="167117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 </a:t>
                </a:r>
                <a:r>
                  <a:rPr lang="az-Cyrl-AZ"/>
                  <a:t>Ом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53592"/>
        <c:crosses val="autoZero"/>
        <c:auto val="1"/>
        <c:lblAlgn val="ctr"/>
        <c:lblOffset val="100"/>
        <c:noMultiLvlLbl val="0"/>
      </c:catAx>
      <c:valAx>
        <c:axId val="153905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11789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</a:t>
            </a:r>
            <a:r>
              <a:rPr lang="ru-RU" baseline="0"/>
              <a:t>эксп </a:t>
            </a:r>
            <a:r>
              <a:rPr lang="ru-RU"/>
              <a:t>(мс)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эксп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'3.10'!$A$18:$A$21</c:f>
              <c:numCache>
                <c:formatCode>0.000</c:formatCode>
                <c:ptCount val="4"/>
                <c:pt idx="0">
                  <c:v>2.1999999999999999E-2</c:v>
                </c:pt>
                <c:pt idx="1">
                  <c:v>3.3000000000000002E-2</c:v>
                </c:pt>
                <c:pt idx="2">
                  <c:v>4.7E-2</c:v>
                </c:pt>
                <c:pt idx="3">
                  <c:v>0.47</c:v>
                </c:pt>
              </c:numCache>
            </c:numRef>
          </c:cat>
          <c:val>
            <c:numRef>
              <c:f>'3.10'!$B$18:$B$21</c:f>
              <c:numCache>
                <c:formatCode>0.00</c:formatCode>
                <c:ptCount val="4"/>
                <c:pt idx="0">
                  <c:v>0.09</c:v>
                </c:pt>
                <c:pt idx="1">
                  <c:v>0.11</c:v>
                </c:pt>
                <c:pt idx="2">
                  <c:v>0.13</c:v>
                </c:pt>
                <c:pt idx="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7-454E-B45E-696B4418A032}"/>
            </c:ext>
          </c:extLst>
        </c:ser>
        <c:ser>
          <c:idx val="1"/>
          <c:order val="1"/>
          <c:tx>
            <c:v>T теор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'3.10'!$A$18:$A$21</c:f>
              <c:numCache>
                <c:formatCode>0.000</c:formatCode>
                <c:ptCount val="4"/>
                <c:pt idx="0">
                  <c:v>2.1999999999999999E-2</c:v>
                </c:pt>
                <c:pt idx="1">
                  <c:v>3.3000000000000002E-2</c:v>
                </c:pt>
                <c:pt idx="2">
                  <c:v>4.7E-2</c:v>
                </c:pt>
                <c:pt idx="3">
                  <c:v>0.47</c:v>
                </c:pt>
              </c:numCache>
            </c:numRef>
          </c:cat>
          <c:val>
            <c:numRef>
              <c:f>'3.10'!$C$18:$C$21</c:f>
              <c:numCache>
                <c:formatCode>0.00</c:formatCode>
                <c:ptCount val="4"/>
                <c:pt idx="0">
                  <c:v>9.3245544208644601E-2</c:v>
                </c:pt>
                <c:pt idx="1">
                  <c:v>0.11423317666022971</c:v>
                </c:pt>
                <c:pt idx="2">
                  <c:v>0.1363751280778239</c:v>
                </c:pt>
                <c:pt idx="3">
                  <c:v>0.43585945784158514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6-44C4-A364-7F23FB023611}"/>
            </c:ext>
          </c:extLst>
        </c:ser>
        <c:ser>
          <c:idx val="2"/>
          <c:order val="2"/>
          <c:tx>
            <c:v>T Томпсона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'3.10'!$A$18:$A$21</c:f>
              <c:numCache>
                <c:formatCode>0.000</c:formatCode>
                <c:ptCount val="4"/>
                <c:pt idx="0">
                  <c:v>2.1999999999999999E-2</c:v>
                </c:pt>
                <c:pt idx="1">
                  <c:v>3.3000000000000002E-2</c:v>
                </c:pt>
                <c:pt idx="2">
                  <c:v>4.7E-2</c:v>
                </c:pt>
                <c:pt idx="3">
                  <c:v>0.47</c:v>
                </c:pt>
              </c:numCache>
            </c:numRef>
          </c:cat>
          <c:val>
            <c:numRef>
              <c:f>'3.10'!$E$18:$E$21</c:f>
              <c:numCache>
                <c:formatCode>0.00</c:formatCode>
                <c:ptCount val="4"/>
                <c:pt idx="0">
                  <c:v>9.3194698738493897E-2</c:v>
                </c:pt>
                <c:pt idx="1">
                  <c:v>0.11413972932085459</c:v>
                </c:pt>
                <c:pt idx="2">
                  <c:v>0.13621621149499052</c:v>
                </c:pt>
                <c:pt idx="3">
                  <c:v>0.43075348256337975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6-44C4-A364-7F23FB023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178904"/>
        <c:axId val="1539053592"/>
      </c:lineChart>
      <c:catAx>
        <c:axId val="167117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ru-RU"/>
                  <a:t>, мкФ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53592"/>
        <c:crossesAt val="5.000000000000001E-3"/>
        <c:auto val="1"/>
        <c:lblAlgn val="ctr"/>
        <c:lblOffset val="100"/>
        <c:tickMarkSkip val="1"/>
        <c:noMultiLvlLbl val="0"/>
      </c:catAx>
      <c:valAx>
        <c:axId val="153905359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1178904"/>
        <c:crosses val="autoZero"/>
        <c:crossBetween val="midCat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</a:t>
            </a:r>
            <a:r>
              <a:rPr lang="ru-RU" baseline="0"/>
              <a:t>эксп </a:t>
            </a:r>
            <a:r>
              <a:rPr lang="ru-RU"/>
              <a:t>(мс)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эксп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'3.10'!$A$18:$A$21</c:f>
              <c:numCache>
                <c:formatCode>0.000</c:formatCode>
                <c:ptCount val="4"/>
                <c:pt idx="0">
                  <c:v>2.1999999999999999E-2</c:v>
                </c:pt>
                <c:pt idx="1">
                  <c:v>3.3000000000000002E-2</c:v>
                </c:pt>
                <c:pt idx="2">
                  <c:v>4.7E-2</c:v>
                </c:pt>
                <c:pt idx="3">
                  <c:v>0.47</c:v>
                </c:pt>
              </c:numCache>
            </c:numRef>
          </c:xVal>
          <c:yVal>
            <c:numRef>
              <c:f>'3.10'!$B$18:$B$21</c:f>
              <c:numCache>
                <c:formatCode>0.00</c:formatCode>
                <c:ptCount val="4"/>
                <c:pt idx="0">
                  <c:v>0.09</c:v>
                </c:pt>
                <c:pt idx="1">
                  <c:v>0.11</c:v>
                </c:pt>
                <c:pt idx="2">
                  <c:v>0.13</c:v>
                </c:pt>
                <c:pt idx="3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D-4887-9A91-170932A878CD}"/>
            </c:ext>
          </c:extLst>
        </c:ser>
        <c:ser>
          <c:idx val="1"/>
          <c:order val="1"/>
          <c:tx>
            <c:v>T теор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'3.10'!$A$18:$A$21</c:f>
              <c:numCache>
                <c:formatCode>0.000</c:formatCode>
                <c:ptCount val="4"/>
                <c:pt idx="0">
                  <c:v>2.1999999999999999E-2</c:v>
                </c:pt>
                <c:pt idx="1">
                  <c:v>3.3000000000000002E-2</c:v>
                </c:pt>
                <c:pt idx="2">
                  <c:v>4.7E-2</c:v>
                </c:pt>
                <c:pt idx="3">
                  <c:v>0.47</c:v>
                </c:pt>
              </c:numCache>
            </c:numRef>
          </c:xVal>
          <c:yVal>
            <c:numRef>
              <c:f>'3.10'!$C$18:$C$21</c:f>
              <c:numCache>
                <c:formatCode>0.00</c:formatCode>
                <c:ptCount val="4"/>
                <c:pt idx="0">
                  <c:v>9.3245544208644601E-2</c:v>
                </c:pt>
                <c:pt idx="1">
                  <c:v>0.11423317666022971</c:v>
                </c:pt>
                <c:pt idx="2">
                  <c:v>0.1363751280778239</c:v>
                </c:pt>
                <c:pt idx="3">
                  <c:v>0.43585945784158514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D-4887-9A91-170932A878CD}"/>
            </c:ext>
          </c:extLst>
        </c:ser>
        <c:ser>
          <c:idx val="2"/>
          <c:order val="2"/>
          <c:tx>
            <c:v>T Томпсона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'3.10'!$A$18:$A$21</c:f>
              <c:numCache>
                <c:formatCode>0.000</c:formatCode>
                <c:ptCount val="4"/>
                <c:pt idx="0">
                  <c:v>2.1999999999999999E-2</c:v>
                </c:pt>
                <c:pt idx="1">
                  <c:v>3.3000000000000002E-2</c:v>
                </c:pt>
                <c:pt idx="2">
                  <c:v>4.7E-2</c:v>
                </c:pt>
                <c:pt idx="3">
                  <c:v>0.47</c:v>
                </c:pt>
              </c:numCache>
            </c:numRef>
          </c:xVal>
          <c:yVal>
            <c:numRef>
              <c:f>'3.10'!$E$18:$E$21</c:f>
              <c:numCache>
                <c:formatCode>0.00</c:formatCode>
                <c:ptCount val="4"/>
                <c:pt idx="0">
                  <c:v>9.3194698738493897E-2</c:v>
                </c:pt>
                <c:pt idx="1">
                  <c:v>0.11413972932085459</c:v>
                </c:pt>
                <c:pt idx="2">
                  <c:v>0.13621621149499052</c:v>
                </c:pt>
                <c:pt idx="3">
                  <c:v>0.43075348256337975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5D-4887-9A91-170932A8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178904"/>
        <c:axId val="1539053592"/>
      </c:scatterChart>
      <c:valAx>
        <c:axId val="1671178904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ru-RU"/>
                  <a:t>, мкФ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53592"/>
        <c:crosses val="autoZero"/>
        <c:crossBetween val="midCat"/>
        <c:majorUnit val="5.000000000000001E-2"/>
        <c:minorUnit val="5.000000000000001E-2"/>
      </c:valAx>
      <c:valAx>
        <c:axId val="153905359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1178904"/>
        <c:crosses val="autoZero"/>
        <c:crossBetween val="midCat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371228</xdr:colOff>
      <xdr:row>18</xdr:row>
      <xdr:rowOff>23368</xdr:rowOff>
    </xdr:from>
    <xdr:to>
      <xdr:col>17</xdr:col>
      <xdr:colOff>572575</xdr:colOff>
      <xdr:row>35</xdr:row>
      <xdr:rowOff>51032</xdr:rowOff>
    </xdr:to>
    <xdr:graphicFrame macro="">
      <xdr:nvGraphicFramePr>
        <xdr:cNvPr id="69" name="Диаграмма 1">
          <a:extLst>
            <a:ext uri="{FF2B5EF4-FFF2-40B4-BE49-F238E27FC236}">
              <a16:creationId xmlns:a16="http://schemas.microsoft.com/office/drawing/2014/main" id="{BF61CBC0-1B3E-416C-843A-B4F320314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14006</xdr:colOff>
      <xdr:row>18</xdr:row>
      <xdr:rowOff>3921</xdr:rowOff>
    </xdr:from>
    <xdr:to>
      <xdr:col>27</xdr:col>
      <xdr:colOff>421542</xdr:colOff>
      <xdr:row>35</xdr:row>
      <xdr:rowOff>28784</xdr:rowOff>
    </xdr:to>
    <xdr:graphicFrame macro="">
      <xdr:nvGraphicFramePr>
        <xdr:cNvPr id="24" name="Диаграмма 1">
          <a:extLst>
            <a:ext uri="{FF2B5EF4-FFF2-40B4-BE49-F238E27FC236}">
              <a16:creationId xmlns:a16="http://schemas.microsoft.com/office/drawing/2014/main" id="{B6A1AED2-B735-4F1E-AFBF-086B1B35ACB3}"/>
            </a:ext>
            <a:ext uri="{147F2762-F138-4A5C-976F-8EAC2B608ADB}">
              <a16:predDERef xmlns:a16="http://schemas.microsoft.com/office/drawing/2014/main" pred="{43C3D16C-9480-4B5E-92C6-A5CA2224B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143242</xdr:colOff>
      <xdr:row>17</xdr:row>
      <xdr:rowOff>183771</xdr:rowOff>
    </xdr:from>
    <xdr:to>
      <xdr:col>37</xdr:col>
      <xdr:colOff>233083</xdr:colOff>
      <xdr:row>34</xdr:row>
      <xdr:rowOff>147916</xdr:rowOff>
    </xdr:to>
    <xdr:graphicFrame macro="">
      <xdr:nvGraphicFramePr>
        <xdr:cNvPr id="53" name="Диаграмма 1">
          <a:extLst>
            <a:ext uri="{FF2B5EF4-FFF2-40B4-BE49-F238E27FC236}">
              <a16:creationId xmlns:a16="http://schemas.microsoft.com/office/drawing/2014/main" id="{5782DBC6-5557-48D5-B260-2CA29A77C9F5}"/>
            </a:ext>
            <a:ext uri="{147F2762-F138-4A5C-976F-8EAC2B608ADB}">
              <a16:predDERef xmlns:a16="http://schemas.microsoft.com/office/drawing/2014/main" pred="{B6A1AED2-B735-4F1E-AFBF-086B1B35A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188260</xdr:colOff>
      <xdr:row>25</xdr:row>
      <xdr:rowOff>4483</xdr:rowOff>
    </xdr:from>
    <xdr:ext cx="4107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9D0324C-2BD9-4A10-AE24-5C687B687EED}"/>
                </a:ext>
              </a:extLst>
            </xdr:cNvPr>
            <xdr:cNvSpPr txBox="1"/>
          </xdr:nvSpPr>
          <xdr:spPr>
            <a:xfrm>
              <a:off x="1447801" y="4598895"/>
              <a:ext cx="4107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9D0324C-2BD9-4A10-AE24-5C687B687EED}"/>
                </a:ext>
              </a:extLst>
            </xdr:cNvPr>
            <xdr:cNvSpPr txBox="1"/>
          </xdr:nvSpPr>
          <xdr:spPr>
            <a:xfrm>
              <a:off x="1447801" y="4598895"/>
              <a:ext cx="4107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150158</xdr:colOff>
      <xdr:row>24</xdr:row>
      <xdr:rowOff>177052</xdr:rowOff>
    </xdr:from>
    <xdr:ext cx="4078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9BBE1ED8-23C8-4A1D-AB3A-63C898C74235}"/>
                </a:ext>
              </a:extLst>
            </xdr:cNvPr>
            <xdr:cNvSpPr txBox="1"/>
          </xdr:nvSpPr>
          <xdr:spPr>
            <a:xfrm>
              <a:off x="728382" y="4587687"/>
              <a:ext cx="4078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</m:t>
                    </m:r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Гц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9BBE1ED8-23C8-4A1D-AB3A-63C898C74235}"/>
                </a:ext>
              </a:extLst>
            </xdr:cNvPr>
            <xdr:cNvSpPr txBox="1"/>
          </xdr:nvSpPr>
          <xdr:spPr>
            <a:xfrm>
              <a:off x="728382" y="4587687"/>
              <a:ext cx="4078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Гц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177052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3790FFF-C2D5-42F3-B2D5-D7218FFDD48F}"/>
            </a:ext>
          </a:extLst>
        </xdr:cNvPr>
        <xdr:cNvSpPr txBox="1"/>
      </xdr:nvSpPr>
      <xdr:spPr>
        <a:xfrm>
          <a:off x="0" y="1323615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28</xdr:col>
      <xdr:colOff>130629</xdr:colOff>
      <xdr:row>17</xdr:row>
      <xdr:rowOff>163286</xdr:rowOff>
    </xdr:from>
    <xdr:to>
      <xdr:col>37</xdr:col>
      <xdr:colOff>220470</xdr:colOff>
      <xdr:row>34</xdr:row>
      <xdr:rowOff>135051</xdr:rowOff>
    </xdr:to>
    <xdr:graphicFrame macro="">
      <xdr:nvGraphicFramePr>
        <xdr:cNvPr id="11" name="Диаграмма 1">
          <a:extLst>
            <a:ext uri="{FF2B5EF4-FFF2-40B4-BE49-F238E27FC236}">
              <a16:creationId xmlns:a16="http://schemas.microsoft.com/office/drawing/2014/main" id="{864B8084-1889-4FEF-A61A-20A592CF0806}"/>
            </a:ext>
            <a:ext uri="{147F2762-F138-4A5C-976F-8EAC2B608ADB}">
              <a16:predDERef xmlns:a16="http://schemas.microsoft.com/office/drawing/2014/main" pred="{B6A1AED2-B735-4F1E-AFBF-086B1B35A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4A9E-06F7-4483-9A1F-E7C3961FE8B3}">
  <dimension ref="A1:AL36"/>
  <sheetViews>
    <sheetView tabSelected="1" topLeftCell="N1" zoomScaleNormal="100" workbookViewId="0">
      <selection activeCell="P15" sqref="P15:Q16"/>
    </sheetView>
  </sheetViews>
  <sheetFormatPr defaultColWidth="8.85546875" defaultRowHeight="14.25" x14ac:dyDescent="0.2"/>
  <cols>
    <col min="1" max="1" width="10.85546875" style="5" customWidth="1"/>
    <col min="2" max="2" width="9.42578125" style="5" customWidth="1"/>
    <col min="3" max="3" width="10.28515625" style="5" customWidth="1"/>
    <col min="4" max="4" width="11" style="5" customWidth="1"/>
    <col min="5" max="5" width="16.7109375" style="5" customWidth="1"/>
    <col min="6" max="6" width="5.85546875" style="5" customWidth="1"/>
    <col min="7" max="7" width="6.140625" style="5" customWidth="1"/>
    <col min="8" max="8" width="9.5703125" style="5" customWidth="1"/>
    <col min="9" max="9" width="7" style="5" customWidth="1"/>
    <col min="10" max="10" width="12.85546875" style="5" customWidth="1"/>
    <col min="11" max="11" width="8.85546875" style="5"/>
    <col min="12" max="12" width="9.42578125" style="5" bestFit="1" customWidth="1"/>
    <col min="13" max="13" width="13.140625" style="5" customWidth="1"/>
    <col min="14" max="14" width="15.42578125" style="5" customWidth="1"/>
    <col min="15" max="16384" width="8.85546875" style="5"/>
  </cols>
  <sheetData>
    <row r="1" spans="1:21" x14ac:dyDescent="0.2">
      <c r="A1" s="1" t="s">
        <v>0</v>
      </c>
      <c r="B1" s="1" t="s">
        <v>25</v>
      </c>
      <c r="C1" s="1" t="s">
        <v>40</v>
      </c>
      <c r="D1" s="1" t="s">
        <v>41</v>
      </c>
      <c r="E1" s="1" t="s">
        <v>1</v>
      </c>
      <c r="F1" s="1" t="s">
        <v>2</v>
      </c>
      <c r="G1" s="2" t="s">
        <v>3</v>
      </c>
      <c r="H1" s="3" t="s">
        <v>4</v>
      </c>
      <c r="I1" s="3" t="s">
        <v>5</v>
      </c>
      <c r="J1" s="2" t="s">
        <v>3</v>
      </c>
      <c r="K1" s="4" t="s">
        <v>6</v>
      </c>
      <c r="L1" s="4" t="s">
        <v>7</v>
      </c>
      <c r="M1" s="4" t="s">
        <v>8</v>
      </c>
      <c r="N1" s="4" t="s">
        <v>9</v>
      </c>
      <c r="P1" s="3" t="s">
        <v>10</v>
      </c>
      <c r="Q1" s="3" t="s">
        <v>11</v>
      </c>
    </row>
    <row r="2" spans="1:21" x14ac:dyDescent="0.2">
      <c r="A2" s="1">
        <v>0</v>
      </c>
      <c r="B2" s="1">
        <v>0.09</v>
      </c>
      <c r="C2" s="41">
        <v>5.4</v>
      </c>
      <c r="D2" s="6">
        <v>1.9</v>
      </c>
      <c r="E2" s="1">
        <v>3</v>
      </c>
      <c r="F2" s="6">
        <f>LN(C2/D2)/E2</f>
        <v>0.34818168913261133</v>
      </c>
      <c r="G2" s="7">
        <f>(2*PI())/(1-EXP(-2*F2))</f>
        <v>12.526148758855657</v>
      </c>
      <c r="H2" s="44">
        <f>A2+$I$17</f>
        <v>44.523216447159072</v>
      </c>
      <c r="I2" s="8">
        <f>$I$18*PI()*PI()*H2*H2/(F2*F2)*1000</f>
        <v>3.5504518946590244</v>
      </c>
      <c r="J2" s="9">
        <f>1/H2*SQRT(I2/($I$18*10^3))</f>
        <v>9.0228543075200633</v>
      </c>
      <c r="K2" s="10">
        <f>A2-$L$15</f>
        <v>-50</v>
      </c>
      <c r="L2" s="10">
        <f>F2-$L$16</f>
        <v>-0.29188621784908048</v>
      </c>
      <c r="M2" s="10">
        <f>(A2-$L$15)^2</f>
        <v>2500</v>
      </c>
      <c r="N2" s="10">
        <f>K2*L2</f>
        <v>14.594310892454024</v>
      </c>
      <c r="O2" s="11"/>
      <c r="P2" s="8">
        <f t="shared" ref="P2:P11" si="0">I2-$I$19</f>
        <v>-1.1947655752026045</v>
      </c>
      <c r="Q2" s="8">
        <f>P2^2</f>
        <v>1.4274647796892104</v>
      </c>
    </row>
    <row r="3" spans="1:21" x14ac:dyDescent="0.2">
      <c r="A3" s="12">
        <v>10</v>
      </c>
      <c r="B3" s="12">
        <v>0.09</v>
      </c>
      <c r="C3" s="42">
        <v>5</v>
      </c>
      <c r="D3" s="13">
        <v>1.6</v>
      </c>
      <c r="E3" s="1">
        <v>3</v>
      </c>
      <c r="F3" s="6">
        <f>LN(C3/D3)/E3</f>
        <v>0.37981142772945492</v>
      </c>
      <c r="G3" s="7">
        <f t="shared" ref="G3:G15" si="1">(2*PI())/(1-EXP(-2*F3))</f>
        <v>11.80701070509369</v>
      </c>
      <c r="H3" s="44">
        <f t="shared" ref="H3:H15" si="2">A3+$I$17</f>
        <v>54.523216447159072</v>
      </c>
      <c r="I3" s="8">
        <f t="shared" ref="I3:I14" si="3">$I$18*PI()*PI()*H3*H3/(F3*F3)*1000</f>
        <v>4.4745493968875802</v>
      </c>
      <c r="J3" s="9">
        <f>1/H3*SQRT(I3/($I$18*10^3))</f>
        <v>8.2714537378996251</v>
      </c>
      <c r="K3" s="10">
        <f>A3-$L$15</f>
        <v>-40</v>
      </c>
      <c r="L3" s="10">
        <f t="shared" ref="L3:L11" si="4">F3-$L$16</f>
        <v>-0.26025647925223688</v>
      </c>
      <c r="M3" s="10">
        <f t="shared" ref="M3:M10" si="5">(A3-$L$15)^2</f>
        <v>1600</v>
      </c>
      <c r="N3" s="10">
        <f>K3*L3</f>
        <v>10.410259170089475</v>
      </c>
      <c r="O3" s="11"/>
      <c r="P3" s="8">
        <f t="shared" si="0"/>
        <v>-0.27066807297404871</v>
      </c>
      <c r="Q3" s="8">
        <f>P3^2</f>
        <v>7.3261205727484957E-2</v>
      </c>
      <c r="U3" s="14" t="s">
        <v>29</v>
      </c>
    </row>
    <row r="4" spans="1:21" x14ac:dyDescent="0.2">
      <c r="A4" s="12">
        <v>20</v>
      </c>
      <c r="B4" s="12">
        <v>0.09</v>
      </c>
      <c r="C4" s="42">
        <v>4.5999999999999996</v>
      </c>
      <c r="D4" s="13">
        <v>1.2</v>
      </c>
      <c r="E4" s="1">
        <v>3</v>
      </c>
      <c r="F4" s="6">
        <f t="shared" ref="F4:F15" si="6">LN(C4/D4)/E4</f>
        <v>0.44791158223369826</v>
      </c>
      <c r="G4" s="7">
        <f t="shared" si="1"/>
        <v>10.618356381989813</v>
      </c>
      <c r="H4" s="44">
        <f t="shared" si="2"/>
        <v>64.523216447159072</v>
      </c>
      <c r="I4" s="8">
        <f>$I$18*PI()*PI()*H4*H4/(F4*F4)*1000</f>
        <v>4.5057787033971524</v>
      </c>
      <c r="J4" s="15"/>
      <c r="K4" s="10">
        <f t="shared" ref="K4:K11" si="7">A4-$L$15</f>
        <v>-30</v>
      </c>
      <c r="L4" s="10">
        <f t="shared" si="4"/>
        <v>-0.19215632474799355</v>
      </c>
      <c r="M4" s="10">
        <f t="shared" si="5"/>
        <v>900</v>
      </c>
      <c r="N4" s="10">
        <f>K4*L4</f>
        <v>5.7646897424398063</v>
      </c>
      <c r="O4" s="11"/>
      <c r="P4" s="8">
        <f t="shared" si="0"/>
        <v>-0.23943876646447659</v>
      </c>
      <c r="Q4" s="8">
        <f t="shared" ref="Q4:Q12" si="8">P4^2</f>
        <v>5.7330922886030158E-2</v>
      </c>
      <c r="U4" s="16" t="s">
        <v>30</v>
      </c>
    </row>
    <row r="5" spans="1:21" x14ac:dyDescent="0.2">
      <c r="A5" s="12">
        <v>30</v>
      </c>
      <c r="B5" s="12">
        <v>0.09</v>
      </c>
      <c r="C5" s="42">
        <v>4.4000000000000004</v>
      </c>
      <c r="D5" s="13">
        <v>0.9</v>
      </c>
      <c r="E5" s="1">
        <v>3</v>
      </c>
      <c r="F5" s="6">
        <f t="shared" si="6"/>
        <v>0.52898835219401397</v>
      </c>
      <c r="G5" s="7">
        <f t="shared" si="1"/>
        <v>9.6243509437835577</v>
      </c>
      <c r="H5" s="44">
        <f t="shared" si="2"/>
        <v>74.523216447159072</v>
      </c>
      <c r="I5" s="8">
        <f t="shared" si="3"/>
        <v>4.3093660834975287</v>
      </c>
      <c r="J5" s="17"/>
      <c r="K5" s="10">
        <f t="shared" si="7"/>
        <v>-20</v>
      </c>
      <c r="L5" s="10">
        <f t="shared" si="4"/>
        <v>-0.11107955478767784</v>
      </c>
      <c r="M5" s="10">
        <f t="shared" si="5"/>
        <v>400</v>
      </c>
      <c r="N5" s="10">
        <f t="shared" ref="N5:N11" si="9">K5*L5</f>
        <v>2.2215910957535567</v>
      </c>
      <c r="O5" s="11"/>
      <c r="P5" s="8">
        <f t="shared" si="0"/>
        <v>-0.43585138636410026</v>
      </c>
      <c r="Q5" s="8">
        <f t="shared" si="8"/>
        <v>0.1899664309955082</v>
      </c>
      <c r="U5" s="18" t="s">
        <v>31</v>
      </c>
    </row>
    <row r="6" spans="1:21" x14ac:dyDescent="0.2">
      <c r="A6" s="12">
        <v>40</v>
      </c>
      <c r="B6" s="12">
        <v>0.09</v>
      </c>
      <c r="C6" s="42">
        <v>4</v>
      </c>
      <c r="D6" s="13">
        <v>0.8</v>
      </c>
      <c r="E6" s="1">
        <v>3</v>
      </c>
      <c r="F6" s="6">
        <f t="shared" si="6"/>
        <v>0.53647930414470013</v>
      </c>
      <c r="G6" s="7">
        <f t="shared" si="1"/>
        <v>9.5488440287128693</v>
      </c>
      <c r="H6" s="44">
        <f t="shared" si="2"/>
        <v>84.523216447159072</v>
      </c>
      <c r="I6" s="8">
        <f t="shared" si="3"/>
        <v>5.389748636818223</v>
      </c>
      <c r="J6" s="17"/>
      <c r="K6" s="10">
        <f t="shared" si="7"/>
        <v>-10</v>
      </c>
      <c r="L6" s="10">
        <f t="shared" si="4"/>
        <v>-0.10358860283699167</v>
      </c>
      <c r="M6" s="10">
        <f t="shared" si="5"/>
        <v>100</v>
      </c>
      <c r="N6" s="10">
        <f t="shared" si="9"/>
        <v>1.0358860283699167</v>
      </c>
      <c r="O6" s="11"/>
      <c r="P6" s="8">
        <f t="shared" si="0"/>
        <v>0.64453116695659407</v>
      </c>
      <c r="Q6" s="8">
        <f t="shared" si="8"/>
        <v>0.41542042517842892</v>
      </c>
      <c r="U6" s="19" t="s">
        <v>32</v>
      </c>
    </row>
    <row r="7" spans="1:21" x14ac:dyDescent="0.2">
      <c r="A7" s="12">
        <v>50</v>
      </c>
      <c r="B7" s="12">
        <v>0.09</v>
      </c>
      <c r="C7" s="42">
        <v>3.8</v>
      </c>
      <c r="D7" s="13">
        <v>0.6</v>
      </c>
      <c r="E7" s="1">
        <v>3</v>
      </c>
      <c r="F7" s="6">
        <f>LN(C7/D7)/E7</f>
        <v>0.61527556349944357</v>
      </c>
      <c r="G7" s="7">
        <f t="shared" si="1"/>
        <v>8.8762045335270106</v>
      </c>
      <c r="H7" s="44">
        <f t="shared" si="2"/>
        <v>94.523216447159072</v>
      </c>
      <c r="I7" s="8">
        <f t="shared" si="3"/>
        <v>5.124601217211298</v>
      </c>
      <c r="J7" s="17"/>
      <c r="K7" s="10">
        <f>A7-$L$15</f>
        <v>0</v>
      </c>
      <c r="L7" s="10">
        <f t="shared" si="4"/>
        <v>-2.4792343482248236E-2</v>
      </c>
      <c r="M7" s="10">
        <f t="shared" si="5"/>
        <v>0</v>
      </c>
      <c r="N7" s="10">
        <f t="shared" si="9"/>
        <v>0</v>
      </c>
      <c r="O7" s="11"/>
      <c r="P7" s="8">
        <f t="shared" si="0"/>
        <v>0.37938374734966906</v>
      </c>
      <c r="Q7" s="8">
        <f t="shared" si="8"/>
        <v>0.14393202775307753</v>
      </c>
      <c r="U7" s="20" t="s">
        <v>33</v>
      </c>
    </row>
    <row r="8" spans="1:21" x14ac:dyDescent="0.2">
      <c r="A8" s="12">
        <v>60</v>
      </c>
      <c r="B8" s="12">
        <v>0.09</v>
      </c>
      <c r="C8" s="42">
        <v>3.6</v>
      </c>
      <c r="D8" s="13">
        <v>0.5</v>
      </c>
      <c r="E8" s="1">
        <v>3</v>
      </c>
      <c r="F8" s="6">
        <f>LN(C8/D8)/E8</f>
        <v>0.65802700867400321</v>
      </c>
      <c r="G8" s="7">
        <f t="shared" si="1"/>
        <v>8.5858325920848539</v>
      </c>
      <c r="H8" s="44">
        <f t="shared" si="2"/>
        <v>104.52321644715907</v>
      </c>
      <c r="I8" s="8">
        <f t="shared" si="3"/>
        <v>5.4784855223690334</v>
      </c>
      <c r="J8" s="17"/>
      <c r="K8" s="10">
        <f t="shared" si="7"/>
        <v>10</v>
      </c>
      <c r="L8" s="10">
        <f t="shared" si="4"/>
        <v>1.7959101692311408E-2</v>
      </c>
      <c r="M8" s="10">
        <f t="shared" si="5"/>
        <v>100</v>
      </c>
      <c r="N8" s="10">
        <f t="shared" si="9"/>
        <v>0.17959101692311408</v>
      </c>
      <c r="O8" s="11"/>
      <c r="P8" s="8">
        <f t="shared" si="0"/>
        <v>0.73326805250740446</v>
      </c>
      <c r="Q8" s="8">
        <f t="shared" si="8"/>
        <v>0.53768203682800164</v>
      </c>
      <c r="U8" s="21" t="s">
        <v>34</v>
      </c>
    </row>
    <row r="9" spans="1:21" x14ac:dyDescent="0.2">
      <c r="A9" s="12">
        <v>70</v>
      </c>
      <c r="B9" s="12">
        <v>0.09</v>
      </c>
      <c r="C9" s="42">
        <v>3.4</v>
      </c>
      <c r="D9" s="13">
        <v>0.4</v>
      </c>
      <c r="E9" s="1">
        <v>3</v>
      </c>
      <c r="F9" s="6">
        <f t="shared" si="6"/>
        <v>0.71335538783209029</v>
      </c>
      <c r="G9" s="7">
        <f t="shared" si="1"/>
        <v>8.2684083034434526</v>
      </c>
      <c r="H9" s="44">
        <f t="shared" si="2"/>
        <v>114.52321644715907</v>
      </c>
      <c r="I9" s="8">
        <f>$I$18*PI()*PI()*H9*H9/(F9*F9)*1000</f>
        <v>5.5962564583193348</v>
      </c>
      <c r="J9" s="17"/>
      <c r="K9" s="10">
        <f t="shared" si="7"/>
        <v>20</v>
      </c>
      <c r="L9" s="10">
        <f>F9-$L$16</f>
        <v>7.328748085039849E-2</v>
      </c>
      <c r="M9" s="10">
        <f t="shared" si="5"/>
        <v>400</v>
      </c>
      <c r="N9" s="10">
        <f t="shared" si="9"/>
        <v>1.4657496170079698</v>
      </c>
      <c r="O9" s="11"/>
      <c r="P9" s="8">
        <f t="shared" si="0"/>
        <v>0.85103898845770587</v>
      </c>
      <c r="Q9" s="8">
        <f t="shared" si="8"/>
        <v>0.72426735987511526</v>
      </c>
      <c r="U9" s="22" t="s">
        <v>39</v>
      </c>
    </row>
    <row r="10" spans="1:21" x14ac:dyDescent="0.2">
      <c r="A10" s="12">
        <v>80</v>
      </c>
      <c r="B10" s="12">
        <v>0.09</v>
      </c>
      <c r="C10" s="42">
        <v>3.3</v>
      </c>
      <c r="D10" s="13">
        <v>0.3</v>
      </c>
      <c r="E10" s="1">
        <v>3</v>
      </c>
      <c r="F10" s="6">
        <f t="shared" si="6"/>
        <v>0.79929842426612352</v>
      </c>
      <c r="G10" s="7">
        <f t="shared" si="1"/>
        <v>7.8754422952829257</v>
      </c>
      <c r="H10" s="44">
        <f t="shared" si="2"/>
        <v>124.52321644715907</v>
      </c>
      <c r="I10" s="8">
        <f t="shared" si="3"/>
        <v>5.2699339569996404</v>
      </c>
      <c r="J10" s="17"/>
      <c r="K10" s="10">
        <f>A10-$L$15</f>
        <v>30</v>
      </c>
      <c r="L10" s="10">
        <f t="shared" si="4"/>
        <v>0.15923051728443172</v>
      </c>
      <c r="M10" s="10">
        <f t="shared" si="5"/>
        <v>900</v>
      </c>
      <c r="N10" s="10">
        <f t="shared" si="9"/>
        <v>4.7769155185329515</v>
      </c>
      <c r="O10" s="11"/>
      <c r="P10" s="8">
        <f t="shared" si="0"/>
        <v>0.52471648713801144</v>
      </c>
      <c r="Q10" s="8">
        <f t="shared" si="8"/>
        <v>0.27532739187445493</v>
      </c>
    </row>
    <row r="11" spans="1:21" x14ac:dyDescent="0.2">
      <c r="A11" s="12">
        <v>90</v>
      </c>
      <c r="B11" s="12">
        <v>0.09</v>
      </c>
      <c r="C11" s="42">
        <v>3</v>
      </c>
      <c r="D11" s="13">
        <v>0.2</v>
      </c>
      <c r="E11" s="1">
        <v>3</v>
      </c>
      <c r="F11" s="6">
        <f t="shared" si="6"/>
        <v>0.90268340036740335</v>
      </c>
      <c r="G11" s="7">
        <f t="shared" si="1"/>
        <v>7.519496912395641</v>
      </c>
      <c r="H11" s="44">
        <f t="shared" si="2"/>
        <v>134.52321644715909</v>
      </c>
      <c r="I11" s="8">
        <f t="shared" si="3"/>
        <v>4.8222086671104201</v>
      </c>
      <c r="J11" s="17"/>
      <c r="K11" s="10">
        <f t="shared" si="7"/>
        <v>40</v>
      </c>
      <c r="L11" s="10">
        <f t="shared" si="4"/>
        <v>0.26261549338571155</v>
      </c>
      <c r="M11" s="10">
        <f>(A11-$L$15)^2</f>
        <v>1600</v>
      </c>
      <c r="N11" s="10">
        <f t="shared" si="9"/>
        <v>10.504619735428463</v>
      </c>
      <c r="O11" s="11"/>
      <c r="P11" s="8">
        <f t="shared" si="0"/>
        <v>7.699119724879111E-2</v>
      </c>
      <c r="Q11" s="8">
        <f t="shared" si="8"/>
        <v>5.9276444538022598E-3</v>
      </c>
    </row>
    <row r="12" spans="1:21" x14ac:dyDescent="0.2">
      <c r="A12" s="12">
        <v>100</v>
      </c>
      <c r="B12" s="12">
        <v>0.09</v>
      </c>
      <c r="C12" s="42">
        <v>2.8</v>
      </c>
      <c r="D12" s="13">
        <v>0.1</v>
      </c>
      <c r="E12" s="1">
        <v>3</v>
      </c>
      <c r="F12" s="6">
        <f t="shared" si="6"/>
        <v>1.110734836725068</v>
      </c>
      <c r="G12" s="7">
        <f t="shared" si="1"/>
        <v>7.0474819487938829</v>
      </c>
      <c r="H12" s="44">
        <f t="shared" si="2"/>
        <v>144.52321644715909</v>
      </c>
      <c r="I12" s="8">
        <f t="shared" si="3"/>
        <v>3.6760116312086932</v>
      </c>
      <c r="J12" s="17"/>
      <c r="K12" s="10">
        <f>A12-$L$15</f>
        <v>50</v>
      </c>
      <c r="L12" s="10">
        <f>F12-$L$16</f>
        <v>0.47066692974337621</v>
      </c>
      <c r="M12" s="10">
        <f>(A12-$L$15)^2</f>
        <v>2500</v>
      </c>
      <c r="N12" s="10">
        <f>K12*L12</f>
        <v>23.53334648716881</v>
      </c>
      <c r="O12" s="11"/>
      <c r="P12" s="45">
        <f>I12-$I$19</f>
        <v>-1.0692058386529357</v>
      </c>
      <c r="Q12" s="45">
        <f t="shared" si="8"/>
        <v>1.1432011254095276</v>
      </c>
    </row>
    <row r="13" spans="1:21" x14ac:dyDescent="0.2">
      <c r="A13" s="12">
        <v>200</v>
      </c>
      <c r="B13" s="12">
        <v>0.09</v>
      </c>
      <c r="C13" s="42">
        <v>1.6</v>
      </c>
      <c r="D13" s="13">
        <v>0.4</v>
      </c>
      <c r="E13" s="12">
        <v>2</v>
      </c>
      <c r="F13" s="6">
        <f t="shared" si="6"/>
        <v>0.69314718055994529</v>
      </c>
      <c r="G13" s="7">
        <f t="shared" si="1"/>
        <v>8.3775804095727811</v>
      </c>
      <c r="H13" s="44">
        <f t="shared" si="2"/>
        <v>244.52321644715909</v>
      </c>
      <c r="I13" s="8">
        <f t="shared" si="3"/>
        <v>27.021640005062611</v>
      </c>
      <c r="J13" s="17"/>
      <c r="P13" s="46" t="s">
        <v>14</v>
      </c>
      <c r="Q13" s="46">
        <v>0.21</v>
      </c>
    </row>
    <row r="14" spans="1:21" x14ac:dyDescent="0.2">
      <c r="A14" s="12">
        <v>300</v>
      </c>
      <c r="B14" s="12">
        <v>0.09</v>
      </c>
      <c r="C14" s="42">
        <v>0.9</v>
      </c>
      <c r="D14" s="13">
        <v>0.15</v>
      </c>
      <c r="E14" s="12">
        <v>2</v>
      </c>
      <c r="F14" s="6">
        <f t="shared" si="6"/>
        <v>0.89587973461402748</v>
      </c>
      <c r="G14" s="7">
        <f t="shared" si="1"/>
        <v>7.5398223686155044</v>
      </c>
      <c r="H14" s="44">
        <f t="shared" si="2"/>
        <v>344.52321644715909</v>
      </c>
      <c r="I14" s="8">
        <f t="shared" si="3"/>
        <v>32.111455205184519</v>
      </c>
      <c r="J14" s="17"/>
      <c r="P14" s="47" t="s">
        <v>17</v>
      </c>
      <c r="Q14" s="47">
        <v>0.48</v>
      </c>
    </row>
    <row r="15" spans="1:21" x14ac:dyDescent="0.2">
      <c r="A15" s="12">
        <v>400</v>
      </c>
      <c r="B15" s="12">
        <v>0.09</v>
      </c>
      <c r="C15" s="42">
        <v>0.6</v>
      </c>
      <c r="D15" s="13">
        <v>0.1</v>
      </c>
      <c r="E15" s="12">
        <v>2</v>
      </c>
      <c r="F15" s="6">
        <f t="shared" si="6"/>
        <v>0.89587973461402748</v>
      </c>
      <c r="G15" s="7">
        <f t="shared" si="1"/>
        <v>7.5398223686155044</v>
      </c>
      <c r="H15" s="44">
        <f t="shared" si="2"/>
        <v>444.52321644715909</v>
      </c>
      <c r="I15" s="8">
        <f>$I$18*PI()*PI()*H15*H15/(F15*F15)*1000</f>
        <v>53.457900350081005</v>
      </c>
      <c r="J15" s="17"/>
      <c r="K15" s="4" t="s">
        <v>12</v>
      </c>
      <c r="L15" s="10">
        <f>AVERAGE(A2:A12)</f>
        <v>50</v>
      </c>
      <c r="M15" s="4" t="s">
        <v>13</v>
      </c>
      <c r="N15" s="23">
        <f>L16-L15*N16</f>
        <v>0.30149081923547322</v>
      </c>
      <c r="P15" s="24"/>
      <c r="Q15" s="25">
        <f>SQRT(SUM(Q2:Q12)/110)</f>
        <v>0.21306809305671279</v>
      </c>
    </row>
    <row r="16" spans="1:21" x14ac:dyDescent="0.2">
      <c r="K16" s="4" t="s">
        <v>15</v>
      </c>
      <c r="L16" s="10">
        <f>AVERAGE(F2:F12)</f>
        <v>0.6400679069816918</v>
      </c>
      <c r="M16" s="4" t="s">
        <v>16</v>
      </c>
      <c r="N16" s="23">
        <f>SUM(N2:N12)/SUM(M2:M12)</f>
        <v>6.771541754924372E-3</v>
      </c>
      <c r="P16" s="24" t="s">
        <v>17</v>
      </c>
      <c r="Q16" s="25">
        <f>Q15*2.26</f>
        <v>0.48153389030817084</v>
      </c>
    </row>
    <row r="17" spans="1:38" x14ac:dyDescent="0.2">
      <c r="A17" s="26" t="s">
        <v>23</v>
      </c>
      <c r="B17" s="26" t="s">
        <v>27</v>
      </c>
      <c r="C17" s="26" t="s">
        <v>26</v>
      </c>
      <c r="D17" s="26" t="s">
        <v>24</v>
      </c>
      <c r="E17" s="26" t="s">
        <v>37</v>
      </c>
      <c r="H17" s="27" t="s">
        <v>18</v>
      </c>
      <c r="I17" s="28">
        <f>N15/N16</f>
        <v>44.523216447159072</v>
      </c>
    </row>
    <row r="18" spans="1:38" x14ac:dyDescent="0.2">
      <c r="A18" s="43">
        <v>2.1999999999999999E-2</v>
      </c>
      <c r="B18" s="29">
        <v>0.09</v>
      </c>
      <c r="C18" s="29">
        <f>(2*PI())/SQRT((1/($I$26*A18*10^(-6)))-($I$17^2)/(4*$I$26^2))*10^3</f>
        <v>9.3245544208644601E-2</v>
      </c>
      <c r="D18" s="30">
        <f>(B18-C18)/C18*100%</f>
        <v>-3.4806426796999884E-2</v>
      </c>
      <c r="E18" s="29">
        <f>2*PI()*SQRT($I$26*A18*10^(-6))*10^3</f>
        <v>9.3194698738493897E-2</v>
      </c>
      <c r="H18" s="31" t="s">
        <v>42</v>
      </c>
      <c r="I18" s="31">
        <f>0.022*10^(-6)</f>
        <v>2.1999999999999998E-8</v>
      </c>
      <c r="L18" s="16"/>
      <c r="M18" s="16"/>
      <c r="N18" s="16"/>
      <c r="O18" s="16"/>
      <c r="P18" s="16"/>
      <c r="Q18" s="16"/>
      <c r="R18" s="16"/>
      <c r="S18" s="16"/>
      <c r="T18" s="21"/>
      <c r="U18" s="21"/>
      <c r="V18" s="21"/>
      <c r="W18" s="21"/>
      <c r="X18" s="21"/>
      <c r="Y18" s="21"/>
      <c r="Z18" s="21"/>
      <c r="AA18" s="21"/>
      <c r="AB18" s="21"/>
      <c r="AC18" s="32"/>
      <c r="AD18" s="32"/>
      <c r="AE18" s="32"/>
      <c r="AF18" s="32"/>
      <c r="AG18" s="32"/>
      <c r="AH18" s="32"/>
      <c r="AI18" s="32"/>
      <c r="AJ18" s="32"/>
      <c r="AK18" s="32"/>
      <c r="AL18" s="32"/>
    </row>
    <row r="19" spans="1:38" x14ac:dyDescent="0.2">
      <c r="A19" s="43">
        <v>3.3000000000000002E-2</v>
      </c>
      <c r="B19" s="29">
        <v>0.11</v>
      </c>
      <c r="C19" s="29">
        <f t="shared" ref="C19:C20" si="10">(2*PI())/SQRT((1/($I$26*A19*10^(-6)))-($I$17^2)/(4*$I$26^2))*10^3</f>
        <v>0.11423317666022971</v>
      </c>
      <c r="D19" s="30">
        <f>(B19-C19)/C19*100%</f>
        <v>-3.7057331188650122E-2</v>
      </c>
      <c r="E19" s="29">
        <f>2*PI()*SQRT($I$26*A19*10^(-6))*10^3</f>
        <v>0.11413972932085459</v>
      </c>
      <c r="H19" s="24" t="s">
        <v>19</v>
      </c>
      <c r="I19" s="25">
        <f>AVERAGE(I2:I12)</f>
        <v>4.745217469861629</v>
      </c>
      <c r="L19" s="16"/>
      <c r="M19" s="16"/>
      <c r="N19" s="16"/>
      <c r="O19" s="16"/>
      <c r="P19" s="16"/>
      <c r="Q19" s="16"/>
      <c r="R19" s="16"/>
      <c r="S19" s="16"/>
      <c r="T19" s="21"/>
      <c r="U19" s="21"/>
      <c r="V19" s="21"/>
      <c r="W19" s="21"/>
      <c r="X19" s="21"/>
      <c r="Y19" s="21"/>
      <c r="Z19" s="21"/>
      <c r="AA19" s="21"/>
      <c r="AB19" s="21"/>
      <c r="AC19" s="32"/>
      <c r="AD19" s="32"/>
      <c r="AE19" s="32"/>
      <c r="AF19" s="32"/>
      <c r="AG19" s="32"/>
      <c r="AH19" s="32"/>
      <c r="AI19" s="32"/>
      <c r="AJ19" s="32"/>
      <c r="AK19" s="32"/>
      <c r="AL19" s="32"/>
    </row>
    <row r="20" spans="1:38" x14ac:dyDescent="0.2">
      <c r="A20" s="43">
        <v>4.7E-2</v>
      </c>
      <c r="B20" s="29">
        <v>0.13</v>
      </c>
      <c r="C20" s="29">
        <f t="shared" si="10"/>
        <v>0.1363751280778239</v>
      </c>
      <c r="D20" s="30">
        <f>(B20-C20)/C20*100%</f>
        <v>-4.6746999747533581E-2</v>
      </c>
      <c r="E20" s="29">
        <f>2*PI()*SQRT($I$26*A20*10^(-6))*10^3</f>
        <v>0.13621621149499052</v>
      </c>
      <c r="L20" s="16"/>
      <c r="M20" s="16"/>
      <c r="N20" s="16"/>
      <c r="O20" s="16"/>
      <c r="P20" s="16"/>
      <c r="Q20" s="16"/>
      <c r="R20" s="16"/>
      <c r="S20" s="16"/>
      <c r="T20" s="21"/>
      <c r="U20" s="21"/>
      <c r="V20" s="21"/>
      <c r="W20" s="21"/>
      <c r="X20" s="21"/>
      <c r="Y20" s="21"/>
      <c r="Z20" s="21"/>
      <c r="AA20" s="21"/>
      <c r="AB20" s="21"/>
      <c r="AC20" s="32"/>
      <c r="AD20" s="32"/>
      <c r="AE20" s="32"/>
      <c r="AF20" s="32"/>
      <c r="AG20" s="32"/>
      <c r="AH20" s="32"/>
      <c r="AI20" s="32"/>
      <c r="AJ20" s="32"/>
      <c r="AK20" s="32"/>
      <c r="AL20" s="32"/>
    </row>
    <row r="21" spans="1:38" x14ac:dyDescent="0.2">
      <c r="A21" s="43">
        <v>0.47</v>
      </c>
      <c r="B21" s="29">
        <v>0.44</v>
      </c>
      <c r="C21" s="29">
        <f>(2*PI())/SQRT((1/($I$26*A21*10^(-6)))-($I$17^2)/(4*$I$26^2))*10^3</f>
        <v>0.43585945784158514</v>
      </c>
      <c r="D21" s="30">
        <f>(B21-C21)/C21*100%</f>
        <v>9.4997185077024485E-3</v>
      </c>
      <c r="E21" s="29">
        <f>2*PI()*SQRT($I$26*A21*10^(-6))*10^3</f>
        <v>0.43075348256337975</v>
      </c>
      <c r="H21" s="33" t="s">
        <v>0</v>
      </c>
      <c r="I21" s="33" t="s">
        <v>4</v>
      </c>
      <c r="J21" s="33" t="s">
        <v>28</v>
      </c>
      <c r="L21" s="16"/>
      <c r="M21" s="16"/>
      <c r="N21" s="16"/>
      <c r="O21" s="16"/>
      <c r="P21" s="16"/>
      <c r="Q21" s="16"/>
      <c r="R21" s="16"/>
      <c r="S21" s="16"/>
      <c r="T21" s="21"/>
      <c r="U21" s="21"/>
      <c r="V21" s="21"/>
      <c r="W21" s="21"/>
      <c r="X21" s="21"/>
      <c r="Y21" s="21"/>
      <c r="Z21" s="21"/>
      <c r="AA21" s="21"/>
      <c r="AB21" s="21"/>
      <c r="AC21" s="32"/>
      <c r="AD21" s="32"/>
      <c r="AE21" s="32"/>
      <c r="AF21" s="32"/>
      <c r="AG21" s="32"/>
      <c r="AH21" s="32"/>
      <c r="AI21" s="32"/>
      <c r="AJ21" s="32"/>
      <c r="AK21" s="32"/>
      <c r="AL21" s="32"/>
    </row>
    <row r="22" spans="1:38" x14ac:dyDescent="0.2">
      <c r="H22" s="33">
        <v>0</v>
      </c>
      <c r="I22" s="34">
        <f>H22+$I$17</f>
        <v>44.523216447159072</v>
      </c>
      <c r="J22" s="34">
        <f>((2*PI())/SQRT((1/($I$26*$I$27))-(I22^2)/(4*$I$26^2))*10^3)</f>
        <v>9.3245544208644601E-2</v>
      </c>
      <c r="L22" s="16"/>
      <c r="M22" s="16"/>
      <c r="N22" s="16"/>
      <c r="O22" s="16"/>
      <c r="P22" s="16"/>
      <c r="Q22" s="16"/>
      <c r="R22" s="16"/>
      <c r="S22" s="16"/>
      <c r="T22" s="21"/>
      <c r="U22" s="21"/>
      <c r="V22" s="21"/>
      <c r="W22" s="21"/>
      <c r="X22" s="21"/>
      <c r="Y22" s="21"/>
      <c r="Z22" s="21"/>
      <c r="AA22" s="21"/>
      <c r="AB22" s="21"/>
      <c r="AC22" s="32"/>
      <c r="AD22" s="32"/>
      <c r="AE22" s="32"/>
      <c r="AF22" s="32"/>
      <c r="AG22" s="32"/>
      <c r="AH22" s="32"/>
      <c r="AI22" s="32"/>
      <c r="AJ22" s="32"/>
      <c r="AK22" s="32"/>
      <c r="AL22" s="32"/>
    </row>
    <row r="23" spans="1:38" x14ac:dyDescent="0.2">
      <c r="C23" s="35" t="s">
        <v>35</v>
      </c>
      <c r="D23" s="35" t="s">
        <v>36</v>
      </c>
      <c r="H23" s="33">
        <v>200</v>
      </c>
      <c r="I23" s="34">
        <f>H23+$I$17</f>
        <v>244.52321644715909</v>
      </c>
      <c r="J23" s="34">
        <f>((2*PI())/SQRT((1/($I$26*$I$27))-(I23^2)/(4*$I$26^2))*10^3)</f>
        <v>9.476593128629078E-2</v>
      </c>
      <c r="L23" s="16"/>
      <c r="M23" s="16"/>
      <c r="N23" s="16"/>
      <c r="O23" s="16"/>
      <c r="P23" s="16"/>
      <c r="Q23" s="16"/>
      <c r="R23" s="16"/>
      <c r="S23" s="16"/>
      <c r="T23" s="21"/>
      <c r="U23" s="21"/>
      <c r="V23" s="21"/>
      <c r="W23" s="21"/>
      <c r="X23" s="21"/>
      <c r="Y23" s="21"/>
      <c r="Z23" s="21"/>
      <c r="AA23" s="21"/>
      <c r="AB23" s="21"/>
      <c r="AC23" s="32"/>
      <c r="AD23" s="32"/>
      <c r="AE23" s="32"/>
      <c r="AF23" s="32"/>
      <c r="AG23" s="32"/>
      <c r="AH23" s="32"/>
      <c r="AI23" s="32"/>
      <c r="AJ23" s="32"/>
      <c r="AK23" s="32"/>
      <c r="AL23" s="32"/>
    </row>
    <row r="24" spans="1:38" x14ac:dyDescent="0.2">
      <c r="C24" s="36">
        <f>1100 + I17</f>
        <v>1144.523216447159</v>
      </c>
      <c r="D24" s="36">
        <f>2*SQRT(I26/(I27))</f>
        <v>1348.3997249264842</v>
      </c>
      <c r="E24" s="5" t="s">
        <v>38</v>
      </c>
      <c r="H24" s="33">
        <v>400</v>
      </c>
      <c r="I24" s="34">
        <f>H24+$I$17</f>
        <v>444.52321644715909</v>
      </c>
      <c r="J24" s="34">
        <f>((2*PI())/SQRT((1/($I$26*$I$27))-(I24^2)/(4*$I$26^2))*10^3)</f>
        <v>9.8713034413562772E-2</v>
      </c>
      <c r="L24" s="16"/>
      <c r="M24" s="16"/>
      <c r="N24" s="16"/>
      <c r="O24" s="16"/>
      <c r="P24" s="16"/>
      <c r="Q24" s="16"/>
      <c r="R24" s="16"/>
      <c r="S24" s="16"/>
      <c r="T24" s="21"/>
      <c r="U24" s="21"/>
      <c r="V24" s="21"/>
      <c r="W24" s="21"/>
      <c r="X24" s="21"/>
      <c r="Y24" s="21"/>
      <c r="Z24" s="21"/>
      <c r="AA24" s="21"/>
      <c r="AB24" s="21"/>
      <c r="AC24" s="32"/>
      <c r="AD24" s="32"/>
      <c r="AE24" s="32"/>
      <c r="AF24" s="32"/>
      <c r="AG24" s="32"/>
      <c r="AH24" s="32"/>
      <c r="AI24" s="32"/>
      <c r="AJ24" s="32"/>
      <c r="AK24" s="32"/>
      <c r="AL24" s="32"/>
    </row>
    <row r="25" spans="1:38" x14ac:dyDescent="0.2">
      <c r="L25" s="16"/>
      <c r="M25" s="16"/>
      <c r="N25" s="16"/>
      <c r="O25" s="16"/>
      <c r="P25" s="16"/>
      <c r="Q25" s="16"/>
      <c r="R25" s="16"/>
      <c r="S25" s="16"/>
      <c r="T25" s="21"/>
      <c r="U25" s="21"/>
      <c r="V25" s="21"/>
      <c r="W25" s="21"/>
      <c r="X25" s="21"/>
      <c r="Y25" s="21"/>
      <c r="Z25" s="21"/>
      <c r="AA25" s="21"/>
      <c r="AB25" s="21"/>
      <c r="AC25" s="32"/>
      <c r="AD25" s="32"/>
      <c r="AE25" s="32"/>
      <c r="AF25" s="32"/>
      <c r="AG25" s="32"/>
      <c r="AH25" s="32"/>
      <c r="AI25" s="32"/>
      <c r="AJ25" s="32"/>
      <c r="AK25" s="32"/>
      <c r="AL25" s="32"/>
    </row>
    <row r="26" spans="1:38" x14ac:dyDescent="0.2">
      <c r="A26" s="37" t="s">
        <v>23</v>
      </c>
      <c r="B26" s="37"/>
      <c r="C26" s="37"/>
      <c r="H26" s="31" t="s">
        <v>20</v>
      </c>
      <c r="I26" s="31">
        <f>10*10^(-3)</f>
        <v>0.01</v>
      </c>
      <c r="L26" s="16"/>
      <c r="M26" s="16"/>
      <c r="N26" s="16"/>
      <c r="O26" s="16"/>
      <c r="P26" s="16"/>
      <c r="Q26" s="16"/>
      <c r="R26" s="16"/>
      <c r="S26" s="16"/>
      <c r="T26" s="21"/>
      <c r="U26" s="21"/>
      <c r="V26" s="21"/>
      <c r="W26" s="21"/>
      <c r="X26" s="21"/>
      <c r="Y26" s="21"/>
      <c r="Z26" s="21"/>
      <c r="AA26" s="21"/>
      <c r="AB26" s="21"/>
      <c r="AC26" s="32"/>
      <c r="AD26" s="32"/>
      <c r="AE26" s="32"/>
      <c r="AF26" s="32"/>
      <c r="AG26" s="32"/>
      <c r="AH26" s="32"/>
      <c r="AI26" s="32"/>
      <c r="AJ26" s="32"/>
      <c r="AK26" s="32"/>
      <c r="AL26" s="32"/>
    </row>
    <row r="27" spans="1:38" x14ac:dyDescent="0.2">
      <c r="A27" s="37">
        <v>2.1999999999999999E-2</v>
      </c>
      <c r="B27" s="38">
        <f>1/SQRT($I$26*A27*10^(-6))</f>
        <v>67419.986246324217</v>
      </c>
      <c r="C27" s="38">
        <f>$I$17/(2*$I$26)</f>
        <v>2226.1608223579537</v>
      </c>
      <c r="H27" s="31" t="s">
        <v>21</v>
      </c>
      <c r="I27" s="31">
        <f>0.022*10^(-6)</f>
        <v>2.1999999999999998E-8</v>
      </c>
      <c r="L27" s="16"/>
      <c r="M27" s="16"/>
      <c r="N27" s="16"/>
      <c r="O27" s="16"/>
      <c r="P27" s="16"/>
      <c r="Q27" s="16"/>
      <c r="R27" s="16"/>
      <c r="S27" s="16"/>
      <c r="T27" s="21"/>
      <c r="U27" s="21"/>
      <c r="V27" s="21"/>
      <c r="W27" s="21"/>
      <c r="X27" s="21"/>
      <c r="Y27" s="21"/>
      <c r="Z27" s="21"/>
      <c r="AA27" s="21"/>
      <c r="AB27" s="21"/>
      <c r="AC27" s="32"/>
      <c r="AD27" s="32"/>
      <c r="AE27" s="32"/>
      <c r="AF27" s="32"/>
      <c r="AG27" s="32"/>
      <c r="AH27" s="32"/>
      <c r="AI27" s="32"/>
      <c r="AJ27" s="32"/>
      <c r="AK27" s="32"/>
      <c r="AL27" s="32"/>
    </row>
    <row r="28" spans="1:38" x14ac:dyDescent="0.2">
      <c r="A28" s="37">
        <v>3.3000000000000002E-2</v>
      </c>
      <c r="B28" s="38">
        <f>1/SQRT($I$26*A28*10^(-6))</f>
        <v>55048.188256318026</v>
      </c>
      <c r="C28" s="38"/>
      <c r="H28" s="31" t="s">
        <v>22</v>
      </c>
      <c r="I28" s="39">
        <f>N15/N16</f>
        <v>44.523216447159072</v>
      </c>
      <c r="L28" s="16"/>
      <c r="M28" s="16"/>
      <c r="N28" s="16"/>
      <c r="O28" s="16"/>
      <c r="P28" s="16"/>
      <c r="Q28" s="16"/>
      <c r="R28" s="16"/>
      <c r="S28" s="16"/>
      <c r="T28" s="21"/>
      <c r="U28" s="21"/>
      <c r="V28" s="21"/>
      <c r="W28" s="21"/>
      <c r="X28" s="21"/>
      <c r="Y28" s="21"/>
      <c r="Z28" s="21"/>
      <c r="AA28" s="21"/>
      <c r="AB28" s="21"/>
      <c r="AC28" s="32"/>
      <c r="AD28" s="32"/>
      <c r="AE28" s="32"/>
      <c r="AF28" s="32"/>
      <c r="AG28" s="32"/>
      <c r="AH28" s="32"/>
      <c r="AI28" s="32"/>
      <c r="AJ28" s="32"/>
      <c r="AK28" s="32"/>
      <c r="AL28" s="32"/>
    </row>
    <row r="29" spans="1:38" x14ac:dyDescent="0.2">
      <c r="A29" s="37">
        <v>4.7E-2</v>
      </c>
      <c r="B29" s="38">
        <f t="shared" ref="B29:B30" si="11">1/SQRT($I$26*A29*10^(-6))</f>
        <v>46126.560401444258</v>
      </c>
      <c r="C29" s="38"/>
      <c r="L29" s="16"/>
      <c r="M29" s="16"/>
      <c r="N29" s="16"/>
      <c r="O29" s="16"/>
      <c r="P29" s="16"/>
      <c r="Q29" s="16"/>
      <c r="R29" s="16"/>
      <c r="S29" s="16"/>
      <c r="T29" s="21"/>
      <c r="U29" s="21"/>
      <c r="V29" s="21"/>
      <c r="W29" s="21"/>
      <c r="X29" s="21"/>
      <c r="Y29" s="21"/>
      <c r="Z29" s="21"/>
      <c r="AA29" s="21"/>
      <c r="AB29" s="21"/>
      <c r="AC29" s="32"/>
      <c r="AD29" s="32"/>
      <c r="AE29" s="32"/>
      <c r="AF29" s="32"/>
      <c r="AG29" s="32"/>
      <c r="AH29" s="32"/>
      <c r="AI29" s="32"/>
      <c r="AJ29" s="32"/>
      <c r="AK29" s="32"/>
      <c r="AL29" s="32"/>
    </row>
    <row r="30" spans="1:38" x14ac:dyDescent="0.2">
      <c r="A30" s="37">
        <v>0.47</v>
      </c>
      <c r="B30" s="38">
        <f t="shared" si="11"/>
        <v>14586.499149789457</v>
      </c>
      <c r="C30" s="38"/>
      <c r="L30" s="16"/>
      <c r="M30" s="16"/>
      <c r="N30" s="16"/>
      <c r="O30" s="16"/>
      <c r="P30" s="16"/>
      <c r="Q30" s="16"/>
      <c r="R30" s="16"/>
      <c r="S30" s="16"/>
      <c r="T30" s="21"/>
      <c r="U30" s="21"/>
      <c r="V30" s="21"/>
      <c r="W30" s="21"/>
      <c r="X30" s="21"/>
      <c r="Y30" s="21"/>
      <c r="Z30" s="21"/>
      <c r="AA30" s="21"/>
      <c r="AB30" s="21"/>
      <c r="AC30" s="32"/>
      <c r="AD30" s="32"/>
      <c r="AE30" s="32"/>
      <c r="AF30" s="32"/>
      <c r="AG30" s="32"/>
      <c r="AH30" s="32"/>
      <c r="AI30" s="32"/>
      <c r="AJ30" s="32"/>
      <c r="AK30" s="32"/>
      <c r="AL30" s="32"/>
    </row>
    <row r="31" spans="1:38" x14ac:dyDescent="0.2">
      <c r="L31" s="16"/>
      <c r="M31" s="16"/>
      <c r="N31" s="16"/>
      <c r="O31" s="16"/>
      <c r="P31" s="16"/>
      <c r="Q31" s="16"/>
      <c r="R31" s="16"/>
      <c r="S31" s="16"/>
      <c r="T31" s="21"/>
      <c r="U31" s="21"/>
      <c r="V31" s="21"/>
      <c r="W31" s="21"/>
      <c r="X31" s="21"/>
      <c r="Y31" s="21"/>
      <c r="Z31" s="21"/>
      <c r="AA31" s="21"/>
      <c r="AB31" s="21"/>
      <c r="AC31" s="32"/>
      <c r="AD31" s="32"/>
      <c r="AE31" s="32"/>
      <c r="AF31" s="32"/>
      <c r="AG31" s="32"/>
      <c r="AH31" s="32"/>
      <c r="AI31" s="32"/>
      <c r="AJ31" s="32"/>
      <c r="AK31" s="32"/>
      <c r="AL31" s="32"/>
    </row>
    <row r="32" spans="1:38" x14ac:dyDescent="0.2">
      <c r="L32" s="16"/>
      <c r="M32" s="16"/>
      <c r="N32" s="16"/>
      <c r="O32" s="16"/>
      <c r="P32" s="16"/>
      <c r="Q32" s="16"/>
      <c r="R32" s="16"/>
      <c r="S32" s="16"/>
      <c r="T32" s="21"/>
      <c r="U32" s="21"/>
      <c r="V32" s="21"/>
      <c r="W32" s="21"/>
      <c r="X32" s="21"/>
      <c r="Y32" s="21"/>
      <c r="Z32" s="21"/>
      <c r="AA32" s="21"/>
      <c r="AB32" s="21"/>
      <c r="AC32" s="32"/>
      <c r="AD32" s="32"/>
      <c r="AE32" s="32"/>
      <c r="AF32" s="32"/>
      <c r="AG32" s="32"/>
      <c r="AH32" s="32"/>
      <c r="AI32" s="32"/>
      <c r="AJ32" s="32"/>
      <c r="AK32" s="32"/>
      <c r="AL32" s="32"/>
    </row>
    <row r="33" spans="8:38" x14ac:dyDescent="0.2">
      <c r="L33" s="16"/>
      <c r="M33" s="16"/>
      <c r="N33" s="16"/>
      <c r="O33" s="16"/>
      <c r="P33" s="16"/>
      <c r="Q33" s="16"/>
      <c r="R33" s="16"/>
      <c r="S33" s="16"/>
      <c r="T33" s="21"/>
      <c r="U33" s="21"/>
      <c r="V33" s="21"/>
      <c r="W33" s="21"/>
      <c r="X33" s="21"/>
      <c r="Y33" s="21"/>
      <c r="Z33" s="21"/>
      <c r="AA33" s="21"/>
      <c r="AB33" s="21"/>
      <c r="AC33" s="32"/>
      <c r="AD33" s="32"/>
      <c r="AE33" s="32"/>
      <c r="AF33" s="32"/>
      <c r="AG33" s="32"/>
      <c r="AH33" s="32"/>
      <c r="AI33" s="32"/>
      <c r="AJ33" s="32"/>
      <c r="AK33" s="32"/>
      <c r="AL33" s="32"/>
    </row>
    <row r="34" spans="8:38" x14ac:dyDescent="0.2">
      <c r="L34" s="16"/>
      <c r="M34" s="16"/>
      <c r="N34" s="16"/>
      <c r="O34" s="16"/>
      <c r="P34" s="16"/>
      <c r="Q34" s="16"/>
      <c r="R34" s="16"/>
      <c r="S34" s="16"/>
      <c r="T34" s="21"/>
      <c r="U34" s="21"/>
      <c r="V34" s="21"/>
      <c r="W34" s="21"/>
      <c r="X34" s="21"/>
      <c r="Y34" s="21"/>
      <c r="Z34" s="21"/>
      <c r="AA34" s="21"/>
      <c r="AB34" s="21"/>
      <c r="AC34" s="32"/>
      <c r="AD34" s="32"/>
      <c r="AE34" s="32"/>
      <c r="AF34" s="32"/>
      <c r="AG34" s="32"/>
      <c r="AH34" s="32"/>
      <c r="AI34" s="32"/>
      <c r="AJ34" s="32"/>
      <c r="AK34" s="32"/>
      <c r="AL34" s="32"/>
    </row>
    <row r="35" spans="8:38" x14ac:dyDescent="0.2">
      <c r="H35" s="40"/>
      <c r="L35" s="16"/>
      <c r="M35" s="16"/>
      <c r="N35" s="16"/>
      <c r="O35" s="16"/>
      <c r="P35" s="16"/>
      <c r="Q35" s="16"/>
      <c r="R35" s="16"/>
      <c r="S35" s="16"/>
      <c r="T35" s="21"/>
      <c r="U35" s="21"/>
      <c r="V35" s="21"/>
      <c r="W35" s="21"/>
      <c r="X35" s="21"/>
      <c r="Y35" s="21"/>
      <c r="Z35" s="21"/>
      <c r="AA35" s="21"/>
      <c r="AB35" s="21"/>
      <c r="AC35" s="32"/>
      <c r="AD35" s="32"/>
      <c r="AE35" s="32"/>
      <c r="AF35" s="32"/>
      <c r="AG35" s="32"/>
      <c r="AH35" s="32"/>
      <c r="AI35" s="32"/>
      <c r="AJ35" s="32"/>
      <c r="AK35" s="32"/>
      <c r="AL35" s="32"/>
    </row>
    <row r="36" spans="8:38" x14ac:dyDescent="0.2">
      <c r="L36" s="16"/>
      <c r="M36" s="16"/>
      <c r="N36" s="16"/>
      <c r="O36" s="16"/>
      <c r="P36" s="16"/>
      <c r="Q36" s="16"/>
      <c r="R36" s="16"/>
      <c r="S36" s="16"/>
      <c r="T36" s="21"/>
      <c r="U36" s="21"/>
      <c r="V36" s="21"/>
      <c r="W36" s="21"/>
      <c r="X36" s="21"/>
      <c r="Y36" s="21"/>
      <c r="Z36" s="21"/>
      <c r="AA36" s="21"/>
      <c r="AB36" s="21"/>
      <c r="AC36" s="32"/>
      <c r="AD36" s="32"/>
      <c r="AE36" s="32"/>
      <c r="AF36" s="32"/>
      <c r="AG36" s="32"/>
      <c r="AH36" s="32"/>
      <c r="AI36" s="32"/>
      <c r="AJ36" s="32"/>
      <c r="AK36" s="32"/>
      <c r="AL36" s="32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27E74C6C88E92449ADFAA9093B6DC59" ma:contentTypeVersion="12" ma:contentTypeDescription="Создание документа." ma:contentTypeScope="" ma:versionID="10e5be4861f1e27f47ae8d83c7cdd15d">
  <xsd:schema xmlns:xsd="http://www.w3.org/2001/XMLSchema" xmlns:xs="http://www.w3.org/2001/XMLSchema" xmlns:p="http://schemas.microsoft.com/office/2006/metadata/properties" xmlns:ns3="aaf2edb2-c407-4469-9527-24877a88b18c" xmlns:ns4="d2c1d691-d471-4acf-8d66-d0c744e11c02" targetNamespace="http://schemas.microsoft.com/office/2006/metadata/properties" ma:root="true" ma:fieldsID="8c211c2810f929644d794ed1b5d3a681" ns3:_="" ns4:_="">
    <xsd:import namespace="aaf2edb2-c407-4469-9527-24877a88b18c"/>
    <xsd:import namespace="d2c1d691-d471-4acf-8d66-d0c744e11c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f2edb2-c407-4469-9527-24877a88b1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c1d691-d471-4acf-8d66-d0c744e11c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65E195-72D3-4C79-B35F-012D0D376E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f2edb2-c407-4469-9527-24877a88b18c"/>
    <ds:schemaRef ds:uri="d2c1d691-d471-4acf-8d66-d0c744e11c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B60ECE-1A2A-40BB-BAAC-6BEFBDEE01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41D4DE-DA1F-475C-BD1B-B0F7B919EFE9}">
  <ds:schemaRefs>
    <ds:schemaRef ds:uri="http://purl.org/dc/dcmitype/"/>
    <ds:schemaRef ds:uri="http://purl.org/dc/elements/1.1/"/>
    <ds:schemaRef ds:uri="d2c1d691-d471-4acf-8d66-d0c744e11c02"/>
    <ds:schemaRef ds:uri="http://schemas.microsoft.com/office/2006/documentManagement/types"/>
    <ds:schemaRef ds:uri="aaf2edb2-c407-4469-9527-24877a88b18c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Артём Апыхин</cp:lastModifiedBy>
  <dcterms:created xsi:type="dcterms:W3CDTF">2020-10-19T12:02:26Z</dcterms:created>
  <dcterms:modified xsi:type="dcterms:W3CDTF">2021-04-26T13:21:45Z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0x010100327E74C6C88E92449ADFAA9093B6DC59</vt:lpwstr>
  </property>
</Properties>
</file>