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792"/>
  </bookViews>
  <sheets>
    <sheet name="ORES LIST" sheetId="1" r:id="rId1"/>
    <sheet name="ORE DENSITY CALCULATIONS" sheetId="2" r:id="rId2"/>
  </sheets>
  <definedNames>
    <definedName name="__Anonymous_Sheet_DB__0">'ORES LIST'!$A$8:$AP$254</definedName>
    <definedName name="_xlnm._FilterDatabase" localSheetId="0" hidden="1">'ORES LIST'!$A$8:$AP$254</definedName>
    <definedName name="Huge_Veins_Ores_Per_Chunk">'ORE DENSITY CALCULATIONS'!$B$14</definedName>
    <definedName name="Layered_Veins_Ores_Per_Chunk">'ORE DENSITY CALCULATIONS'!$B$10</definedName>
    <definedName name="Pipe_Veins_Ores_Per_Chunk">'ORE DENSITY CALCULATIONS'!$B$13</definedName>
    <definedName name="_xlnm.Print_Area" localSheetId="0">#REF!</definedName>
    <definedName name="_xlnm.Sheet_Title" localSheetId="0">"Sheet1"</definedName>
    <definedName name="Small_Deposits_Ores_Per_Chunk">'ORE DENSITY CALCULATIONS'!$B$11</definedName>
    <definedName name="Sparse_Veins_Ores_Per_Chunk">'ORE DENSITY CALCULATIONS'!$B$9</definedName>
    <definedName name="Strategic_Clouds_Ores_Per_Chunk">'ORE DENSITY CALCULATIONS'!$B$15</definedName>
    <definedName name="Stratum_Clouds_Ores_Per_Chunk">'ORE DENSITY CALCULATIONS'!$B$16</definedName>
    <definedName name="Vanilla_COG_Divisor">'ORE DENSITY CALCULATIONS'!$F$2</definedName>
    <definedName name="Vertical_Veins_Ores_Per_Chunk">'ORE DENSITY CALCULATIONS'!$B$12</definedName>
  </definedNames>
  <calcPr calcId="14562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G254" i="1" l="1"/>
  <c r="AA254" i="1" s="1"/>
  <c r="Z254" i="1" s="1"/>
  <c r="Y254" i="1"/>
  <c r="X254" i="1" s="1"/>
  <c r="U254" i="1"/>
  <c r="W254" i="1" s="1"/>
  <c r="R254" i="1"/>
  <c r="P254" i="1"/>
  <c r="S254" i="1" s="1"/>
  <c r="M254" i="1"/>
  <c r="L254" i="1"/>
  <c r="T254" i="1" s="1"/>
  <c r="K254" i="1"/>
  <c r="J254" i="1"/>
  <c r="G254" i="1"/>
  <c r="AG253" i="1"/>
  <c r="AF253" i="1"/>
  <c r="AE253" i="1"/>
  <c r="AA253" i="1"/>
  <c r="Z253" i="1"/>
  <c r="Y253" i="1"/>
  <c r="X253" i="1" s="1"/>
  <c r="AK253" i="1" s="1"/>
  <c r="R253" i="1"/>
  <c r="P253" i="1"/>
  <c r="M253" i="1"/>
  <c r="K253" i="1"/>
  <c r="J253" i="1"/>
  <c r="G253" i="1"/>
  <c r="L253" i="1" s="1"/>
  <c r="AK252" i="1"/>
  <c r="AG252" i="1"/>
  <c r="AA252" i="1" s="1"/>
  <c r="Z252" i="1" s="1"/>
  <c r="Y252" i="1"/>
  <c r="X252" i="1"/>
  <c r="AF252" i="1" s="1"/>
  <c r="P252" i="1"/>
  <c r="T252" i="1" s="1"/>
  <c r="M252" i="1"/>
  <c r="R252" i="1" s="1"/>
  <c r="L252" i="1"/>
  <c r="Q252" i="1" s="1"/>
  <c r="K252" i="1"/>
  <c r="J252" i="1"/>
  <c r="G252" i="1"/>
  <c r="U252" i="1" s="1"/>
  <c r="AG251" i="1"/>
  <c r="AA251" i="1"/>
  <c r="Z251" i="1" s="1"/>
  <c r="Y251" i="1"/>
  <c r="X251" i="1" s="1"/>
  <c r="P251" i="1"/>
  <c r="M251" i="1"/>
  <c r="K251" i="1"/>
  <c r="J251" i="1"/>
  <c r="G251" i="1"/>
  <c r="L251" i="1" s="1"/>
  <c r="AG250" i="1"/>
  <c r="AA250" i="1" s="1"/>
  <c r="Z250" i="1" s="1"/>
  <c r="Y250" i="1"/>
  <c r="X250" i="1" s="1"/>
  <c r="U250" i="1"/>
  <c r="W250" i="1" s="1"/>
  <c r="R250" i="1"/>
  <c r="Q250" i="1"/>
  <c r="P250" i="1"/>
  <c r="S250" i="1" s="1"/>
  <c r="M250" i="1"/>
  <c r="L250" i="1"/>
  <c r="K250" i="1"/>
  <c r="J250" i="1"/>
  <c r="G250" i="1"/>
  <c r="AG249" i="1"/>
  <c r="AA249" i="1" s="1"/>
  <c r="Z249" i="1" s="1"/>
  <c r="AF249" i="1"/>
  <c r="AE249" i="1"/>
  <c r="Y249" i="1"/>
  <c r="X249" i="1" s="1"/>
  <c r="AK249" i="1" s="1"/>
  <c r="V249" i="1"/>
  <c r="U249" i="1"/>
  <c r="W249" i="1" s="1"/>
  <c r="P249" i="1"/>
  <c r="T249" i="1" s="1"/>
  <c r="M249" i="1"/>
  <c r="R249" i="1" s="1"/>
  <c r="L249" i="1"/>
  <c r="S249" i="1" s="1"/>
  <c r="K249" i="1"/>
  <c r="J249" i="1"/>
  <c r="G249" i="1"/>
  <c r="AG248" i="1"/>
  <c r="AF248" i="1"/>
  <c r="AE248" i="1"/>
  <c r="AA248" i="1"/>
  <c r="Z248" i="1" s="1"/>
  <c r="Y248" i="1"/>
  <c r="X248" i="1"/>
  <c r="AK248" i="1" s="1"/>
  <c r="R248" i="1"/>
  <c r="P248" i="1"/>
  <c r="M248" i="1"/>
  <c r="K248" i="1"/>
  <c r="J248" i="1"/>
  <c r="G248" i="1"/>
  <c r="U248" i="1" s="1"/>
  <c r="AG247" i="1"/>
  <c r="AA247" i="1"/>
  <c r="Z247" i="1" s="1"/>
  <c r="Y247" i="1"/>
  <c r="X247" i="1"/>
  <c r="AK247" i="1" s="1"/>
  <c r="W247" i="1"/>
  <c r="U247" i="1"/>
  <c r="V247" i="1" s="1"/>
  <c r="P247" i="1"/>
  <c r="M247" i="1"/>
  <c r="R247" i="1" s="1"/>
  <c r="K247" i="1"/>
  <c r="J247" i="1"/>
  <c r="G247" i="1"/>
  <c r="L247" i="1" s="1"/>
  <c r="Q247" i="1" s="1"/>
  <c r="AG246" i="1"/>
  <c r="AA246" i="1" s="1"/>
  <c r="Z246" i="1" s="1"/>
  <c r="AF246" i="1"/>
  <c r="AE246" i="1"/>
  <c r="Y246" i="1"/>
  <c r="X246" i="1" s="1"/>
  <c r="AK246" i="1" s="1"/>
  <c r="U246" i="1"/>
  <c r="W246" i="1" s="1"/>
  <c r="T246" i="1"/>
  <c r="P246" i="1"/>
  <c r="S246" i="1" s="1"/>
  <c r="M246" i="1"/>
  <c r="L246" i="1"/>
  <c r="R246" i="1" s="1"/>
  <c r="K246" i="1"/>
  <c r="J246" i="1"/>
  <c r="G246" i="1"/>
  <c r="AG245" i="1"/>
  <c r="AA245" i="1"/>
  <c r="Z245" i="1"/>
  <c r="Y245" i="1"/>
  <c r="X245" i="1" s="1"/>
  <c r="P245" i="1"/>
  <c r="M245" i="1"/>
  <c r="K245" i="1"/>
  <c r="J245" i="1"/>
  <c r="G245" i="1"/>
  <c r="L245" i="1" s="1"/>
  <c r="AK244" i="1"/>
  <c r="AG244" i="1"/>
  <c r="AA244" i="1" s="1"/>
  <c r="Z244" i="1" s="1"/>
  <c r="AF244" i="1"/>
  <c r="AE244" i="1"/>
  <c r="Y244" i="1"/>
  <c r="X244" i="1"/>
  <c r="P244" i="1"/>
  <c r="T244" i="1" s="1"/>
  <c r="M244" i="1"/>
  <c r="R244" i="1" s="1"/>
  <c r="L244" i="1"/>
  <c r="Q244" i="1" s="1"/>
  <c r="K244" i="1"/>
  <c r="J244" i="1"/>
  <c r="G244" i="1"/>
  <c r="U244" i="1" s="1"/>
  <c r="AG243" i="1"/>
  <c r="AF243" i="1"/>
  <c r="AE243" i="1"/>
  <c r="AA243" i="1"/>
  <c r="Z243" i="1" s="1"/>
  <c r="Y243" i="1"/>
  <c r="X243" i="1" s="1"/>
  <c r="AK243" i="1" s="1"/>
  <c r="T243" i="1"/>
  <c r="S243" i="1"/>
  <c r="P243" i="1"/>
  <c r="M243" i="1"/>
  <c r="K243" i="1"/>
  <c r="J243" i="1"/>
  <c r="G243" i="1"/>
  <c r="L243" i="1" s="1"/>
  <c r="Q243" i="1" s="1"/>
  <c r="AG242" i="1"/>
  <c r="AA242" i="1" s="1"/>
  <c r="Z242" i="1" s="1"/>
  <c r="Y242" i="1"/>
  <c r="X242" i="1" s="1"/>
  <c r="V242" i="1"/>
  <c r="U242" i="1"/>
  <c r="W242" i="1" s="1"/>
  <c r="R242" i="1"/>
  <c r="Q242" i="1"/>
  <c r="P242" i="1"/>
  <c r="S242" i="1" s="1"/>
  <c r="M242" i="1"/>
  <c r="L242" i="1"/>
  <c r="K242" i="1"/>
  <c r="J242" i="1"/>
  <c r="G242" i="1"/>
  <c r="AG241" i="1"/>
  <c r="AA241" i="1" s="1"/>
  <c r="Z241" i="1" s="1"/>
  <c r="Y241" i="1"/>
  <c r="X241" i="1" s="1"/>
  <c r="V241" i="1"/>
  <c r="U241" i="1"/>
  <c r="W241" i="1" s="1"/>
  <c r="P241" i="1"/>
  <c r="T241" i="1" s="1"/>
  <c r="M241" i="1"/>
  <c r="R241" i="1" s="1"/>
  <c r="L241" i="1"/>
  <c r="S241" i="1" s="1"/>
  <c r="K241" i="1"/>
  <c r="J241" i="1"/>
  <c r="G241" i="1"/>
  <c r="AG240" i="1"/>
  <c r="AE240" i="1"/>
  <c r="AA240" i="1"/>
  <c r="Z240" i="1" s="1"/>
  <c r="Y240" i="1"/>
  <c r="X240" i="1"/>
  <c r="AF240" i="1" s="1"/>
  <c r="P240" i="1"/>
  <c r="M240" i="1"/>
  <c r="K240" i="1"/>
  <c r="J240" i="1"/>
  <c r="G240" i="1"/>
  <c r="U240" i="1" s="1"/>
  <c r="AG239" i="1"/>
  <c r="AA239" i="1"/>
  <c r="Z239" i="1" s="1"/>
  <c r="Y239" i="1"/>
  <c r="X239" i="1"/>
  <c r="AK239" i="1" s="1"/>
  <c r="W239" i="1"/>
  <c r="U239" i="1"/>
  <c r="V239" i="1" s="1"/>
  <c r="P239" i="1"/>
  <c r="M239" i="1"/>
  <c r="R239" i="1" s="1"/>
  <c r="K239" i="1"/>
  <c r="J239" i="1"/>
  <c r="G239" i="1"/>
  <c r="L239" i="1" s="1"/>
  <c r="Q239" i="1" s="1"/>
  <c r="AG238" i="1"/>
  <c r="AA238" i="1" s="1"/>
  <c r="Z238" i="1" s="1"/>
  <c r="Y238" i="1"/>
  <c r="X238" i="1" s="1"/>
  <c r="U238" i="1"/>
  <c r="W238" i="1" s="1"/>
  <c r="T238" i="1"/>
  <c r="P238" i="1"/>
  <c r="S238" i="1" s="1"/>
  <c r="M238" i="1"/>
  <c r="L238" i="1"/>
  <c r="R238" i="1" s="1"/>
  <c r="K238" i="1"/>
  <c r="J238" i="1"/>
  <c r="G238" i="1"/>
  <c r="AG237" i="1"/>
  <c r="AA237" i="1"/>
  <c r="Z237" i="1"/>
  <c r="Y237" i="1"/>
  <c r="X237" i="1" s="1"/>
  <c r="P237" i="1"/>
  <c r="T237" i="1" s="1"/>
  <c r="M237" i="1"/>
  <c r="K237" i="1"/>
  <c r="J237" i="1"/>
  <c r="G237" i="1"/>
  <c r="L237" i="1" s="1"/>
  <c r="AK236" i="1"/>
  <c r="AG236" i="1"/>
  <c r="AA236" i="1" s="1"/>
  <c r="Z236" i="1" s="1"/>
  <c r="AF236" i="1"/>
  <c r="AE236" i="1"/>
  <c r="Y236" i="1"/>
  <c r="X236" i="1"/>
  <c r="P236" i="1"/>
  <c r="T236" i="1" s="1"/>
  <c r="M236" i="1"/>
  <c r="R236" i="1" s="1"/>
  <c r="L236" i="1"/>
  <c r="Q236" i="1" s="1"/>
  <c r="K236" i="1"/>
  <c r="J236" i="1"/>
  <c r="G236" i="1"/>
  <c r="U236" i="1" s="1"/>
  <c r="AG235" i="1"/>
  <c r="AF235" i="1"/>
  <c r="AE235" i="1"/>
  <c r="AA235" i="1"/>
  <c r="Z235" i="1" s="1"/>
  <c r="Y235" i="1"/>
  <c r="X235" i="1" s="1"/>
  <c r="AK235" i="1" s="1"/>
  <c r="P235" i="1"/>
  <c r="M235" i="1"/>
  <c r="R235" i="1" s="1"/>
  <c r="K235" i="1"/>
  <c r="J235" i="1"/>
  <c r="G235" i="1"/>
  <c r="L235" i="1" s="1"/>
  <c r="AG234" i="1"/>
  <c r="AA234" i="1" s="1"/>
  <c r="Z234" i="1" s="1"/>
  <c r="AF234" i="1"/>
  <c r="AE234" i="1"/>
  <c r="Y234" i="1"/>
  <c r="X234" i="1" s="1"/>
  <c r="AK234" i="1" s="1"/>
  <c r="V234" i="1"/>
  <c r="U234" i="1"/>
  <c r="W234" i="1" s="1"/>
  <c r="R234" i="1"/>
  <c r="Q234" i="1"/>
  <c r="P234" i="1"/>
  <c r="S234" i="1" s="1"/>
  <c r="M234" i="1"/>
  <c r="L234" i="1"/>
  <c r="K234" i="1"/>
  <c r="J234" i="1"/>
  <c r="G234" i="1"/>
  <c r="AG233" i="1"/>
  <c r="AA233" i="1" s="1"/>
  <c r="Z233" i="1" s="1"/>
  <c r="AF233" i="1"/>
  <c r="AE233" i="1"/>
  <c r="Y233" i="1"/>
  <c r="X233" i="1" s="1"/>
  <c r="AK233" i="1" s="1"/>
  <c r="V233" i="1"/>
  <c r="U233" i="1"/>
  <c r="W233" i="1" s="1"/>
  <c r="P233" i="1"/>
  <c r="T233" i="1" s="1"/>
  <c r="M233" i="1"/>
  <c r="R233" i="1" s="1"/>
  <c r="L233" i="1"/>
  <c r="S233" i="1" s="1"/>
  <c r="K233" i="1"/>
  <c r="J233" i="1"/>
  <c r="G233" i="1"/>
  <c r="AG232" i="1"/>
  <c r="AF232" i="1"/>
  <c r="AE232" i="1"/>
  <c r="AA232" i="1"/>
  <c r="Z232" i="1" s="1"/>
  <c r="Y232" i="1"/>
  <c r="X232" i="1"/>
  <c r="AK232" i="1" s="1"/>
  <c r="R232" i="1"/>
  <c r="P232" i="1"/>
  <c r="M232" i="1"/>
  <c r="K232" i="1"/>
  <c r="J232" i="1"/>
  <c r="G232" i="1"/>
  <c r="U232" i="1" s="1"/>
  <c r="AG231" i="1"/>
  <c r="AA231" i="1"/>
  <c r="Z231" i="1" s="1"/>
  <c r="Y231" i="1"/>
  <c r="X231" i="1"/>
  <c r="AK231" i="1" s="1"/>
  <c r="W231" i="1"/>
  <c r="U231" i="1"/>
  <c r="V231" i="1" s="1"/>
  <c r="P231" i="1"/>
  <c r="T231" i="1" s="1"/>
  <c r="M231" i="1"/>
  <c r="R231" i="1" s="1"/>
  <c r="K231" i="1"/>
  <c r="J231" i="1"/>
  <c r="G231" i="1"/>
  <c r="L231" i="1" s="1"/>
  <c r="Q231" i="1" s="1"/>
  <c r="AG230" i="1"/>
  <c r="AA230" i="1" s="1"/>
  <c r="Z230" i="1" s="1"/>
  <c r="Y230" i="1"/>
  <c r="X230" i="1" s="1"/>
  <c r="U230" i="1"/>
  <c r="W230" i="1" s="1"/>
  <c r="T230" i="1"/>
  <c r="R230" i="1"/>
  <c r="P230" i="1"/>
  <c r="S230" i="1" s="1"/>
  <c r="M230" i="1"/>
  <c r="L230" i="1"/>
  <c r="Q230" i="1" s="1"/>
  <c r="K230" i="1"/>
  <c r="J230" i="1"/>
  <c r="G230" i="1"/>
  <c r="AG229" i="1"/>
  <c r="AF229" i="1"/>
  <c r="AE229" i="1"/>
  <c r="AA229" i="1"/>
  <c r="Z229" i="1"/>
  <c r="Y229" i="1"/>
  <c r="X229" i="1" s="1"/>
  <c r="AK229" i="1" s="1"/>
  <c r="R229" i="1"/>
  <c r="P229" i="1"/>
  <c r="M229" i="1"/>
  <c r="K229" i="1"/>
  <c r="J229" i="1"/>
  <c r="G229" i="1"/>
  <c r="L229" i="1" s="1"/>
  <c r="AK228" i="1"/>
  <c r="AG228" i="1"/>
  <c r="AA228" i="1" s="1"/>
  <c r="Z228" i="1" s="1"/>
  <c r="Y228" i="1"/>
  <c r="X228" i="1"/>
  <c r="AF228" i="1" s="1"/>
  <c r="P228" i="1"/>
  <c r="T228" i="1" s="1"/>
  <c r="M228" i="1"/>
  <c r="R228" i="1" s="1"/>
  <c r="L228" i="1"/>
  <c r="Q228" i="1" s="1"/>
  <c r="K228" i="1"/>
  <c r="J228" i="1"/>
  <c r="G228" i="1"/>
  <c r="U228" i="1" s="1"/>
  <c r="V228" i="1" s="1"/>
  <c r="AG227" i="1"/>
  <c r="AF227" i="1"/>
  <c r="AE227" i="1"/>
  <c r="AA227" i="1"/>
  <c r="Z227" i="1" s="1"/>
  <c r="Y227" i="1"/>
  <c r="X227" i="1" s="1"/>
  <c r="AK227" i="1" s="1"/>
  <c r="P227" i="1"/>
  <c r="M227" i="1"/>
  <c r="R227" i="1" s="1"/>
  <c r="K227" i="1"/>
  <c r="J227" i="1"/>
  <c r="G227" i="1"/>
  <c r="AG226" i="1"/>
  <c r="AA226" i="1" s="1"/>
  <c r="Z226" i="1" s="1"/>
  <c r="Y226" i="1"/>
  <c r="X226" i="1"/>
  <c r="V226" i="1"/>
  <c r="U226" i="1"/>
  <c r="W226" i="1" s="1"/>
  <c r="R226" i="1"/>
  <c r="Q226" i="1"/>
  <c r="P226" i="1"/>
  <c r="M226" i="1"/>
  <c r="L226" i="1"/>
  <c r="K226" i="1"/>
  <c r="J226" i="1"/>
  <c r="G226" i="1"/>
  <c r="AG225" i="1"/>
  <c r="AA225" i="1" s="1"/>
  <c r="Z225" i="1" s="1"/>
  <c r="Y225" i="1"/>
  <c r="X225" i="1" s="1"/>
  <c r="U225" i="1"/>
  <c r="W225" i="1" s="1"/>
  <c r="P225" i="1"/>
  <c r="M225" i="1"/>
  <c r="L225" i="1"/>
  <c r="K225" i="1"/>
  <c r="J225" i="1"/>
  <c r="G225" i="1"/>
  <c r="AG224" i="1"/>
  <c r="AE224" i="1"/>
  <c r="AA224" i="1"/>
  <c r="Z224" i="1"/>
  <c r="Y224" i="1"/>
  <c r="X224" i="1"/>
  <c r="AF224" i="1" s="1"/>
  <c r="P224" i="1"/>
  <c r="M224" i="1"/>
  <c r="K224" i="1"/>
  <c r="J224" i="1"/>
  <c r="G224" i="1"/>
  <c r="AK223" i="1"/>
  <c r="AG223" i="1"/>
  <c r="AA223" i="1"/>
  <c r="Z223" i="1" s="1"/>
  <c r="Y223" i="1"/>
  <c r="X223" i="1"/>
  <c r="W223" i="1"/>
  <c r="U223" i="1"/>
  <c r="V223" i="1" s="1"/>
  <c r="P223" i="1"/>
  <c r="M223" i="1"/>
  <c r="R223" i="1" s="1"/>
  <c r="K223" i="1"/>
  <c r="J223" i="1"/>
  <c r="G223" i="1"/>
  <c r="L223" i="1" s="1"/>
  <c r="Q223" i="1" s="1"/>
  <c r="AG222" i="1"/>
  <c r="AA222" i="1" s="1"/>
  <c r="Z222" i="1" s="1"/>
  <c r="Y222" i="1"/>
  <c r="X222" i="1" s="1"/>
  <c r="AK222" i="1" s="1"/>
  <c r="V222" i="1"/>
  <c r="U222" i="1"/>
  <c r="W222" i="1" s="1"/>
  <c r="T222" i="1"/>
  <c r="P222" i="1"/>
  <c r="M222" i="1"/>
  <c r="L222" i="1"/>
  <c r="K222" i="1"/>
  <c r="J222" i="1"/>
  <c r="G222" i="1"/>
  <c r="AG221" i="1"/>
  <c r="AF221" i="1"/>
  <c r="AE221" i="1"/>
  <c r="AA221" i="1"/>
  <c r="Z221" i="1"/>
  <c r="Y221" i="1"/>
  <c r="X221" i="1" s="1"/>
  <c r="AK221" i="1" s="1"/>
  <c r="R221" i="1"/>
  <c r="P221" i="1"/>
  <c r="M221" i="1"/>
  <c r="K221" i="1"/>
  <c r="J221" i="1"/>
  <c r="G221" i="1"/>
  <c r="AK220" i="1"/>
  <c r="AG220" i="1"/>
  <c r="AA220" i="1" s="1"/>
  <c r="Z220" i="1" s="1"/>
  <c r="AE220" i="1"/>
  <c r="Y220" i="1"/>
  <c r="X220" i="1"/>
  <c r="AF220" i="1" s="1"/>
  <c r="V220" i="1"/>
  <c r="P220" i="1"/>
  <c r="S220" i="1" s="1"/>
  <c r="M220" i="1"/>
  <c r="R220" i="1" s="1"/>
  <c r="L220" i="1"/>
  <c r="Q220" i="1" s="1"/>
  <c r="K220" i="1"/>
  <c r="J220" i="1"/>
  <c r="G220" i="1"/>
  <c r="U220" i="1" s="1"/>
  <c r="W220" i="1" s="1"/>
  <c r="AG219" i="1"/>
  <c r="AF219" i="1"/>
  <c r="AE219" i="1"/>
  <c r="AA219" i="1"/>
  <c r="Z219" i="1" s="1"/>
  <c r="Y219" i="1"/>
  <c r="X219" i="1" s="1"/>
  <c r="AK219" i="1" s="1"/>
  <c r="P219" i="1"/>
  <c r="M219" i="1"/>
  <c r="R219" i="1" s="1"/>
  <c r="K219" i="1"/>
  <c r="J219" i="1"/>
  <c r="G219" i="1"/>
  <c r="L219" i="1" s="1"/>
  <c r="Q219" i="1" s="1"/>
  <c r="AG218" i="1"/>
  <c r="AA218" i="1" s="1"/>
  <c r="AF218" i="1"/>
  <c r="AE218" i="1"/>
  <c r="Z218" i="1"/>
  <c r="Y218" i="1"/>
  <c r="X218" i="1" s="1"/>
  <c r="AK218" i="1" s="1"/>
  <c r="V218" i="1"/>
  <c r="U218" i="1"/>
  <c r="W218" i="1" s="1"/>
  <c r="R218" i="1"/>
  <c r="P218" i="1"/>
  <c r="M218" i="1"/>
  <c r="L218" i="1"/>
  <c r="Q218" i="1" s="1"/>
  <c r="K218" i="1"/>
  <c r="J218" i="1"/>
  <c r="G218" i="1"/>
  <c r="AG217" i="1"/>
  <c r="AA217" i="1"/>
  <c r="Z217" i="1" s="1"/>
  <c r="Y217" i="1"/>
  <c r="X217" i="1" s="1"/>
  <c r="AE217" i="1" s="1"/>
  <c r="U217" i="1"/>
  <c r="W217" i="1" s="1"/>
  <c r="P217" i="1"/>
  <c r="M217" i="1"/>
  <c r="L217" i="1"/>
  <c r="S217" i="1" s="1"/>
  <c r="K217" i="1"/>
  <c r="J217" i="1"/>
  <c r="G217" i="1"/>
  <c r="AG216" i="1"/>
  <c r="AA216" i="1"/>
  <c r="Z216" i="1"/>
  <c r="Y216" i="1"/>
  <c r="X216" i="1"/>
  <c r="AE216" i="1" s="1"/>
  <c r="P216" i="1"/>
  <c r="M216" i="1"/>
  <c r="K216" i="1"/>
  <c r="J216" i="1"/>
  <c r="G216" i="1"/>
  <c r="AG215" i="1"/>
  <c r="AA215" i="1" s="1"/>
  <c r="Z215" i="1" s="1"/>
  <c r="Y215" i="1"/>
  <c r="X215" i="1" s="1"/>
  <c r="U215" i="1"/>
  <c r="V215" i="1" s="1"/>
  <c r="Q215" i="1"/>
  <c r="P215" i="1"/>
  <c r="M215" i="1"/>
  <c r="R215" i="1" s="1"/>
  <c r="L215" i="1"/>
  <c r="K215" i="1"/>
  <c r="J215" i="1"/>
  <c r="G215" i="1"/>
  <c r="AG214" i="1"/>
  <c r="AA214" i="1" s="1"/>
  <c r="Z214" i="1" s="1"/>
  <c r="AF214" i="1"/>
  <c r="Y214" i="1"/>
  <c r="X214" i="1" s="1"/>
  <c r="AK214" i="1" s="1"/>
  <c r="V214" i="1"/>
  <c r="U214" i="1"/>
  <c r="W214" i="1" s="1"/>
  <c r="R214" i="1"/>
  <c r="P214" i="1"/>
  <c r="M214" i="1"/>
  <c r="L214" i="1"/>
  <c r="K214" i="1"/>
  <c r="J214" i="1"/>
  <c r="G214" i="1"/>
  <c r="AG213" i="1"/>
  <c r="AA213" i="1"/>
  <c r="Z213" i="1" s="1"/>
  <c r="Y213" i="1"/>
  <c r="X213" i="1" s="1"/>
  <c r="P213" i="1"/>
  <c r="M213" i="1"/>
  <c r="K213" i="1"/>
  <c r="J213" i="1"/>
  <c r="G213" i="1"/>
  <c r="AG212" i="1"/>
  <c r="AA212" i="1" s="1"/>
  <c r="Z212" i="1" s="1"/>
  <c r="Y212" i="1"/>
  <c r="X212" i="1"/>
  <c r="AF212" i="1" s="1"/>
  <c r="T212" i="1"/>
  <c r="P212" i="1"/>
  <c r="M212" i="1"/>
  <c r="L212" i="1"/>
  <c r="Q212" i="1" s="1"/>
  <c r="K212" i="1"/>
  <c r="J212" i="1"/>
  <c r="G212" i="1"/>
  <c r="U212" i="1" s="1"/>
  <c r="W212" i="1" s="1"/>
  <c r="AG211" i="1"/>
  <c r="AF211" i="1"/>
  <c r="AE211" i="1"/>
  <c r="AA211" i="1"/>
  <c r="Z211" i="1" s="1"/>
  <c r="Y211" i="1"/>
  <c r="X211" i="1" s="1"/>
  <c r="AK211" i="1" s="1"/>
  <c r="R211" i="1"/>
  <c r="P211" i="1"/>
  <c r="M211" i="1"/>
  <c r="K211" i="1"/>
  <c r="J211" i="1"/>
  <c r="G211" i="1"/>
  <c r="L211" i="1" s="1"/>
  <c r="T211" i="1" s="1"/>
  <c r="AG210" i="1"/>
  <c r="AA210" i="1" s="1"/>
  <c r="Z210" i="1" s="1"/>
  <c r="Y210" i="1"/>
  <c r="X210" i="1" s="1"/>
  <c r="V210" i="1"/>
  <c r="U210" i="1"/>
  <c r="W210" i="1" s="1"/>
  <c r="R210" i="1"/>
  <c r="Q210" i="1"/>
  <c r="P210" i="1"/>
  <c r="M210" i="1"/>
  <c r="L210" i="1"/>
  <c r="K210" i="1"/>
  <c r="J210" i="1"/>
  <c r="G210" i="1"/>
  <c r="AK209" i="1"/>
  <c r="AG209" i="1"/>
  <c r="AA209" i="1" s="1"/>
  <c r="Z209" i="1" s="1"/>
  <c r="AF209" i="1"/>
  <c r="Y209" i="1"/>
  <c r="X209" i="1" s="1"/>
  <c r="AE209" i="1" s="1"/>
  <c r="P209" i="1"/>
  <c r="M209" i="1"/>
  <c r="K209" i="1"/>
  <c r="J209" i="1"/>
  <c r="G209" i="1"/>
  <c r="U209" i="1" s="1"/>
  <c r="AK208" i="1"/>
  <c r="AG208" i="1"/>
  <c r="AE208" i="1"/>
  <c r="AA208" i="1"/>
  <c r="Z208" i="1" s="1"/>
  <c r="Y208" i="1"/>
  <c r="X208" i="1"/>
  <c r="AF208" i="1" s="1"/>
  <c r="P208" i="1"/>
  <c r="M208" i="1"/>
  <c r="K208" i="1"/>
  <c r="J208" i="1"/>
  <c r="G208" i="1"/>
  <c r="AG207" i="1"/>
  <c r="AA207" i="1" s="1"/>
  <c r="Z207" i="1" s="1"/>
  <c r="AF207" i="1"/>
  <c r="AE207" i="1"/>
  <c r="Y207" i="1"/>
  <c r="X207" i="1" s="1"/>
  <c r="AK207" i="1" s="1"/>
  <c r="U207" i="1"/>
  <c r="W207" i="1" s="1"/>
  <c r="Q207" i="1"/>
  <c r="P207" i="1"/>
  <c r="S207" i="1" s="1"/>
  <c r="M207" i="1"/>
  <c r="R207" i="1" s="1"/>
  <c r="L207" i="1"/>
  <c r="K207" i="1"/>
  <c r="J207" i="1"/>
  <c r="G207" i="1"/>
  <c r="AG206" i="1"/>
  <c r="AA206" i="1" s="1"/>
  <c r="Z206" i="1" s="1"/>
  <c r="AF206" i="1"/>
  <c r="AE206" i="1"/>
  <c r="Y206" i="1"/>
  <c r="X206" i="1" s="1"/>
  <c r="AK206" i="1" s="1"/>
  <c r="U206" i="1"/>
  <c r="W206" i="1" s="1"/>
  <c r="T206" i="1"/>
  <c r="R206" i="1"/>
  <c r="P206" i="1"/>
  <c r="M206" i="1"/>
  <c r="L206" i="1"/>
  <c r="S206" i="1" s="1"/>
  <c r="K206" i="1"/>
  <c r="J206" i="1"/>
  <c r="G206" i="1"/>
  <c r="AG205" i="1"/>
  <c r="AA205" i="1" s="1"/>
  <c r="Z205" i="1" s="1"/>
  <c r="Y205" i="1"/>
  <c r="X205" i="1"/>
  <c r="AK205" i="1" s="1"/>
  <c r="P205" i="1"/>
  <c r="M205" i="1"/>
  <c r="R205" i="1" s="1"/>
  <c r="L205" i="1"/>
  <c r="S205" i="1" s="1"/>
  <c r="K205" i="1"/>
  <c r="J205" i="1"/>
  <c r="G205" i="1"/>
  <c r="U205" i="1" s="1"/>
  <c r="W205" i="1" s="1"/>
  <c r="AG204" i="1"/>
  <c r="AF204" i="1"/>
  <c r="AE204" i="1"/>
  <c r="AA204" i="1"/>
  <c r="Z204" i="1" s="1"/>
  <c r="Y204" i="1"/>
  <c r="X204" i="1"/>
  <c r="AK204" i="1" s="1"/>
  <c r="P204" i="1"/>
  <c r="T204" i="1" s="1"/>
  <c r="M204" i="1"/>
  <c r="R204" i="1" s="1"/>
  <c r="L204" i="1"/>
  <c r="Q204" i="1" s="1"/>
  <c r="K204" i="1"/>
  <c r="J204" i="1"/>
  <c r="G204" i="1"/>
  <c r="U204" i="1" s="1"/>
  <c r="AG203" i="1"/>
  <c r="AA203" i="1"/>
  <c r="Z203" i="1" s="1"/>
  <c r="Y203" i="1"/>
  <c r="X203" i="1" s="1"/>
  <c r="R203" i="1"/>
  <c r="P203" i="1"/>
  <c r="M203" i="1"/>
  <c r="K203" i="1"/>
  <c r="J203" i="1"/>
  <c r="G203" i="1"/>
  <c r="L203" i="1" s="1"/>
  <c r="AK202" i="1"/>
  <c r="AG202" i="1"/>
  <c r="AA202" i="1" s="1"/>
  <c r="Z202" i="1" s="1"/>
  <c r="AE202" i="1"/>
  <c r="Y202" i="1"/>
  <c r="X202" i="1"/>
  <c r="AF202" i="1" s="1"/>
  <c r="W202" i="1"/>
  <c r="V202" i="1"/>
  <c r="U202" i="1"/>
  <c r="T202" i="1"/>
  <c r="P202" i="1"/>
  <c r="S202" i="1" s="1"/>
  <c r="M202" i="1"/>
  <c r="R202" i="1" s="1"/>
  <c r="L202" i="1"/>
  <c r="Q202" i="1" s="1"/>
  <c r="K202" i="1"/>
  <c r="J202" i="1"/>
  <c r="G202" i="1"/>
  <c r="AG201" i="1"/>
  <c r="AA201" i="1"/>
  <c r="Z201" i="1" s="1"/>
  <c r="Y201" i="1"/>
  <c r="X201" i="1" s="1"/>
  <c r="R201" i="1"/>
  <c r="P201" i="1"/>
  <c r="M201" i="1"/>
  <c r="K201" i="1"/>
  <c r="J201" i="1"/>
  <c r="G201" i="1"/>
  <c r="L201" i="1" s="1"/>
  <c r="AG200" i="1"/>
  <c r="AA200" i="1" s="1"/>
  <c r="Z200" i="1" s="1"/>
  <c r="Y200" i="1"/>
  <c r="X200" i="1" s="1"/>
  <c r="R200" i="1"/>
  <c r="Q200" i="1"/>
  <c r="P200" i="1"/>
  <c r="S200" i="1" s="1"/>
  <c r="M200" i="1"/>
  <c r="L200" i="1"/>
  <c r="K200" i="1"/>
  <c r="J200" i="1"/>
  <c r="G200" i="1"/>
  <c r="U200" i="1" s="1"/>
  <c r="AK199" i="1"/>
  <c r="AG199" i="1"/>
  <c r="AA199" i="1" s="1"/>
  <c r="Z199" i="1" s="1"/>
  <c r="AF199" i="1"/>
  <c r="AE199" i="1"/>
  <c r="Y199" i="1"/>
  <c r="X199" i="1"/>
  <c r="T199" i="1"/>
  <c r="S199" i="1"/>
  <c r="P199" i="1"/>
  <c r="M199" i="1"/>
  <c r="R199" i="1" s="1"/>
  <c r="L199" i="1"/>
  <c r="Q199" i="1" s="1"/>
  <c r="K199" i="1"/>
  <c r="J199" i="1"/>
  <c r="G199" i="1"/>
  <c r="U199" i="1" s="1"/>
  <c r="AG198" i="1"/>
  <c r="AA198" i="1"/>
  <c r="Z198" i="1" s="1"/>
  <c r="Y198" i="1"/>
  <c r="X198" i="1"/>
  <c r="AF198" i="1" s="1"/>
  <c r="S198" i="1"/>
  <c r="P198" i="1"/>
  <c r="T198" i="1" s="1"/>
  <c r="M198" i="1"/>
  <c r="K198" i="1"/>
  <c r="J198" i="1"/>
  <c r="G198" i="1"/>
  <c r="U198" i="1" s="1"/>
  <c r="AG197" i="1"/>
  <c r="AA197" i="1" s="1"/>
  <c r="Z197" i="1" s="1"/>
  <c r="Y197" i="1"/>
  <c r="X197" i="1"/>
  <c r="AK197" i="1" s="1"/>
  <c r="U197" i="1"/>
  <c r="W197" i="1" s="1"/>
  <c r="Q197" i="1"/>
  <c r="P197" i="1"/>
  <c r="T197" i="1" s="1"/>
  <c r="M197" i="1"/>
  <c r="R197" i="1" s="1"/>
  <c r="L197" i="1"/>
  <c r="K197" i="1"/>
  <c r="J197" i="1"/>
  <c r="G197" i="1"/>
  <c r="AG196" i="1"/>
  <c r="AA196" i="1" s="1"/>
  <c r="Z196" i="1" s="1"/>
  <c r="Y196" i="1"/>
  <c r="X196" i="1" s="1"/>
  <c r="AF196" i="1" s="1"/>
  <c r="U196" i="1"/>
  <c r="R196" i="1"/>
  <c r="P196" i="1"/>
  <c r="M196" i="1"/>
  <c r="L196" i="1"/>
  <c r="T196" i="1" s="1"/>
  <c r="K196" i="1"/>
  <c r="J196" i="1"/>
  <c r="G196" i="1"/>
  <c r="AG195" i="1"/>
  <c r="AF195" i="1"/>
  <c r="AE195" i="1"/>
  <c r="AA195" i="1"/>
  <c r="Z195" i="1"/>
  <c r="Y195" i="1"/>
  <c r="X195" i="1" s="1"/>
  <c r="AK195" i="1" s="1"/>
  <c r="R195" i="1"/>
  <c r="P195" i="1"/>
  <c r="T195" i="1" s="1"/>
  <c r="M195" i="1"/>
  <c r="K195" i="1"/>
  <c r="J195" i="1"/>
  <c r="G195" i="1"/>
  <c r="L195" i="1" s="1"/>
  <c r="AK194" i="1"/>
  <c r="AG194" i="1"/>
  <c r="AA194" i="1" s="1"/>
  <c r="Z194" i="1" s="1"/>
  <c r="AF194" i="1"/>
  <c r="AE194" i="1"/>
  <c r="Y194" i="1"/>
  <c r="X194" i="1"/>
  <c r="W194" i="1"/>
  <c r="V194" i="1"/>
  <c r="U194" i="1"/>
  <c r="T194" i="1"/>
  <c r="P194" i="1"/>
  <c r="S194" i="1" s="1"/>
  <c r="M194" i="1"/>
  <c r="R194" i="1" s="1"/>
  <c r="L194" i="1"/>
  <c r="Q194" i="1" s="1"/>
  <c r="K194" i="1"/>
  <c r="J194" i="1"/>
  <c r="G194" i="1"/>
  <c r="AG193" i="1"/>
  <c r="AF193" i="1"/>
  <c r="AE193" i="1"/>
  <c r="AA193" i="1"/>
  <c r="Z193" i="1" s="1"/>
  <c r="Y193" i="1"/>
  <c r="X193" i="1" s="1"/>
  <c r="AK193" i="1" s="1"/>
  <c r="R193" i="1"/>
  <c r="P193" i="1"/>
  <c r="M193" i="1"/>
  <c r="K193" i="1"/>
  <c r="J193" i="1"/>
  <c r="G193" i="1"/>
  <c r="L193" i="1" s="1"/>
  <c r="T193" i="1" s="1"/>
  <c r="AG192" i="1"/>
  <c r="AA192" i="1" s="1"/>
  <c r="Z192" i="1" s="1"/>
  <c r="Y192" i="1"/>
  <c r="X192" i="1" s="1"/>
  <c r="Q192" i="1"/>
  <c r="P192" i="1"/>
  <c r="S192" i="1" s="1"/>
  <c r="M192" i="1"/>
  <c r="L192" i="1"/>
  <c r="R192" i="1" s="1"/>
  <c r="K192" i="1"/>
  <c r="J192" i="1"/>
  <c r="G192" i="1"/>
  <c r="U192" i="1" s="1"/>
  <c r="AK191" i="1"/>
  <c r="AG191" i="1"/>
  <c r="AA191" i="1" s="1"/>
  <c r="Z191" i="1" s="1"/>
  <c r="AF191" i="1"/>
  <c r="AE191" i="1"/>
  <c r="Y191" i="1"/>
  <c r="X191" i="1"/>
  <c r="V191" i="1"/>
  <c r="S191" i="1"/>
  <c r="P191" i="1"/>
  <c r="M191" i="1"/>
  <c r="R191" i="1" s="1"/>
  <c r="L191" i="1"/>
  <c r="K191" i="1"/>
  <c r="J191" i="1"/>
  <c r="G191" i="1"/>
  <c r="U191" i="1" s="1"/>
  <c r="W191" i="1" s="1"/>
  <c r="AG190" i="1"/>
  <c r="AA190" i="1"/>
  <c r="Z190" i="1" s="1"/>
  <c r="Y190" i="1"/>
  <c r="X190" i="1"/>
  <c r="P190" i="1"/>
  <c r="M190" i="1"/>
  <c r="K190" i="1"/>
  <c r="J190" i="1"/>
  <c r="G190" i="1"/>
  <c r="AG189" i="1"/>
  <c r="AA189" i="1" s="1"/>
  <c r="Z189" i="1" s="1"/>
  <c r="Y189" i="1"/>
  <c r="X189" i="1"/>
  <c r="U189" i="1"/>
  <c r="Q189" i="1"/>
  <c r="P189" i="1"/>
  <c r="M189" i="1"/>
  <c r="R189" i="1" s="1"/>
  <c r="L189" i="1"/>
  <c r="K189" i="1"/>
  <c r="J189" i="1"/>
  <c r="G189" i="1"/>
  <c r="AG188" i="1"/>
  <c r="AA188" i="1" s="1"/>
  <c r="Z188" i="1"/>
  <c r="Y188" i="1"/>
  <c r="X188" i="1" s="1"/>
  <c r="AF188" i="1" s="1"/>
  <c r="U188" i="1"/>
  <c r="R188" i="1"/>
  <c r="P188" i="1"/>
  <c r="M188" i="1"/>
  <c r="L188" i="1"/>
  <c r="T188" i="1" s="1"/>
  <c r="K188" i="1"/>
  <c r="J188" i="1"/>
  <c r="G188" i="1"/>
  <c r="AK187" i="1"/>
  <c r="AG187" i="1"/>
  <c r="AA187" i="1"/>
  <c r="Z187" i="1" s="1"/>
  <c r="Y187" i="1"/>
  <c r="X187" i="1" s="1"/>
  <c r="P187" i="1"/>
  <c r="M187" i="1"/>
  <c r="K187" i="1"/>
  <c r="J187" i="1"/>
  <c r="G187" i="1"/>
  <c r="AK186" i="1"/>
  <c r="AG186" i="1"/>
  <c r="AA186" i="1" s="1"/>
  <c r="Z186" i="1" s="1"/>
  <c r="AE186" i="1"/>
  <c r="Y186" i="1"/>
  <c r="X186" i="1"/>
  <c r="AF186" i="1" s="1"/>
  <c r="W186" i="1"/>
  <c r="V186" i="1"/>
  <c r="U186" i="1"/>
  <c r="P186" i="1"/>
  <c r="S186" i="1" s="1"/>
  <c r="M186" i="1"/>
  <c r="R186" i="1" s="1"/>
  <c r="L186" i="1"/>
  <c r="Q186" i="1" s="1"/>
  <c r="K186" i="1"/>
  <c r="J186" i="1"/>
  <c r="G186" i="1"/>
  <c r="AG185" i="1"/>
  <c r="AF185" i="1"/>
  <c r="AE185" i="1"/>
  <c r="AA185" i="1"/>
  <c r="Z185" i="1" s="1"/>
  <c r="Y185" i="1"/>
  <c r="X185" i="1" s="1"/>
  <c r="AK185" i="1" s="1"/>
  <c r="P185" i="1"/>
  <c r="M185" i="1"/>
  <c r="K185" i="1"/>
  <c r="J185" i="1"/>
  <c r="G185" i="1"/>
  <c r="L185" i="1" s="1"/>
  <c r="R185" i="1" s="1"/>
  <c r="AG184" i="1"/>
  <c r="AA184" i="1" s="1"/>
  <c r="AF184" i="1"/>
  <c r="AE184" i="1"/>
  <c r="Z184" i="1"/>
  <c r="Y184" i="1"/>
  <c r="X184" i="1" s="1"/>
  <c r="AK184" i="1" s="1"/>
  <c r="W184" i="1"/>
  <c r="P184" i="1"/>
  <c r="M184" i="1"/>
  <c r="R184" i="1" s="1"/>
  <c r="L184" i="1"/>
  <c r="Q184" i="1" s="1"/>
  <c r="K184" i="1"/>
  <c r="J184" i="1"/>
  <c r="G184" i="1"/>
  <c r="U184" i="1" s="1"/>
  <c r="V184" i="1" s="1"/>
  <c r="AK183" i="1"/>
  <c r="AG183" i="1"/>
  <c r="AF183" i="1"/>
  <c r="AE183" i="1"/>
  <c r="AA183" i="1"/>
  <c r="Z183" i="1" s="1"/>
  <c r="Y183" i="1"/>
  <c r="X183" i="1"/>
  <c r="T183" i="1"/>
  <c r="S183" i="1"/>
  <c r="P183" i="1"/>
  <c r="M183" i="1"/>
  <c r="R183" i="1" s="1"/>
  <c r="L183" i="1"/>
  <c r="Q183" i="1" s="1"/>
  <c r="K183" i="1"/>
  <c r="J183" i="1"/>
  <c r="G183" i="1"/>
  <c r="U183" i="1" s="1"/>
  <c r="AG182" i="1"/>
  <c r="AA182" i="1"/>
  <c r="Z182" i="1" s="1"/>
  <c r="Y182" i="1"/>
  <c r="X182" i="1" s="1"/>
  <c r="P182" i="1"/>
  <c r="M182" i="1"/>
  <c r="K182" i="1"/>
  <c r="J182" i="1"/>
  <c r="G182" i="1"/>
  <c r="AG181" i="1"/>
  <c r="AA181" i="1" s="1"/>
  <c r="Z181" i="1" s="1"/>
  <c r="Y181" i="1"/>
  <c r="X181" i="1" s="1"/>
  <c r="W181" i="1"/>
  <c r="V181" i="1"/>
  <c r="U181" i="1"/>
  <c r="P181" i="1"/>
  <c r="M181" i="1"/>
  <c r="R181" i="1" s="1"/>
  <c r="L181" i="1"/>
  <c r="Q181" i="1" s="1"/>
  <c r="K181" i="1"/>
  <c r="J181" i="1"/>
  <c r="G181" i="1"/>
  <c r="AG180" i="1"/>
  <c r="AE180" i="1"/>
  <c r="AA180" i="1"/>
  <c r="Z180" i="1" s="1"/>
  <c r="Y180" i="1"/>
  <c r="X180" i="1" s="1"/>
  <c r="AK180" i="1" s="1"/>
  <c r="V180" i="1"/>
  <c r="U180" i="1"/>
  <c r="W180" i="1" s="1"/>
  <c r="R180" i="1"/>
  <c r="P180" i="1"/>
  <c r="M180" i="1"/>
  <c r="L180" i="1"/>
  <c r="Q180" i="1" s="1"/>
  <c r="K180" i="1"/>
  <c r="J180" i="1"/>
  <c r="G180" i="1"/>
  <c r="AG179" i="1"/>
  <c r="AF179" i="1"/>
  <c r="AE179" i="1"/>
  <c r="AA179" i="1"/>
  <c r="Z179" i="1"/>
  <c r="Y179" i="1"/>
  <c r="X179" i="1" s="1"/>
  <c r="AK179" i="1" s="1"/>
  <c r="P179" i="1"/>
  <c r="M179" i="1"/>
  <c r="K179" i="1"/>
  <c r="J179" i="1"/>
  <c r="G179" i="1"/>
  <c r="AK178" i="1"/>
  <c r="AG178" i="1"/>
  <c r="AA178" i="1" s="1"/>
  <c r="Z178" i="1" s="1"/>
  <c r="AF178" i="1"/>
  <c r="AE178" i="1"/>
  <c r="Y178" i="1"/>
  <c r="X178" i="1"/>
  <c r="U178" i="1"/>
  <c r="W178" i="1" s="1"/>
  <c r="T178" i="1"/>
  <c r="P178" i="1"/>
  <c r="M178" i="1"/>
  <c r="R178" i="1" s="1"/>
  <c r="L178" i="1"/>
  <c r="Q178" i="1" s="1"/>
  <c r="K178" i="1"/>
  <c r="J178" i="1"/>
  <c r="G178" i="1"/>
  <c r="AG177" i="1"/>
  <c r="AF177" i="1"/>
  <c r="AE177" i="1"/>
  <c r="AA177" i="1"/>
  <c r="Z177" i="1"/>
  <c r="Y177" i="1"/>
  <c r="X177" i="1" s="1"/>
  <c r="AK177" i="1" s="1"/>
  <c r="U177" i="1"/>
  <c r="S177" i="1"/>
  <c r="R177" i="1"/>
  <c r="Q177" i="1"/>
  <c r="P177" i="1"/>
  <c r="M177" i="1"/>
  <c r="K177" i="1"/>
  <c r="J177" i="1"/>
  <c r="G177" i="1"/>
  <c r="L177" i="1" s="1"/>
  <c r="T177" i="1" s="1"/>
  <c r="AG176" i="1"/>
  <c r="AA176" i="1" s="1"/>
  <c r="Z176" i="1" s="1"/>
  <c r="AF176" i="1"/>
  <c r="AE176" i="1"/>
  <c r="Y176" i="1"/>
  <c r="X176" i="1" s="1"/>
  <c r="AK176" i="1" s="1"/>
  <c r="R176" i="1"/>
  <c r="Q176" i="1"/>
  <c r="P176" i="1"/>
  <c r="M176" i="1"/>
  <c r="L176" i="1"/>
  <c r="K176" i="1"/>
  <c r="J176" i="1"/>
  <c r="G176" i="1"/>
  <c r="U176" i="1" s="1"/>
  <c r="V176" i="1" s="1"/>
  <c r="AK175" i="1"/>
  <c r="AG175" i="1"/>
  <c r="AA175" i="1" s="1"/>
  <c r="Z175" i="1" s="1"/>
  <c r="AF175" i="1"/>
  <c r="AE175" i="1"/>
  <c r="Y175" i="1"/>
  <c r="X175" i="1"/>
  <c r="P175" i="1"/>
  <c r="M175" i="1"/>
  <c r="K175" i="1"/>
  <c r="J175" i="1"/>
  <c r="G175" i="1"/>
  <c r="U175" i="1" s="1"/>
  <c r="AG174" i="1"/>
  <c r="AF174" i="1"/>
  <c r="AE174" i="1"/>
  <c r="AA174" i="1"/>
  <c r="Z174" i="1" s="1"/>
  <c r="Y174" i="1"/>
  <c r="X174" i="1"/>
  <c r="AK174" i="1" s="1"/>
  <c r="U174" i="1"/>
  <c r="S174" i="1"/>
  <c r="P174" i="1"/>
  <c r="M174" i="1"/>
  <c r="K174" i="1"/>
  <c r="J174" i="1"/>
  <c r="G174" i="1"/>
  <c r="L174" i="1" s="1"/>
  <c r="T174" i="1" s="1"/>
  <c r="AG173" i="1"/>
  <c r="AA173" i="1" s="1"/>
  <c r="AF173" i="1"/>
  <c r="AE173" i="1"/>
  <c r="Z173" i="1"/>
  <c r="Y173" i="1"/>
  <c r="X173" i="1" s="1"/>
  <c r="AK173" i="1" s="1"/>
  <c r="W173" i="1"/>
  <c r="V173" i="1"/>
  <c r="U173" i="1"/>
  <c r="P173" i="1"/>
  <c r="M173" i="1"/>
  <c r="R173" i="1" s="1"/>
  <c r="L173" i="1"/>
  <c r="Q173" i="1" s="1"/>
  <c r="K173" i="1"/>
  <c r="J173" i="1"/>
  <c r="G173" i="1"/>
  <c r="AG172" i="1"/>
  <c r="AF172" i="1"/>
  <c r="AE172" i="1"/>
  <c r="AA172" i="1"/>
  <c r="Z172" i="1" s="1"/>
  <c r="Y172" i="1"/>
  <c r="X172" i="1" s="1"/>
  <c r="AK172" i="1" s="1"/>
  <c r="P172" i="1"/>
  <c r="M172" i="1"/>
  <c r="R172" i="1" s="1"/>
  <c r="K172" i="1"/>
  <c r="J172" i="1"/>
  <c r="G172" i="1"/>
  <c r="L172" i="1" s="1"/>
  <c r="AK171" i="1"/>
  <c r="AG171" i="1"/>
  <c r="AF171" i="1"/>
  <c r="AE171" i="1"/>
  <c r="AA171" i="1"/>
  <c r="Z171" i="1" s="1"/>
  <c r="Y171" i="1"/>
  <c r="X171" i="1"/>
  <c r="P171" i="1"/>
  <c r="M171" i="1"/>
  <c r="K171" i="1"/>
  <c r="J171" i="1"/>
  <c r="G171" i="1"/>
  <c r="AG170" i="1"/>
  <c r="AA170" i="1" s="1"/>
  <c r="Z170" i="1" s="1"/>
  <c r="AF170" i="1"/>
  <c r="AE170" i="1"/>
  <c r="Y170" i="1"/>
  <c r="X170" i="1"/>
  <c r="AK170" i="1" s="1"/>
  <c r="W170" i="1"/>
  <c r="V170" i="1"/>
  <c r="U170" i="1"/>
  <c r="P170" i="1"/>
  <c r="M170" i="1"/>
  <c r="L170" i="1"/>
  <c r="T170" i="1" s="1"/>
  <c r="K170" i="1"/>
  <c r="J170" i="1"/>
  <c r="G170" i="1"/>
  <c r="AG169" i="1"/>
  <c r="AA169" i="1" s="1"/>
  <c r="Z169" i="1" s="1"/>
  <c r="AF169" i="1"/>
  <c r="AE169" i="1"/>
  <c r="Y169" i="1"/>
  <c r="X169" i="1" s="1"/>
  <c r="AK169" i="1" s="1"/>
  <c r="U169" i="1"/>
  <c r="W169" i="1" s="1"/>
  <c r="T169" i="1"/>
  <c r="P169" i="1"/>
  <c r="M169" i="1"/>
  <c r="L169" i="1"/>
  <c r="S169" i="1" s="1"/>
  <c r="K169" i="1"/>
  <c r="J169" i="1"/>
  <c r="G169" i="1"/>
  <c r="AG168" i="1"/>
  <c r="AF168" i="1"/>
  <c r="AE168" i="1"/>
  <c r="AA168" i="1"/>
  <c r="Z168" i="1" s="1"/>
  <c r="Y168" i="1"/>
  <c r="X168" i="1" s="1"/>
  <c r="AK168" i="1" s="1"/>
  <c r="R168" i="1"/>
  <c r="P168" i="1"/>
  <c r="M168" i="1"/>
  <c r="K168" i="1"/>
  <c r="J168" i="1"/>
  <c r="G168" i="1"/>
  <c r="U168" i="1" s="1"/>
  <c r="W168" i="1" s="1"/>
  <c r="AK167" i="1"/>
  <c r="AG167" i="1"/>
  <c r="AA167" i="1" s="1"/>
  <c r="Z167" i="1" s="1"/>
  <c r="AF167" i="1"/>
  <c r="AE167" i="1"/>
  <c r="Y167" i="1"/>
  <c r="X167" i="1"/>
  <c r="P167" i="1"/>
  <c r="M167" i="1"/>
  <c r="K167" i="1"/>
  <c r="J167" i="1"/>
  <c r="G167" i="1"/>
  <c r="U167" i="1" s="1"/>
  <c r="AG166" i="1"/>
  <c r="AF166" i="1"/>
  <c r="AE166" i="1"/>
  <c r="AA166" i="1"/>
  <c r="Z166" i="1" s="1"/>
  <c r="Y166" i="1"/>
  <c r="X166" i="1"/>
  <c r="AK166" i="1" s="1"/>
  <c r="S166" i="1"/>
  <c r="P166" i="1"/>
  <c r="M166" i="1"/>
  <c r="K166" i="1"/>
  <c r="J166" i="1"/>
  <c r="G166" i="1"/>
  <c r="L166" i="1" s="1"/>
  <c r="T166" i="1" s="1"/>
  <c r="AG165" i="1"/>
  <c r="AA165" i="1" s="1"/>
  <c r="AF165" i="1"/>
  <c r="AE165" i="1"/>
  <c r="Z165" i="1"/>
  <c r="Y165" i="1"/>
  <c r="X165" i="1" s="1"/>
  <c r="AK165" i="1" s="1"/>
  <c r="W165" i="1"/>
  <c r="V165" i="1"/>
  <c r="U165" i="1"/>
  <c r="P165" i="1"/>
  <c r="M165" i="1"/>
  <c r="R165" i="1" s="1"/>
  <c r="L165" i="1"/>
  <c r="Q165" i="1" s="1"/>
  <c r="K165" i="1"/>
  <c r="J165" i="1"/>
  <c r="G165" i="1"/>
  <c r="AG164" i="1"/>
  <c r="AF164" i="1"/>
  <c r="AE164" i="1"/>
  <c r="AA164" i="1"/>
  <c r="Z164" i="1"/>
  <c r="Y164" i="1"/>
  <c r="X164" i="1" s="1"/>
  <c r="AK164" i="1" s="1"/>
  <c r="S164" i="1"/>
  <c r="P164" i="1"/>
  <c r="M164" i="1"/>
  <c r="R164" i="1" s="1"/>
  <c r="K164" i="1"/>
  <c r="J164" i="1"/>
  <c r="G164" i="1"/>
  <c r="L164" i="1" s="1"/>
  <c r="AK163" i="1"/>
  <c r="AG163" i="1"/>
  <c r="AF163" i="1"/>
  <c r="AE163" i="1"/>
  <c r="AA163" i="1"/>
  <c r="Z163" i="1" s="1"/>
  <c r="Y163" i="1"/>
  <c r="X163" i="1"/>
  <c r="R163" i="1"/>
  <c r="P163" i="1"/>
  <c r="M163" i="1"/>
  <c r="K163" i="1"/>
  <c r="J163" i="1"/>
  <c r="G163" i="1"/>
  <c r="AG162" i="1"/>
  <c r="AA162" i="1" s="1"/>
  <c r="Z162" i="1" s="1"/>
  <c r="AF162" i="1"/>
  <c r="AE162" i="1"/>
  <c r="Y162" i="1"/>
  <c r="X162" i="1"/>
  <c r="AK162" i="1" s="1"/>
  <c r="U162" i="1"/>
  <c r="W162" i="1" s="1"/>
  <c r="Q162" i="1"/>
  <c r="P162" i="1"/>
  <c r="M162" i="1"/>
  <c r="R162" i="1" s="1"/>
  <c r="L162" i="1"/>
  <c r="K162" i="1"/>
  <c r="J162" i="1"/>
  <c r="G162" i="1"/>
  <c r="AG161" i="1"/>
  <c r="AA161" i="1" s="1"/>
  <c r="Z161" i="1" s="1"/>
  <c r="AF161" i="1"/>
  <c r="AE161" i="1"/>
  <c r="Y161" i="1"/>
  <c r="X161" i="1" s="1"/>
  <c r="AK161" i="1" s="1"/>
  <c r="U161" i="1"/>
  <c r="R161" i="1"/>
  <c r="P161" i="1"/>
  <c r="M161" i="1"/>
  <c r="L161" i="1"/>
  <c r="T161" i="1" s="1"/>
  <c r="K161" i="1"/>
  <c r="J161" i="1"/>
  <c r="G161" i="1"/>
  <c r="AK160" i="1"/>
  <c r="AG160" i="1"/>
  <c r="AF160" i="1"/>
  <c r="AE160" i="1"/>
  <c r="AA160" i="1"/>
  <c r="Z160" i="1"/>
  <c r="Y160" i="1"/>
  <c r="X160" i="1"/>
  <c r="S160" i="1"/>
  <c r="R160" i="1"/>
  <c r="P160" i="1"/>
  <c r="M160" i="1"/>
  <c r="K160" i="1"/>
  <c r="J160" i="1"/>
  <c r="G160" i="1"/>
  <c r="L160" i="1" s="1"/>
  <c r="Q160" i="1" s="1"/>
  <c r="AK159" i="1"/>
  <c r="AG159" i="1"/>
  <c r="AA159" i="1" s="1"/>
  <c r="Z159" i="1" s="1"/>
  <c r="AF159" i="1"/>
  <c r="AE159" i="1"/>
  <c r="Y159" i="1"/>
  <c r="X159" i="1"/>
  <c r="W159" i="1"/>
  <c r="U159" i="1"/>
  <c r="V159" i="1" s="1"/>
  <c r="T159" i="1"/>
  <c r="P159" i="1"/>
  <c r="S159" i="1" s="1"/>
  <c r="M159" i="1"/>
  <c r="R159" i="1" s="1"/>
  <c r="L159" i="1"/>
  <c r="Q159" i="1" s="1"/>
  <c r="K159" i="1"/>
  <c r="J159" i="1"/>
  <c r="G159" i="1"/>
  <c r="AG158" i="1"/>
  <c r="AF158" i="1"/>
  <c r="AE158" i="1"/>
  <c r="AA158" i="1"/>
  <c r="Z158" i="1"/>
  <c r="Y158" i="1"/>
  <c r="X158" i="1" s="1"/>
  <c r="AK158" i="1" s="1"/>
  <c r="U158" i="1"/>
  <c r="W158" i="1" s="1"/>
  <c r="R158" i="1"/>
  <c r="Q158" i="1"/>
  <c r="P158" i="1"/>
  <c r="M158" i="1"/>
  <c r="K158" i="1"/>
  <c r="J158" i="1"/>
  <c r="G158" i="1"/>
  <c r="L158" i="1" s="1"/>
  <c r="S158" i="1" s="1"/>
  <c r="AG157" i="1"/>
  <c r="AA157" i="1" s="1"/>
  <c r="Z157" i="1" s="1"/>
  <c r="AF157" i="1"/>
  <c r="AE157" i="1"/>
  <c r="Y157" i="1"/>
  <c r="X157" i="1" s="1"/>
  <c r="AK157" i="1" s="1"/>
  <c r="W157" i="1"/>
  <c r="V157" i="1"/>
  <c r="U157" i="1"/>
  <c r="R157" i="1"/>
  <c r="P157" i="1"/>
  <c r="T157" i="1" s="1"/>
  <c r="M157" i="1"/>
  <c r="L157" i="1"/>
  <c r="Q157" i="1" s="1"/>
  <c r="K157" i="1"/>
  <c r="J157" i="1"/>
  <c r="G157" i="1"/>
  <c r="AK156" i="1"/>
  <c r="AG156" i="1"/>
  <c r="AF156" i="1"/>
  <c r="AE156" i="1"/>
  <c r="AA156" i="1"/>
  <c r="Z156" i="1" s="1"/>
  <c r="Y156" i="1"/>
  <c r="X156" i="1" s="1"/>
  <c r="S156" i="1"/>
  <c r="P156" i="1"/>
  <c r="M156" i="1"/>
  <c r="R156" i="1" s="1"/>
  <c r="K156" i="1"/>
  <c r="J156" i="1"/>
  <c r="G156" i="1"/>
  <c r="U156" i="1" s="1"/>
  <c r="W156" i="1" s="1"/>
  <c r="AG155" i="1"/>
  <c r="AF155" i="1"/>
  <c r="AE155" i="1"/>
  <c r="AA155" i="1"/>
  <c r="Z155" i="1" s="1"/>
  <c r="Y155" i="1"/>
  <c r="X155" i="1"/>
  <c r="AK155" i="1" s="1"/>
  <c r="P155" i="1"/>
  <c r="M155" i="1"/>
  <c r="K155" i="1"/>
  <c r="J155" i="1"/>
  <c r="G155" i="1"/>
  <c r="AG154" i="1"/>
  <c r="AA154" i="1" s="1"/>
  <c r="Z154" i="1" s="1"/>
  <c r="AF154" i="1"/>
  <c r="AE154" i="1"/>
  <c r="Y154" i="1"/>
  <c r="X154" i="1" s="1"/>
  <c r="AK154" i="1" s="1"/>
  <c r="U154" i="1"/>
  <c r="W154" i="1" s="1"/>
  <c r="P154" i="1"/>
  <c r="M154" i="1"/>
  <c r="L154" i="1"/>
  <c r="Q154" i="1" s="1"/>
  <c r="K154" i="1"/>
  <c r="J154" i="1"/>
  <c r="G154" i="1"/>
  <c r="AG153" i="1"/>
  <c r="AA153" i="1" s="1"/>
  <c r="Z153" i="1" s="1"/>
  <c r="AF153" i="1"/>
  <c r="AE153" i="1"/>
  <c r="Y153" i="1"/>
  <c r="X153" i="1" s="1"/>
  <c r="AK153" i="1" s="1"/>
  <c r="R153" i="1"/>
  <c r="P153" i="1"/>
  <c r="M153" i="1"/>
  <c r="L153" i="1"/>
  <c r="S153" i="1" s="1"/>
  <c r="K153" i="1"/>
  <c r="J153" i="1"/>
  <c r="G153" i="1"/>
  <c r="U153" i="1" s="1"/>
  <c r="AK152" i="1"/>
  <c r="AG152" i="1"/>
  <c r="AF152" i="1"/>
  <c r="AE152" i="1"/>
  <c r="AA152" i="1"/>
  <c r="Z152" i="1" s="1"/>
  <c r="Y152" i="1"/>
  <c r="X152" i="1"/>
  <c r="P152" i="1"/>
  <c r="M152" i="1"/>
  <c r="K152" i="1"/>
  <c r="J152" i="1"/>
  <c r="G152" i="1"/>
  <c r="AG151" i="1"/>
  <c r="AA151" i="1" s="1"/>
  <c r="Z151" i="1" s="1"/>
  <c r="AF151" i="1"/>
  <c r="AE151" i="1"/>
  <c r="Y151" i="1"/>
  <c r="X151" i="1"/>
  <c r="AK151" i="1" s="1"/>
  <c r="V151" i="1"/>
  <c r="U151" i="1"/>
  <c r="W151" i="1" s="1"/>
  <c r="P151" i="1"/>
  <c r="S151" i="1" s="1"/>
  <c r="M151" i="1"/>
  <c r="R151" i="1" s="1"/>
  <c r="L151" i="1"/>
  <c r="Q151" i="1" s="1"/>
  <c r="K151" i="1"/>
  <c r="J151" i="1"/>
  <c r="G151" i="1"/>
  <c r="AG150" i="1"/>
  <c r="AF150" i="1"/>
  <c r="AE150" i="1"/>
  <c r="AA150" i="1"/>
  <c r="Z150" i="1" s="1"/>
  <c r="Y150" i="1"/>
  <c r="X150" i="1" s="1"/>
  <c r="AK150" i="1" s="1"/>
  <c r="P150" i="1"/>
  <c r="M150" i="1"/>
  <c r="K150" i="1"/>
  <c r="J150" i="1"/>
  <c r="G150" i="1"/>
  <c r="L150" i="1" s="1"/>
  <c r="Q150" i="1" s="1"/>
  <c r="AG149" i="1"/>
  <c r="AA149" i="1" s="1"/>
  <c r="AF149" i="1"/>
  <c r="AE149" i="1"/>
  <c r="Z149" i="1"/>
  <c r="Y149" i="1"/>
  <c r="X149" i="1" s="1"/>
  <c r="AK149" i="1" s="1"/>
  <c r="W149" i="1"/>
  <c r="U149" i="1"/>
  <c r="V149" i="1" s="1"/>
  <c r="Q149" i="1"/>
  <c r="P149" i="1"/>
  <c r="M149" i="1"/>
  <c r="R149" i="1" s="1"/>
  <c r="L149" i="1"/>
  <c r="K149" i="1"/>
  <c r="J149" i="1"/>
  <c r="G149" i="1"/>
  <c r="AG148" i="1"/>
  <c r="AA148" i="1" s="1"/>
  <c r="Z148" i="1" s="1"/>
  <c r="AF148" i="1"/>
  <c r="AE148" i="1"/>
  <c r="Y148" i="1"/>
  <c r="X148" i="1" s="1"/>
  <c r="AK148" i="1" s="1"/>
  <c r="U148" i="1"/>
  <c r="V148" i="1" s="1"/>
  <c r="P148" i="1"/>
  <c r="M148" i="1"/>
  <c r="R148" i="1" s="1"/>
  <c r="K148" i="1"/>
  <c r="J148" i="1"/>
  <c r="G148" i="1"/>
  <c r="L148" i="1" s="1"/>
  <c r="AG147" i="1"/>
  <c r="AF147" i="1"/>
  <c r="AE147" i="1"/>
  <c r="AA147" i="1"/>
  <c r="Z147" i="1" s="1"/>
  <c r="Y147" i="1"/>
  <c r="X147" i="1" s="1"/>
  <c r="AK147" i="1" s="1"/>
  <c r="P147" i="1"/>
  <c r="M147" i="1"/>
  <c r="R147" i="1" s="1"/>
  <c r="K147" i="1"/>
  <c r="J147" i="1"/>
  <c r="G147" i="1"/>
  <c r="AG146" i="1"/>
  <c r="AA146" i="1" s="1"/>
  <c r="Z146" i="1" s="1"/>
  <c r="AF146" i="1"/>
  <c r="AE146" i="1"/>
  <c r="Y146" i="1"/>
  <c r="X146" i="1" s="1"/>
  <c r="AK146" i="1" s="1"/>
  <c r="U146" i="1"/>
  <c r="W146" i="1" s="1"/>
  <c r="P146" i="1"/>
  <c r="M146" i="1"/>
  <c r="R146" i="1" s="1"/>
  <c r="L146" i="1"/>
  <c r="T146" i="1" s="1"/>
  <c r="K146" i="1"/>
  <c r="J146" i="1"/>
  <c r="G146" i="1"/>
  <c r="AG145" i="1"/>
  <c r="AF145" i="1"/>
  <c r="AE145" i="1"/>
  <c r="AA145" i="1"/>
  <c r="Z145" i="1" s="1"/>
  <c r="Y145" i="1"/>
  <c r="X145" i="1" s="1"/>
  <c r="AK145" i="1" s="1"/>
  <c r="U145" i="1"/>
  <c r="W145" i="1" s="1"/>
  <c r="P145" i="1"/>
  <c r="M145" i="1"/>
  <c r="K145" i="1"/>
  <c r="J145" i="1"/>
  <c r="G145" i="1"/>
  <c r="L145" i="1" s="1"/>
  <c r="AG144" i="1"/>
  <c r="AA144" i="1" s="1"/>
  <c r="Z144" i="1" s="1"/>
  <c r="AF144" i="1"/>
  <c r="AE144" i="1"/>
  <c r="Y144" i="1"/>
  <c r="X144" i="1"/>
  <c r="AK144" i="1" s="1"/>
  <c r="V144" i="1"/>
  <c r="R144" i="1"/>
  <c r="P144" i="1"/>
  <c r="M144" i="1"/>
  <c r="K144" i="1"/>
  <c r="J144" i="1"/>
  <c r="G144" i="1"/>
  <c r="U144" i="1" s="1"/>
  <c r="W144" i="1" s="1"/>
  <c r="AG143" i="1"/>
  <c r="AF143" i="1"/>
  <c r="AE143" i="1"/>
  <c r="AA143" i="1"/>
  <c r="Z143" i="1" s="1"/>
  <c r="Y143" i="1"/>
  <c r="X143" i="1"/>
  <c r="AK143" i="1" s="1"/>
  <c r="P143" i="1"/>
  <c r="S143" i="1" s="1"/>
  <c r="M143" i="1"/>
  <c r="R143" i="1" s="1"/>
  <c r="L143" i="1"/>
  <c r="Q143" i="1" s="1"/>
  <c r="K143" i="1"/>
  <c r="J143" i="1"/>
  <c r="G143" i="1"/>
  <c r="U143" i="1" s="1"/>
  <c r="AG142" i="1"/>
  <c r="AF142" i="1"/>
  <c r="AE142" i="1"/>
  <c r="AA142" i="1"/>
  <c r="Z142" i="1"/>
  <c r="Y142" i="1"/>
  <c r="X142" i="1" s="1"/>
  <c r="AK142" i="1" s="1"/>
  <c r="P142" i="1"/>
  <c r="T142" i="1" s="1"/>
  <c r="M142" i="1"/>
  <c r="K142" i="1"/>
  <c r="J142" i="1"/>
  <c r="G142" i="1"/>
  <c r="L142" i="1" s="1"/>
  <c r="Q142" i="1" s="1"/>
  <c r="AG141" i="1"/>
  <c r="AA141" i="1" s="1"/>
  <c r="Z141" i="1"/>
  <c r="Y141" i="1"/>
  <c r="X141" i="1" s="1"/>
  <c r="V141" i="1"/>
  <c r="U141" i="1"/>
  <c r="W141" i="1" s="1"/>
  <c r="P141" i="1"/>
  <c r="M141" i="1"/>
  <c r="R141" i="1" s="1"/>
  <c r="L141" i="1"/>
  <c r="Q141" i="1" s="1"/>
  <c r="K141" i="1"/>
  <c r="J141" i="1"/>
  <c r="G141" i="1"/>
  <c r="AG140" i="1"/>
  <c r="AF140" i="1"/>
  <c r="AA140" i="1"/>
  <c r="Z140" i="1" s="1"/>
  <c r="Y140" i="1"/>
  <c r="X140" i="1" s="1"/>
  <c r="AE140" i="1" s="1"/>
  <c r="P140" i="1"/>
  <c r="M140" i="1"/>
  <c r="K140" i="1"/>
  <c r="J140" i="1"/>
  <c r="G140" i="1"/>
  <c r="AG139" i="1"/>
  <c r="AF139" i="1"/>
  <c r="AE139" i="1"/>
  <c r="AA139" i="1"/>
  <c r="Z139" i="1"/>
  <c r="Y139" i="1"/>
  <c r="X139" i="1"/>
  <c r="AK139" i="1" s="1"/>
  <c r="R139" i="1"/>
  <c r="P139" i="1"/>
  <c r="M139" i="1"/>
  <c r="K139" i="1"/>
  <c r="J139" i="1"/>
  <c r="G139" i="1"/>
  <c r="AG138" i="1"/>
  <c r="AA138" i="1" s="1"/>
  <c r="Z138" i="1" s="1"/>
  <c r="Y138" i="1"/>
  <c r="X138" i="1"/>
  <c r="W138" i="1"/>
  <c r="V138" i="1"/>
  <c r="U138" i="1"/>
  <c r="P138" i="1"/>
  <c r="M138" i="1"/>
  <c r="R138" i="1" s="1"/>
  <c r="L138" i="1"/>
  <c r="K138" i="1"/>
  <c r="J138" i="1"/>
  <c r="G138" i="1"/>
  <c r="AG137" i="1"/>
  <c r="AA137" i="1" s="1"/>
  <c r="AF137" i="1"/>
  <c r="AE137" i="1"/>
  <c r="Z137" i="1"/>
  <c r="Y137" i="1"/>
  <c r="X137" i="1" s="1"/>
  <c r="AK137" i="1" s="1"/>
  <c r="T137" i="1"/>
  <c r="R137" i="1"/>
  <c r="P137" i="1"/>
  <c r="M137" i="1"/>
  <c r="L137" i="1"/>
  <c r="Q137" i="1" s="1"/>
  <c r="K137" i="1"/>
  <c r="J137" i="1"/>
  <c r="G137" i="1"/>
  <c r="U137" i="1" s="1"/>
  <c r="AG136" i="1"/>
  <c r="AA136" i="1"/>
  <c r="Z136" i="1" s="1"/>
  <c r="Y136" i="1"/>
  <c r="X136" i="1" s="1"/>
  <c r="W136" i="1"/>
  <c r="P136" i="1"/>
  <c r="M136" i="1"/>
  <c r="K136" i="1"/>
  <c r="J136" i="1"/>
  <c r="G136" i="1"/>
  <c r="U136" i="1" s="1"/>
  <c r="V136" i="1" s="1"/>
  <c r="AG135" i="1"/>
  <c r="AA135" i="1" s="1"/>
  <c r="Z135" i="1" s="1"/>
  <c r="AF135" i="1"/>
  <c r="AE135" i="1"/>
  <c r="Y135" i="1"/>
  <c r="X135" i="1"/>
  <c r="AK135" i="1" s="1"/>
  <c r="P135" i="1"/>
  <c r="M135" i="1"/>
  <c r="K135" i="1"/>
  <c r="J135" i="1"/>
  <c r="G135" i="1"/>
  <c r="L135" i="1" s="1"/>
  <c r="AG134" i="1"/>
  <c r="AF134" i="1"/>
  <c r="AE134" i="1"/>
  <c r="AA134" i="1"/>
  <c r="Z134" i="1" s="1"/>
  <c r="Y134" i="1"/>
  <c r="X134" i="1" s="1"/>
  <c r="AK134" i="1" s="1"/>
  <c r="U134" i="1"/>
  <c r="Q134" i="1"/>
  <c r="P134" i="1"/>
  <c r="M134" i="1"/>
  <c r="K134" i="1"/>
  <c r="J134" i="1"/>
  <c r="G134" i="1"/>
  <c r="L134" i="1" s="1"/>
  <c r="T134" i="1" s="1"/>
  <c r="AG133" i="1"/>
  <c r="AA133" i="1" s="1"/>
  <c r="Z133" i="1"/>
  <c r="Y133" i="1"/>
  <c r="X133" i="1" s="1"/>
  <c r="AF133" i="1" s="1"/>
  <c r="W133" i="1"/>
  <c r="V133" i="1"/>
  <c r="U133" i="1"/>
  <c r="Q133" i="1"/>
  <c r="P133" i="1"/>
  <c r="M133" i="1"/>
  <c r="R133" i="1" s="1"/>
  <c r="L133" i="1"/>
  <c r="K133" i="1"/>
  <c r="J133" i="1"/>
  <c r="G133" i="1"/>
  <c r="AG132" i="1"/>
  <c r="AA132" i="1" s="1"/>
  <c r="Z132" i="1"/>
  <c r="Y132" i="1"/>
  <c r="X132" i="1" s="1"/>
  <c r="AK132" i="1" s="1"/>
  <c r="U132" i="1"/>
  <c r="P132" i="1"/>
  <c r="M132" i="1"/>
  <c r="R132" i="1" s="1"/>
  <c r="L132" i="1"/>
  <c r="Q132" i="1" s="1"/>
  <c r="K132" i="1"/>
  <c r="J132" i="1"/>
  <c r="G132" i="1"/>
  <c r="AG131" i="1"/>
  <c r="AA131" i="1"/>
  <c r="Z131" i="1" s="1"/>
  <c r="Y131" i="1"/>
  <c r="X131" i="1"/>
  <c r="AE131" i="1" s="1"/>
  <c r="P131" i="1"/>
  <c r="M131" i="1"/>
  <c r="K131" i="1"/>
  <c r="J131" i="1"/>
  <c r="G131" i="1"/>
  <c r="AG130" i="1"/>
  <c r="AA130" i="1" s="1"/>
  <c r="Z130" i="1" s="1"/>
  <c r="AF130" i="1"/>
  <c r="AE130" i="1"/>
  <c r="Y130" i="1"/>
  <c r="X130" i="1"/>
  <c r="AK130" i="1" s="1"/>
  <c r="W130" i="1"/>
  <c r="V130" i="1"/>
  <c r="U130" i="1"/>
  <c r="T130" i="1"/>
  <c r="P130" i="1"/>
  <c r="M130" i="1"/>
  <c r="L130" i="1"/>
  <c r="Q130" i="1" s="1"/>
  <c r="K130" i="1"/>
  <c r="J130" i="1"/>
  <c r="G130" i="1"/>
  <c r="AG129" i="1"/>
  <c r="AA129" i="1" s="1"/>
  <c r="AF129" i="1"/>
  <c r="AE129" i="1"/>
  <c r="Z129" i="1"/>
  <c r="Y129" i="1"/>
  <c r="X129" i="1" s="1"/>
  <c r="AK129" i="1" s="1"/>
  <c r="P129" i="1"/>
  <c r="M129" i="1"/>
  <c r="K129" i="1"/>
  <c r="J129" i="1"/>
  <c r="G129" i="1"/>
  <c r="U129" i="1" s="1"/>
  <c r="AG128" i="1"/>
  <c r="AA128" i="1"/>
  <c r="Z128" i="1" s="1"/>
  <c r="Y128" i="1"/>
  <c r="X128" i="1" s="1"/>
  <c r="W128" i="1"/>
  <c r="P128" i="1"/>
  <c r="M128" i="1"/>
  <c r="R128" i="1" s="1"/>
  <c r="K128" i="1"/>
  <c r="J128" i="1"/>
  <c r="G128" i="1"/>
  <c r="U128" i="1" s="1"/>
  <c r="V128" i="1" s="1"/>
  <c r="AG127" i="1"/>
  <c r="AA127" i="1" s="1"/>
  <c r="Z127" i="1" s="1"/>
  <c r="Y127" i="1"/>
  <c r="X127" i="1" s="1"/>
  <c r="V127" i="1"/>
  <c r="U127" i="1"/>
  <c r="W127" i="1" s="1"/>
  <c r="P127" i="1"/>
  <c r="S127" i="1" s="1"/>
  <c r="M127" i="1"/>
  <c r="L127" i="1"/>
  <c r="Q127" i="1" s="1"/>
  <c r="K127" i="1"/>
  <c r="J127" i="1"/>
  <c r="G127" i="1"/>
  <c r="AK126" i="1"/>
  <c r="AG126" i="1"/>
  <c r="AA126" i="1"/>
  <c r="Z126" i="1" s="1"/>
  <c r="Y126" i="1"/>
  <c r="X126" i="1" s="1"/>
  <c r="P126" i="1"/>
  <c r="M126" i="1"/>
  <c r="K126" i="1"/>
  <c r="J126" i="1"/>
  <c r="G126" i="1"/>
  <c r="AG125" i="1"/>
  <c r="AA125" i="1"/>
  <c r="Z125" i="1"/>
  <c r="Y125" i="1"/>
  <c r="X125" i="1"/>
  <c r="AE125" i="1" s="1"/>
  <c r="R125" i="1"/>
  <c r="P125" i="1"/>
  <c r="M125" i="1"/>
  <c r="K125" i="1"/>
  <c r="J125" i="1"/>
  <c r="G125" i="1"/>
  <c r="U125" i="1" s="1"/>
  <c r="AG124" i="1"/>
  <c r="AF124" i="1"/>
  <c r="AA124" i="1"/>
  <c r="Z124" i="1" s="1"/>
  <c r="Y124" i="1"/>
  <c r="X124" i="1" s="1"/>
  <c r="U124" i="1"/>
  <c r="P124" i="1"/>
  <c r="M124" i="1"/>
  <c r="K124" i="1"/>
  <c r="J124" i="1"/>
  <c r="G124" i="1"/>
  <c r="L124" i="1" s="1"/>
  <c r="Q124" i="1" s="1"/>
  <c r="AG123" i="1"/>
  <c r="AA123" i="1" s="1"/>
  <c r="Z123" i="1" s="1"/>
  <c r="AF123" i="1"/>
  <c r="AE123" i="1"/>
  <c r="Y123" i="1"/>
  <c r="X123" i="1"/>
  <c r="AK123" i="1" s="1"/>
  <c r="U123" i="1"/>
  <c r="W123" i="1" s="1"/>
  <c r="T123" i="1"/>
  <c r="R123" i="1"/>
  <c r="P123" i="1"/>
  <c r="S123" i="1" s="1"/>
  <c r="M123" i="1"/>
  <c r="L123" i="1"/>
  <c r="Q123" i="1" s="1"/>
  <c r="K123" i="1"/>
  <c r="J123" i="1"/>
  <c r="G123" i="1"/>
  <c r="AK122" i="1"/>
  <c r="AG122" i="1"/>
  <c r="AA122" i="1"/>
  <c r="Z122" i="1" s="1"/>
  <c r="Y122" i="1"/>
  <c r="X122" i="1" s="1"/>
  <c r="P122" i="1"/>
  <c r="M122" i="1"/>
  <c r="K122" i="1"/>
  <c r="J122" i="1"/>
  <c r="G122" i="1"/>
  <c r="AK121" i="1"/>
  <c r="AG121" i="1"/>
  <c r="AA121" i="1" s="1"/>
  <c r="Z121" i="1" s="1"/>
  <c r="AE121" i="1"/>
  <c r="Y121" i="1"/>
  <c r="X121" i="1"/>
  <c r="AF121" i="1" s="1"/>
  <c r="T121" i="1"/>
  <c r="P121" i="1"/>
  <c r="S121" i="1" s="1"/>
  <c r="M121" i="1"/>
  <c r="R121" i="1" s="1"/>
  <c r="L121" i="1"/>
  <c r="Q121" i="1" s="1"/>
  <c r="K121" i="1"/>
  <c r="J121" i="1"/>
  <c r="G121" i="1"/>
  <c r="U121" i="1" s="1"/>
  <c r="V121" i="1" s="1"/>
  <c r="AG120" i="1"/>
  <c r="AF120" i="1"/>
  <c r="AE120" i="1"/>
  <c r="AA120" i="1"/>
  <c r="Z120" i="1" s="1"/>
  <c r="Y120" i="1"/>
  <c r="X120" i="1" s="1"/>
  <c r="AK120" i="1" s="1"/>
  <c r="P120" i="1"/>
  <c r="M120" i="1"/>
  <c r="K120" i="1"/>
  <c r="J120" i="1"/>
  <c r="G120" i="1"/>
  <c r="L120" i="1" s="1"/>
  <c r="Q120" i="1" s="1"/>
  <c r="AG119" i="1"/>
  <c r="AA119" i="1" s="1"/>
  <c r="AF119" i="1"/>
  <c r="AE119" i="1"/>
  <c r="Z119" i="1"/>
  <c r="Y119" i="1"/>
  <c r="X119" i="1"/>
  <c r="AK119" i="1" s="1"/>
  <c r="V119" i="1"/>
  <c r="U119" i="1"/>
  <c r="W119" i="1" s="1"/>
  <c r="P119" i="1"/>
  <c r="M119" i="1"/>
  <c r="L119" i="1"/>
  <c r="R119" i="1" s="1"/>
  <c r="K119" i="1"/>
  <c r="J119" i="1"/>
  <c r="G119" i="1"/>
  <c r="AG118" i="1"/>
  <c r="AF118" i="1"/>
  <c r="AE118" i="1"/>
  <c r="AA118" i="1"/>
  <c r="Z118" i="1" s="1"/>
  <c r="Y118" i="1"/>
  <c r="X118" i="1" s="1"/>
  <c r="AK118" i="1" s="1"/>
  <c r="P118" i="1"/>
  <c r="M118" i="1"/>
  <c r="K118" i="1"/>
  <c r="J118" i="1"/>
  <c r="G118" i="1"/>
  <c r="L118" i="1" s="1"/>
  <c r="AG117" i="1"/>
  <c r="AA117" i="1"/>
  <c r="Z117" i="1"/>
  <c r="Y117" i="1"/>
  <c r="X117" i="1"/>
  <c r="AE117" i="1" s="1"/>
  <c r="P117" i="1"/>
  <c r="M117" i="1"/>
  <c r="K117" i="1"/>
  <c r="J117" i="1"/>
  <c r="G117" i="1"/>
  <c r="AG116" i="1"/>
  <c r="AA116" i="1"/>
  <c r="Z116" i="1" s="1"/>
  <c r="Y116" i="1"/>
  <c r="X116" i="1"/>
  <c r="AE116" i="1" s="1"/>
  <c r="U116" i="1"/>
  <c r="V116" i="1" s="1"/>
  <c r="P116" i="1"/>
  <c r="M116" i="1"/>
  <c r="R116" i="1" s="1"/>
  <c r="K116" i="1"/>
  <c r="J116" i="1"/>
  <c r="G116" i="1"/>
  <c r="L116" i="1" s="1"/>
  <c r="Q116" i="1" s="1"/>
  <c r="AG115" i="1"/>
  <c r="AA115" i="1" s="1"/>
  <c r="AF115" i="1"/>
  <c r="AE115" i="1"/>
  <c r="Z115" i="1"/>
  <c r="Y115" i="1"/>
  <c r="X115" i="1"/>
  <c r="AK115" i="1" s="1"/>
  <c r="U115" i="1"/>
  <c r="W115" i="1" s="1"/>
  <c r="T115" i="1"/>
  <c r="R115" i="1"/>
  <c r="P115" i="1"/>
  <c r="M115" i="1"/>
  <c r="L115" i="1"/>
  <c r="Q115" i="1" s="1"/>
  <c r="K115" i="1"/>
  <c r="J115" i="1"/>
  <c r="G115" i="1"/>
  <c r="AK114" i="1"/>
  <c r="AG114" i="1"/>
  <c r="AF114" i="1"/>
  <c r="AE114" i="1"/>
  <c r="AA114" i="1"/>
  <c r="Z114" i="1" s="1"/>
  <c r="Y114" i="1"/>
  <c r="X114" i="1" s="1"/>
  <c r="P114" i="1"/>
  <c r="M114" i="1"/>
  <c r="K114" i="1"/>
  <c r="J114" i="1"/>
  <c r="G114" i="1"/>
  <c r="AK113" i="1"/>
  <c r="AG113" i="1"/>
  <c r="AA113" i="1" s="1"/>
  <c r="Z113" i="1" s="1"/>
  <c r="Y113" i="1"/>
  <c r="X113" i="1"/>
  <c r="AF113" i="1" s="1"/>
  <c r="T113" i="1"/>
  <c r="P113" i="1"/>
  <c r="S113" i="1" s="1"/>
  <c r="M113" i="1"/>
  <c r="R113" i="1" s="1"/>
  <c r="L113" i="1"/>
  <c r="Q113" i="1" s="1"/>
  <c r="K113" i="1"/>
  <c r="J113" i="1"/>
  <c r="G113" i="1"/>
  <c r="U113" i="1" s="1"/>
  <c r="V113" i="1" s="1"/>
  <c r="AG112" i="1"/>
  <c r="AF112" i="1"/>
  <c r="AE112" i="1"/>
  <c r="AA112" i="1"/>
  <c r="Z112" i="1" s="1"/>
  <c r="Y112" i="1"/>
  <c r="X112" i="1" s="1"/>
  <c r="AK112" i="1" s="1"/>
  <c r="P112" i="1"/>
  <c r="M112" i="1"/>
  <c r="K112" i="1"/>
  <c r="J112" i="1"/>
  <c r="G112" i="1"/>
  <c r="L112" i="1" s="1"/>
  <c r="Q112" i="1" s="1"/>
  <c r="AG111" i="1"/>
  <c r="AA111" i="1" s="1"/>
  <c r="AF111" i="1"/>
  <c r="AE111" i="1"/>
  <c r="Z111" i="1"/>
  <c r="Y111" i="1"/>
  <c r="X111" i="1"/>
  <c r="AK111" i="1" s="1"/>
  <c r="V111" i="1"/>
  <c r="U111" i="1"/>
  <c r="W111" i="1" s="1"/>
  <c r="P111" i="1"/>
  <c r="M111" i="1"/>
  <c r="L111" i="1"/>
  <c r="R111" i="1" s="1"/>
  <c r="K111" i="1"/>
  <c r="J111" i="1"/>
  <c r="G111" i="1"/>
  <c r="AG110" i="1"/>
  <c r="AA110" i="1"/>
  <c r="Z110" i="1" s="1"/>
  <c r="Y110" i="1"/>
  <c r="X110" i="1" s="1"/>
  <c r="AE110" i="1" s="1"/>
  <c r="W110" i="1"/>
  <c r="U110" i="1"/>
  <c r="V110" i="1" s="1"/>
  <c r="P110" i="1"/>
  <c r="M110" i="1"/>
  <c r="L110" i="1"/>
  <c r="Q110" i="1" s="1"/>
  <c r="K110" i="1"/>
  <c r="J110" i="1"/>
  <c r="G110" i="1"/>
  <c r="AG109" i="1"/>
  <c r="AA109" i="1"/>
  <c r="Z109" i="1" s="1"/>
  <c r="Y109" i="1"/>
  <c r="X109" i="1"/>
  <c r="AE109" i="1" s="1"/>
  <c r="P109" i="1"/>
  <c r="M109" i="1"/>
  <c r="K109" i="1"/>
  <c r="J109" i="1"/>
  <c r="G109" i="1"/>
  <c r="AK108" i="1"/>
  <c r="AG108" i="1"/>
  <c r="AF108" i="1"/>
  <c r="AE108" i="1"/>
  <c r="AA108" i="1"/>
  <c r="Z108" i="1" s="1"/>
  <c r="Y108" i="1"/>
  <c r="X108" i="1"/>
  <c r="U108" i="1"/>
  <c r="V108" i="1" s="1"/>
  <c r="P108" i="1"/>
  <c r="M108" i="1"/>
  <c r="K108" i="1"/>
  <c r="J108" i="1"/>
  <c r="G108" i="1"/>
  <c r="L108" i="1" s="1"/>
  <c r="Q108" i="1" s="1"/>
  <c r="AG107" i="1"/>
  <c r="AA107" i="1" s="1"/>
  <c r="AF107" i="1"/>
  <c r="AE107" i="1"/>
  <c r="Z107" i="1"/>
  <c r="Y107" i="1"/>
  <c r="X107" i="1"/>
  <c r="AK107" i="1" s="1"/>
  <c r="U107" i="1"/>
  <c r="W107" i="1" s="1"/>
  <c r="T107" i="1"/>
  <c r="R107" i="1"/>
  <c r="P107" i="1"/>
  <c r="M107" i="1"/>
  <c r="L107" i="1"/>
  <c r="Q107" i="1" s="1"/>
  <c r="K107" i="1"/>
  <c r="J107" i="1"/>
  <c r="G107" i="1"/>
  <c r="AK106" i="1"/>
  <c r="AG106" i="1"/>
  <c r="AF106" i="1"/>
  <c r="AA106" i="1"/>
  <c r="Z106" i="1" s="1"/>
  <c r="Y106" i="1"/>
  <c r="X106" i="1" s="1"/>
  <c r="AE106" i="1" s="1"/>
  <c r="R106" i="1"/>
  <c r="P106" i="1"/>
  <c r="M106" i="1"/>
  <c r="K106" i="1"/>
  <c r="J106" i="1"/>
  <c r="G106" i="1"/>
  <c r="L106" i="1" s="1"/>
  <c r="T106" i="1" s="1"/>
  <c r="AK105" i="1"/>
  <c r="AG105" i="1"/>
  <c r="AA105" i="1" s="1"/>
  <c r="Z105" i="1" s="1"/>
  <c r="AE105" i="1"/>
  <c r="Y105" i="1"/>
  <c r="X105" i="1"/>
  <c r="AF105" i="1" s="1"/>
  <c r="T105" i="1"/>
  <c r="R105" i="1"/>
  <c r="P105" i="1"/>
  <c r="M105" i="1"/>
  <c r="L105" i="1"/>
  <c r="Q105" i="1" s="1"/>
  <c r="K105" i="1"/>
  <c r="J105" i="1"/>
  <c r="G105" i="1"/>
  <c r="U105" i="1" s="1"/>
  <c r="W105" i="1" s="1"/>
  <c r="AK104" i="1"/>
  <c r="AG104" i="1"/>
  <c r="AF104" i="1"/>
  <c r="AE104" i="1"/>
  <c r="AA104" i="1"/>
  <c r="Z104" i="1" s="1"/>
  <c r="Y104" i="1"/>
  <c r="X104" i="1" s="1"/>
  <c r="S104" i="1"/>
  <c r="P104" i="1"/>
  <c r="M104" i="1"/>
  <c r="K104" i="1"/>
  <c r="J104" i="1"/>
  <c r="G104" i="1"/>
  <c r="L104" i="1" s="1"/>
  <c r="T104" i="1" s="1"/>
  <c r="AG103" i="1"/>
  <c r="AA103" i="1" s="1"/>
  <c r="Z103" i="1" s="1"/>
  <c r="AF103" i="1"/>
  <c r="AE103" i="1"/>
  <c r="Y103" i="1"/>
  <c r="X103" i="1" s="1"/>
  <c r="AK103" i="1" s="1"/>
  <c r="U103" i="1"/>
  <c r="W103" i="1" s="1"/>
  <c r="R103" i="1"/>
  <c r="Q103" i="1"/>
  <c r="P103" i="1"/>
  <c r="S103" i="1" s="1"/>
  <c r="M103" i="1"/>
  <c r="L103" i="1"/>
  <c r="K103" i="1"/>
  <c r="J103" i="1"/>
  <c r="G103" i="1"/>
  <c r="AK102" i="1"/>
  <c r="AG102" i="1"/>
  <c r="AF102" i="1"/>
  <c r="AA102" i="1"/>
  <c r="Z102" i="1" s="1"/>
  <c r="Y102" i="1"/>
  <c r="X102" i="1" s="1"/>
  <c r="AE102" i="1" s="1"/>
  <c r="U102" i="1"/>
  <c r="W102" i="1" s="1"/>
  <c r="P102" i="1"/>
  <c r="M102" i="1"/>
  <c r="L102" i="1"/>
  <c r="S102" i="1" s="1"/>
  <c r="K102" i="1"/>
  <c r="J102" i="1"/>
  <c r="G102" i="1"/>
  <c r="AG101" i="1"/>
  <c r="AA101" i="1" s="1"/>
  <c r="Z101" i="1" s="1"/>
  <c r="Y101" i="1"/>
  <c r="X101" i="1"/>
  <c r="AF101" i="1" s="1"/>
  <c r="V101" i="1"/>
  <c r="P101" i="1"/>
  <c r="T101" i="1" s="1"/>
  <c r="M101" i="1"/>
  <c r="R101" i="1" s="1"/>
  <c r="L101" i="1"/>
  <c r="Q101" i="1" s="1"/>
  <c r="K101" i="1"/>
  <c r="J101" i="1"/>
  <c r="G101" i="1"/>
  <c r="U101" i="1" s="1"/>
  <c r="W101" i="1" s="1"/>
  <c r="AG100" i="1"/>
  <c r="AF100" i="1"/>
  <c r="AA100" i="1"/>
  <c r="Z100" i="1" s="1"/>
  <c r="Y100" i="1"/>
  <c r="X100" i="1"/>
  <c r="AE100" i="1" s="1"/>
  <c r="Q100" i="1"/>
  <c r="P100" i="1"/>
  <c r="T100" i="1" s="1"/>
  <c r="M100" i="1"/>
  <c r="R100" i="1" s="1"/>
  <c r="K100" i="1"/>
  <c r="J100" i="1"/>
  <c r="G100" i="1"/>
  <c r="L100" i="1" s="1"/>
  <c r="AG99" i="1"/>
  <c r="AA99" i="1" s="1"/>
  <c r="AF99" i="1"/>
  <c r="Z99" i="1"/>
  <c r="Y99" i="1"/>
  <c r="X99" i="1"/>
  <c r="AK99" i="1" s="1"/>
  <c r="V99" i="1"/>
  <c r="U99" i="1"/>
  <c r="W99" i="1" s="1"/>
  <c r="R99" i="1"/>
  <c r="P99" i="1"/>
  <c r="S99" i="1" s="1"/>
  <c r="M99" i="1"/>
  <c r="L99" i="1"/>
  <c r="Q99" i="1" s="1"/>
  <c r="K99" i="1"/>
  <c r="J99" i="1"/>
  <c r="G99" i="1"/>
  <c r="AK98" i="1"/>
  <c r="AG98" i="1"/>
  <c r="AF98" i="1"/>
  <c r="AE98" i="1"/>
  <c r="AA98" i="1"/>
  <c r="Z98" i="1" s="1"/>
  <c r="Y98" i="1"/>
  <c r="X98" i="1" s="1"/>
  <c r="V98" i="1"/>
  <c r="U98" i="1"/>
  <c r="W98" i="1" s="1"/>
  <c r="T98" i="1"/>
  <c r="P98" i="1"/>
  <c r="M98" i="1"/>
  <c r="L98" i="1"/>
  <c r="S98" i="1" s="1"/>
  <c r="K98" i="1"/>
  <c r="J98" i="1"/>
  <c r="G98" i="1"/>
  <c r="AG97" i="1"/>
  <c r="AA97" i="1"/>
  <c r="Z97" i="1" s="1"/>
  <c r="Y97" i="1"/>
  <c r="X97" i="1" s="1"/>
  <c r="P97" i="1"/>
  <c r="M97" i="1"/>
  <c r="K97" i="1"/>
  <c r="J97" i="1"/>
  <c r="G97" i="1"/>
  <c r="L97" i="1" s="1"/>
  <c r="AG96" i="1"/>
  <c r="AA96" i="1" s="1"/>
  <c r="Z96" i="1" s="1"/>
  <c r="Y96" i="1"/>
  <c r="X96" i="1"/>
  <c r="AK96" i="1" s="1"/>
  <c r="P96" i="1"/>
  <c r="T96" i="1" s="1"/>
  <c r="M96" i="1"/>
  <c r="R96" i="1" s="1"/>
  <c r="L96" i="1"/>
  <c r="Q96" i="1" s="1"/>
  <c r="K96" i="1"/>
  <c r="J96" i="1"/>
  <c r="G96" i="1"/>
  <c r="U96" i="1" s="1"/>
  <c r="AG95" i="1"/>
  <c r="AA95" i="1"/>
  <c r="Z95" i="1" s="1"/>
  <c r="Y95" i="1"/>
  <c r="X95" i="1" s="1"/>
  <c r="R95" i="1"/>
  <c r="P95" i="1"/>
  <c r="M95" i="1"/>
  <c r="K95" i="1"/>
  <c r="J95" i="1"/>
  <c r="G95" i="1"/>
  <c r="L95" i="1" s="1"/>
  <c r="AG94" i="1"/>
  <c r="AA94" i="1" s="1"/>
  <c r="Z94" i="1" s="1"/>
  <c r="Y94" i="1"/>
  <c r="X94" i="1"/>
  <c r="AK94" i="1" s="1"/>
  <c r="V94" i="1"/>
  <c r="U94" i="1"/>
  <c r="W94" i="1" s="1"/>
  <c r="R94" i="1"/>
  <c r="P94" i="1"/>
  <c r="S94" i="1" s="1"/>
  <c r="M94" i="1"/>
  <c r="L94" i="1"/>
  <c r="Q94" i="1" s="1"/>
  <c r="K94" i="1"/>
  <c r="J94" i="1"/>
  <c r="G94" i="1"/>
  <c r="AG93" i="1"/>
  <c r="AA93" i="1"/>
  <c r="Z93" i="1" s="1"/>
  <c r="Y93" i="1"/>
  <c r="X93" i="1" s="1"/>
  <c r="U93" i="1"/>
  <c r="W93" i="1" s="1"/>
  <c r="T93" i="1"/>
  <c r="S93" i="1"/>
  <c r="P93" i="1"/>
  <c r="M93" i="1"/>
  <c r="K93" i="1"/>
  <c r="J93" i="1"/>
  <c r="G93" i="1"/>
  <c r="L93" i="1" s="1"/>
  <c r="Q93" i="1" s="1"/>
  <c r="AG92" i="1"/>
  <c r="AF92" i="1"/>
  <c r="AE92" i="1"/>
  <c r="AA92" i="1"/>
  <c r="Z92" i="1"/>
  <c r="Y92" i="1"/>
  <c r="X92" i="1"/>
  <c r="AK92" i="1" s="1"/>
  <c r="R92" i="1"/>
  <c r="P92" i="1"/>
  <c r="M92" i="1"/>
  <c r="K92" i="1"/>
  <c r="J92" i="1"/>
  <c r="G92" i="1"/>
  <c r="U92" i="1" s="1"/>
  <c r="AG91" i="1"/>
  <c r="AA91" i="1" s="1"/>
  <c r="Z91" i="1" s="1"/>
  <c r="Y91" i="1"/>
  <c r="X91" i="1" s="1"/>
  <c r="W91" i="1"/>
  <c r="U91" i="1"/>
  <c r="V91" i="1" s="1"/>
  <c r="Q91" i="1"/>
  <c r="P91" i="1"/>
  <c r="T91" i="1" s="1"/>
  <c r="M91" i="1"/>
  <c r="R91" i="1" s="1"/>
  <c r="L91" i="1"/>
  <c r="K91" i="1"/>
  <c r="J91" i="1"/>
  <c r="G91" i="1"/>
  <c r="AG90" i="1"/>
  <c r="AA90" i="1" s="1"/>
  <c r="Z90" i="1" s="1"/>
  <c r="Y90" i="1"/>
  <c r="X90" i="1" s="1"/>
  <c r="V90" i="1"/>
  <c r="U90" i="1"/>
  <c r="W90" i="1" s="1"/>
  <c r="T90" i="1"/>
  <c r="P90" i="1"/>
  <c r="M90" i="1"/>
  <c r="L90" i="1"/>
  <c r="S90" i="1" s="1"/>
  <c r="K90" i="1"/>
  <c r="J90" i="1"/>
  <c r="G90" i="1"/>
  <c r="AG89" i="1"/>
  <c r="AA89" i="1"/>
  <c r="Z89" i="1" s="1"/>
  <c r="Y89" i="1"/>
  <c r="X89" i="1" s="1"/>
  <c r="P89" i="1"/>
  <c r="T89" i="1" s="1"/>
  <c r="M89" i="1"/>
  <c r="R89" i="1" s="1"/>
  <c r="K89" i="1"/>
  <c r="J89" i="1"/>
  <c r="G89" i="1"/>
  <c r="L89" i="1" s="1"/>
  <c r="AG88" i="1"/>
  <c r="AA88" i="1" s="1"/>
  <c r="Z88" i="1" s="1"/>
  <c r="Y88" i="1"/>
  <c r="X88" i="1"/>
  <c r="AK88" i="1" s="1"/>
  <c r="P88" i="1"/>
  <c r="T88" i="1" s="1"/>
  <c r="M88" i="1"/>
  <c r="R88" i="1" s="1"/>
  <c r="L88" i="1"/>
  <c r="Q88" i="1" s="1"/>
  <c r="K88" i="1"/>
  <c r="J88" i="1"/>
  <c r="G88" i="1"/>
  <c r="U88" i="1" s="1"/>
  <c r="AG87" i="1"/>
  <c r="AA87" i="1"/>
  <c r="Z87" i="1" s="1"/>
  <c r="Y87" i="1"/>
  <c r="X87" i="1" s="1"/>
  <c r="P87" i="1"/>
  <c r="M87" i="1"/>
  <c r="K87" i="1"/>
  <c r="J87" i="1"/>
  <c r="G87" i="1"/>
  <c r="L87" i="1" s="1"/>
  <c r="AG86" i="1"/>
  <c r="AA86" i="1" s="1"/>
  <c r="Z86" i="1" s="1"/>
  <c r="Y86" i="1"/>
  <c r="X86" i="1"/>
  <c r="AK86" i="1" s="1"/>
  <c r="V86" i="1"/>
  <c r="U86" i="1"/>
  <c r="W86" i="1" s="1"/>
  <c r="R86" i="1"/>
  <c r="P86" i="1"/>
  <c r="S86" i="1" s="1"/>
  <c r="M86" i="1"/>
  <c r="L86" i="1"/>
  <c r="Q86" i="1" s="1"/>
  <c r="K86" i="1"/>
  <c r="J86" i="1"/>
  <c r="G86" i="1"/>
  <c r="AG85" i="1"/>
  <c r="AA85" i="1"/>
  <c r="Z85" i="1" s="1"/>
  <c r="Y85" i="1"/>
  <c r="X85" i="1" s="1"/>
  <c r="U85" i="1"/>
  <c r="W85" i="1" s="1"/>
  <c r="P85" i="1"/>
  <c r="M85" i="1"/>
  <c r="K85" i="1"/>
  <c r="J85" i="1"/>
  <c r="G85" i="1"/>
  <c r="L85" i="1" s="1"/>
  <c r="AG84" i="1"/>
  <c r="AE84" i="1"/>
  <c r="AA84" i="1"/>
  <c r="Z84" i="1"/>
  <c r="Y84" i="1"/>
  <c r="X84" i="1"/>
  <c r="AF84" i="1" s="1"/>
  <c r="P84" i="1"/>
  <c r="M84" i="1"/>
  <c r="K84" i="1"/>
  <c r="J84" i="1"/>
  <c r="G84" i="1"/>
  <c r="U84" i="1" s="1"/>
  <c r="AG83" i="1"/>
  <c r="AA83" i="1" s="1"/>
  <c r="Z83" i="1" s="1"/>
  <c r="Y83" i="1"/>
  <c r="X83" i="1" s="1"/>
  <c r="W83" i="1"/>
  <c r="U83" i="1"/>
  <c r="V83" i="1" s="1"/>
  <c r="Q83" i="1"/>
  <c r="P83" i="1"/>
  <c r="T83" i="1" s="1"/>
  <c r="M83" i="1"/>
  <c r="R83" i="1" s="1"/>
  <c r="L83" i="1"/>
  <c r="K83" i="1"/>
  <c r="J83" i="1"/>
  <c r="G83" i="1"/>
  <c r="AG82" i="1"/>
  <c r="AA82" i="1" s="1"/>
  <c r="Z82" i="1" s="1"/>
  <c r="Y82" i="1"/>
  <c r="X82" i="1" s="1"/>
  <c r="V82" i="1"/>
  <c r="U82" i="1"/>
  <c r="W82" i="1" s="1"/>
  <c r="T82" i="1"/>
  <c r="P82" i="1"/>
  <c r="M82" i="1"/>
  <c r="L82" i="1"/>
  <c r="S82" i="1" s="1"/>
  <c r="K82" i="1"/>
  <c r="J82" i="1"/>
  <c r="G82" i="1"/>
  <c r="AG81" i="1"/>
  <c r="AA81" i="1"/>
  <c r="Z81" i="1" s="1"/>
  <c r="Y81" i="1"/>
  <c r="X81" i="1" s="1"/>
  <c r="P81" i="1"/>
  <c r="M81" i="1"/>
  <c r="R81" i="1" s="1"/>
  <c r="K81" i="1"/>
  <c r="J81" i="1"/>
  <c r="G81" i="1"/>
  <c r="L81" i="1" s="1"/>
  <c r="AG80" i="1"/>
  <c r="AA80" i="1" s="1"/>
  <c r="Z80" i="1" s="1"/>
  <c r="Y80" i="1"/>
  <c r="X80" i="1"/>
  <c r="AK80" i="1" s="1"/>
  <c r="P80" i="1"/>
  <c r="T80" i="1" s="1"/>
  <c r="M80" i="1"/>
  <c r="R80" i="1" s="1"/>
  <c r="L80" i="1"/>
  <c r="Q80" i="1" s="1"/>
  <c r="K80" i="1"/>
  <c r="J80" i="1"/>
  <c r="G80" i="1"/>
  <c r="U80" i="1" s="1"/>
  <c r="AG79" i="1"/>
  <c r="AA79" i="1"/>
  <c r="Z79" i="1" s="1"/>
  <c r="Y79" i="1"/>
  <c r="X79" i="1" s="1"/>
  <c r="P79" i="1"/>
  <c r="M79" i="1"/>
  <c r="K79" i="1"/>
  <c r="J79" i="1"/>
  <c r="G79" i="1"/>
  <c r="L79" i="1" s="1"/>
  <c r="AG78" i="1"/>
  <c r="AA78" i="1" s="1"/>
  <c r="Z78" i="1" s="1"/>
  <c r="Y78" i="1"/>
  <c r="X78" i="1"/>
  <c r="AK78" i="1" s="1"/>
  <c r="V78" i="1"/>
  <c r="U78" i="1"/>
  <c r="W78" i="1" s="1"/>
  <c r="R78" i="1"/>
  <c r="P78" i="1"/>
  <c r="S78" i="1" s="1"/>
  <c r="M78" i="1"/>
  <c r="L78" i="1"/>
  <c r="Q78" i="1" s="1"/>
  <c r="K78" i="1"/>
  <c r="J78" i="1"/>
  <c r="G78" i="1"/>
  <c r="AG77" i="1"/>
  <c r="AA77" i="1"/>
  <c r="Z77" i="1" s="1"/>
  <c r="Y77" i="1"/>
  <c r="X77" i="1" s="1"/>
  <c r="U77" i="1"/>
  <c r="W77" i="1" s="1"/>
  <c r="P77" i="1"/>
  <c r="M77" i="1"/>
  <c r="K77" i="1"/>
  <c r="J77" i="1"/>
  <c r="G77" i="1"/>
  <c r="L77" i="1" s="1"/>
  <c r="AG76" i="1"/>
  <c r="AE76" i="1"/>
  <c r="AA76" i="1"/>
  <c r="Z76" i="1"/>
  <c r="Y76" i="1"/>
  <c r="X76" i="1"/>
  <c r="AF76" i="1" s="1"/>
  <c r="P76" i="1"/>
  <c r="M76" i="1"/>
  <c r="K76" i="1"/>
  <c r="J76" i="1"/>
  <c r="G76" i="1"/>
  <c r="U76" i="1" s="1"/>
  <c r="AG75" i="1"/>
  <c r="AA75" i="1" s="1"/>
  <c r="Z75" i="1" s="1"/>
  <c r="Y75" i="1"/>
  <c r="X75" i="1" s="1"/>
  <c r="W75" i="1"/>
  <c r="U75" i="1"/>
  <c r="V75" i="1" s="1"/>
  <c r="Q75" i="1"/>
  <c r="P75" i="1"/>
  <c r="T75" i="1" s="1"/>
  <c r="M75" i="1"/>
  <c r="R75" i="1" s="1"/>
  <c r="L75" i="1"/>
  <c r="K75" i="1"/>
  <c r="J75" i="1"/>
  <c r="G75" i="1"/>
  <c r="AG74" i="1"/>
  <c r="AA74" i="1" s="1"/>
  <c r="Z74" i="1" s="1"/>
  <c r="Y74" i="1"/>
  <c r="X74" i="1" s="1"/>
  <c r="V74" i="1"/>
  <c r="U74" i="1"/>
  <c r="W74" i="1" s="1"/>
  <c r="T74" i="1"/>
  <c r="P74" i="1"/>
  <c r="M74" i="1"/>
  <c r="L74" i="1"/>
  <c r="S74" i="1" s="1"/>
  <c r="K74" i="1"/>
  <c r="J74" i="1"/>
  <c r="G74" i="1"/>
  <c r="AG73" i="1"/>
  <c r="AA73" i="1"/>
  <c r="Z73" i="1" s="1"/>
  <c r="Y73" i="1"/>
  <c r="X73" i="1" s="1"/>
  <c r="P73" i="1"/>
  <c r="M73" i="1"/>
  <c r="K73" i="1"/>
  <c r="J73" i="1"/>
  <c r="G73" i="1"/>
  <c r="L73" i="1" s="1"/>
  <c r="AG72" i="1"/>
  <c r="AA72" i="1" s="1"/>
  <c r="Z72" i="1" s="1"/>
  <c r="Y72" i="1"/>
  <c r="X72" i="1"/>
  <c r="AK72" i="1" s="1"/>
  <c r="P72" i="1"/>
  <c r="T72" i="1" s="1"/>
  <c r="M72" i="1"/>
  <c r="R72" i="1" s="1"/>
  <c r="L72" i="1"/>
  <c r="Q72" i="1" s="1"/>
  <c r="K72" i="1"/>
  <c r="J72" i="1"/>
  <c r="G72" i="1"/>
  <c r="U72" i="1" s="1"/>
  <c r="AG71" i="1"/>
  <c r="AA71" i="1"/>
  <c r="Z71" i="1" s="1"/>
  <c r="Y71" i="1"/>
  <c r="X71" i="1" s="1"/>
  <c r="P71" i="1"/>
  <c r="M71" i="1"/>
  <c r="K71" i="1"/>
  <c r="J71" i="1"/>
  <c r="G71" i="1"/>
  <c r="L71" i="1" s="1"/>
  <c r="AG70" i="1"/>
  <c r="AA70" i="1" s="1"/>
  <c r="Z70" i="1" s="1"/>
  <c r="Y70" i="1"/>
  <c r="X70" i="1"/>
  <c r="AK70" i="1" s="1"/>
  <c r="V70" i="1"/>
  <c r="U70" i="1"/>
  <c r="W70" i="1" s="1"/>
  <c r="R70" i="1"/>
  <c r="P70" i="1"/>
  <c r="S70" i="1" s="1"/>
  <c r="M70" i="1"/>
  <c r="L70" i="1"/>
  <c r="Q70" i="1" s="1"/>
  <c r="K70" i="1"/>
  <c r="J70" i="1"/>
  <c r="G70" i="1"/>
  <c r="AG69" i="1"/>
  <c r="AF69" i="1"/>
  <c r="AA69" i="1"/>
  <c r="Z69" i="1" s="1"/>
  <c r="Y69" i="1"/>
  <c r="X69" i="1" s="1"/>
  <c r="U69" i="1"/>
  <c r="P69" i="1"/>
  <c r="M69" i="1"/>
  <c r="K69" i="1"/>
  <c r="J69" i="1"/>
  <c r="G69" i="1"/>
  <c r="L69" i="1" s="1"/>
  <c r="AG68" i="1"/>
  <c r="AE68" i="1"/>
  <c r="AA68" i="1"/>
  <c r="Z68" i="1"/>
  <c r="Y68" i="1"/>
  <c r="X68" i="1"/>
  <c r="AF68" i="1" s="1"/>
  <c r="P68" i="1"/>
  <c r="M68" i="1"/>
  <c r="K68" i="1"/>
  <c r="J68" i="1"/>
  <c r="G68" i="1"/>
  <c r="U68" i="1" s="1"/>
  <c r="AG67" i="1"/>
  <c r="AA67" i="1" s="1"/>
  <c r="Z67" i="1" s="1"/>
  <c r="Y67" i="1"/>
  <c r="X67" i="1" s="1"/>
  <c r="AK67" i="1" s="1"/>
  <c r="W67" i="1"/>
  <c r="U67" i="1"/>
  <c r="V67" i="1" s="1"/>
  <c r="Q67" i="1"/>
  <c r="P67" i="1"/>
  <c r="T67" i="1" s="1"/>
  <c r="M67" i="1"/>
  <c r="R67" i="1" s="1"/>
  <c r="L67" i="1"/>
  <c r="K67" i="1"/>
  <c r="J67" i="1"/>
  <c r="G67" i="1"/>
  <c r="AG66" i="1"/>
  <c r="AA66" i="1" s="1"/>
  <c r="Z66" i="1" s="1"/>
  <c r="Y66" i="1"/>
  <c r="X66" i="1" s="1"/>
  <c r="V66" i="1"/>
  <c r="U66" i="1"/>
  <c r="W66" i="1" s="1"/>
  <c r="T66" i="1"/>
  <c r="P66" i="1"/>
  <c r="M66" i="1"/>
  <c r="L66" i="1"/>
  <c r="S66" i="1" s="1"/>
  <c r="K66" i="1"/>
  <c r="J66" i="1"/>
  <c r="G66" i="1"/>
  <c r="AG65" i="1"/>
  <c r="AA65" i="1"/>
  <c r="Z65" i="1" s="1"/>
  <c r="Y65" i="1"/>
  <c r="X65" i="1" s="1"/>
  <c r="P65" i="1"/>
  <c r="M65" i="1"/>
  <c r="K65" i="1"/>
  <c r="J65" i="1"/>
  <c r="G65" i="1"/>
  <c r="AG64" i="1"/>
  <c r="AA64" i="1" s="1"/>
  <c r="Z64" i="1" s="1"/>
  <c r="Y64" i="1"/>
  <c r="X64" i="1"/>
  <c r="P64" i="1"/>
  <c r="M64" i="1"/>
  <c r="L64" i="1"/>
  <c r="Q64" i="1" s="1"/>
  <c r="K64" i="1"/>
  <c r="J64" i="1"/>
  <c r="G64" i="1"/>
  <c r="U64" i="1" s="1"/>
  <c r="W64" i="1" s="1"/>
  <c r="AG63" i="1"/>
  <c r="AF63" i="1"/>
  <c r="AA63" i="1"/>
  <c r="Z63" i="1" s="1"/>
  <c r="Y63" i="1"/>
  <c r="X63" i="1" s="1"/>
  <c r="P63" i="1"/>
  <c r="M63" i="1"/>
  <c r="K63" i="1"/>
  <c r="J63" i="1"/>
  <c r="G63" i="1"/>
  <c r="L63" i="1" s="1"/>
  <c r="AG62" i="1"/>
  <c r="AA62" i="1" s="1"/>
  <c r="Z62" i="1"/>
  <c r="Y62" i="1"/>
  <c r="X62" i="1"/>
  <c r="V62" i="1"/>
  <c r="U62" i="1"/>
  <c r="W62" i="1" s="1"/>
  <c r="R62" i="1"/>
  <c r="P62" i="1"/>
  <c r="M62" i="1"/>
  <c r="L62" i="1"/>
  <c r="Q62" i="1" s="1"/>
  <c r="K62" i="1"/>
  <c r="J62" i="1"/>
  <c r="G62" i="1"/>
  <c r="AK61" i="1"/>
  <c r="AG61" i="1"/>
  <c r="AF61" i="1"/>
  <c r="AA61" i="1"/>
  <c r="Z61" i="1" s="1"/>
  <c r="Y61" i="1"/>
  <c r="X61" i="1" s="1"/>
  <c r="AE61" i="1" s="1"/>
  <c r="U61" i="1"/>
  <c r="V61" i="1" s="1"/>
  <c r="P61" i="1"/>
  <c r="M61" i="1"/>
  <c r="R61" i="1" s="1"/>
  <c r="K61" i="1"/>
  <c r="J61" i="1"/>
  <c r="G61" i="1"/>
  <c r="L61" i="1" s="1"/>
  <c r="AG60" i="1"/>
  <c r="AE60" i="1"/>
  <c r="AA60" i="1"/>
  <c r="Z60" i="1"/>
  <c r="Y60" i="1"/>
  <c r="X60" i="1"/>
  <c r="AF60" i="1" s="1"/>
  <c r="P60" i="1"/>
  <c r="M60" i="1"/>
  <c r="K60" i="1"/>
  <c r="J60" i="1"/>
  <c r="G60" i="1"/>
  <c r="U60" i="1" s="1"/>
  <c r="AK59" i="1"/>
  <c r="AG59" i="1"/>
  <c r="AA59" i="1" s="1"/>
  <c r="Z59" i="1" s="1"/>
  <c r="Y59" i="1"/>
  <c r="X59" i="1" s="1"/>
  <c r="AE59" i="1" s="1"/>
  <c r="U59" i="1"/>
  <c r="V59" i="1" s="1"/>
  <c r="Q59" i="1"/>
  <c r="P59" i="1"/>
  <c r="T59" i="1" s="1"/>
  <c r="M59" i="1"/>
  <c r="R59" i="1" s="1"/>
  <c r="L59" i="1"/>
  <c r="K59" i="1"/>
  <c r="J59" i="1"/>
  <c r="G59" i="1"/>
  <c r="AG58" i="1"/>
  <c r="AA58" i="1" s="1"/>
  <c r="Z58" i="1" s="1"/>
  <c r="AF58" i="1"/>
  <c r="AE58" i="1"/>
  <c r="Y58" i="1"/>
  <c r="X58" i="1" s="1"/>
  <c r="AK58" i="1" s="1"/>
  <c r="V58" i="1"/>
  <c r="U58" i="1"/>
  <c r="W58" i="1" s="1"/>
  <c r="R58" i="1"/>
  <c r="P58" i="1"/>
  <c r="M58" i="1"/>
  <c r="L58" i="1"/>
  <c r="K58" i="1"/>
  <c r="J58" i="1"/>
  <c r="G58" i="1"/>
  <c r="AG57" i="1"/>
  <c r="AF57" i="1"/>
  <c r="AE57" i="1"/>
  <c r="AA57" i="1"/>
  <c r="Z57" i="1" s="1"/>
  <c r="Y57" i="1"/>
  <c r="X57" i="1" s="1"/>
  <c r="AK57" i="1" s="1"/>
  <c r="P57" i="1"/>
  <c r="M57" i="1"/>
  <c r="R57" i="1" s="1"/>
  <c r="K57" i="1"/>
  <c r="J57" i="1"/>
  <c r="G57" i="1"/>
  <c r="AG56" i="1"/>
  <c r="AA56" i="1" s="1"/>
  <c r="Z56" i="1" s="1"/>
  <c r="Y56" i="1"/>
  <c r="X56" i="1"/>
  <c r="AE56" i="1" s="1"/>
  <c r="P56" i="1"/>
  <c r="S56" i="1" s="1"/>
  <c r="M56" i="1"/>
  <c r="R56" i="1" s="1"/>
  <c r="L56" i="1"/>
  <c r="Q56" i="1" s="1"/>
  <c r="K56" i="1"/>
  <c r="J56" i="1"/>
  <c r="G56" i="1"/>
  <c r="U56" i="1" s="1"/>
  <c r="W56" i="1" s="1"/>
  <c r="AG55" i="1"/>
  <c r="AA55" i="1"/>
  <c r="Z55" i="1" s="1"/>
  <c r="Y55" i="1"/>
  <c r="X55" i="1" s="1"/>
  <c r="P55" i="1"/>
  <c r="M55" i="1"/>
  <c r="K55" i="1"/>
  <c r="J55" i="1"/>
  <c r="G55" i="1"/>
  <c r="L55" i="1" s="1"/>
  <c r="S55" i="1" s="1"/>
  <c r="AG54" i="1"/>
  <c r="AA54" i="1" s="1"/>
  <c r="Z54" i="1" s="1"/>
  <c r="Y54" i="1"/>
  <c r="X54" i="1"/>
  <c r="V54" i="1"/>
  <c r="U54" i="1"/>
  <c r="W54" i="1" s="1"/>
  <c r="R54" i="1"/>
  <c r="P54" i="1"/>
  <c r="M54" i="1"/>
  <c r="L54" i="1"/>
  <c r="Q54" i="1" s="1"/>
  <c r="K54" i="1"/>
  <c r="J54" i="1"/>
  <c r="G54" i="1"/>
  <c r="AK53" i="1"/>
  <c r="AG53" i="1"/>
  <c r="AA53" i="1" s="1"/>
  <c r="Z53" i="1" s="1"/>
  <c r="AF53" i="1"/>
  <c r="Y53" i="1"/>
  <c r="X53" i="1" s="1"/>
  <c r="AE53" i="1" s="1"/>
  <c r="P53" i="1"/>
  <c r="M53" i="1"/>
  <c r="K53" i="1"/>
  <c r="J53" i="1"/>
  <c r="G53" i="1"/>
  <c r="U53" i="1" s="1"/>
  <c r="AG52" i="1"/>
  <c r="AE52" i="1"/>
  <c r="AA52" i="1"/>
  <c r="Z52" i="1"/>
  <c r="Y52" i="1"/>
  <c r="X52" i="1"/>
  <c r="P52" i="1"/>
  <c r="M52" i="1"/>
  <c r="K52" i="1"/>
  <c r="J52" i="1"/>
  <c r="G52" i="1"/>
  <c r="AG51" i="1"/>
  <c r="AA51" i="1" s="1"/>
  <c r="Z51" i="1" s="1"/>
  <c r="Y51" i="1"/>
  <c r="X51" i="1" s="1"/>
  <c r="W51" i="1"/>
  <c r="U51" i="1"/>
  <c r="V51" i="1" s="1"/>
  <c r="Q51" i="1"/>
  <c r="P51" i="1"/>
  <c r="M51" i="1"/>
  <c r="R51" i="1" s="1"/>
  <c r="L51" i="1"/>
  <c r="K51" i="1"/>
  <c r="J51" i="1"/>
  <c r="G51" i="1"/>
  <c r="AG50" i="1"/>
  <c r="AA50" i="1" s="1"/>
  <c r="AF50" i="1"/>
  <c r="AE50" i="1"/>
  <c r="Z50" i="1"/>
  <c r="Y50" i="1"/>
  <c r="X50" i="1" s="1"/>
  <c r="AK50" i="1" s="1"/>
  <c r="V50" i="1"/>
  <c r="U50" i="1"/>
  <c r="W50" i="1" s="1"/>
  <c r="T50" i="1"/>
  <c r="S50" i="1"/>
  <c r="R50" i="1"/>
  <c r="P50" i="1"/>
  <c r="M50" i="1"/>
  <c r="L50" i="1"/>
  <c r="Q50" i="1" s="1"/>
  <c r="K50" i="1"/>
  <c r="J50" i="1"/>
  <c r="G50" i="1"/>
  <c r="AG49" i="1"/>
  <c r="AA49" i="1"/>
  <c r="Z49" i="1"/>
  <c r="Y49" i="1"/>
  <c r="X49" i="1" s="1"/>
  <c r="AK49" i="1" s="1"/>
  <c r="P49" i="1"/>
  <c r="M49" i="1"/>
  <c r="K49" i="1"/>
  <c r="J49" i="1"/>
  <c r="G49" i="1"/>
  <c r="AK48" i="1"/>
  <c r="AG48" i="1"/>
  <c r="AA48" i="1" s="1"/>
  <c r="Z48" i="1" s="1"/>
  <c r="AE48" i="1"/>
  <c r="Y48" i="1"/>
  <c r="X48" i="1"/>
  <c r="AF48" i="1" s="1"/>
  <c r="W48" i="1"/>
  <c r="V48" i="1"/>
  <c r="U48" i="1"/>
  <c r="P48" i="1"/>
  <c r="S48" i="1" s="1"/>
  <c r="M48" i="1"/>
  <c r="L48" i="1"/>
  <c r="Q48" i="1" s="1"/>
  <c r="K48" i="1"/>
  <c r="J48" i="1"/>
  <c r="G48" i="1"/>
  <c r="AG47" i="1"/>
  <c r="AF47" i="1"/>
  <c r="AE47" i="1"/>
  <c r="AA47" i="1"/>
  <c r="Z47" i="1" s="1"/>
  <c r="Y47" i="1"/>
  <c r="X47" i="1" s="1"/>
  <c r="AK47" i="1" s="1"/>
  <c r="T47" i="1"/>
  <c r="S47" i="1"/>
  <c r="Q47" i="1"/>
  <c r="P47" i="1"/>
  <c r="M47" i="1"/>
  <c r="K47" i="1"/>
  <c r="J47" i="1"/>
  <c r="G47" i="1"/>
  <c r="L47" i="1" s="1"/>
  <c r="R47" i="1" s="1"/>
  <c r="AG46" i="1"/>
  <c r="AA46" i="1" s="1"/>
  <c r="Z46" i="1" s="1"/>
  <c r="Y46" i="1"/>
  <c r="X46" i="1"/>
  <c r="W46" i="1"/>
  <c r="V46" i="1"/>
  <c r="U46" i="1"/>
  <c r="Q46" i="1"/>
  <c r="P46" i="1"/>
  <c r="M46" i="1"/>
  <c r="L46" i="1"/>
  <c r="R46" i="1" s="1"/>
  <c r="K46" i="1"/>
  <c r="J46" i="1"/>
  <c r="G46" i="1"/>
  <c r="AG45" i="1"/>
  <c r="AA45" i="1" s="1"/>
  <c r="Z45" i="1" s="1"/>
  <c r="Y45" i="1"/>
  <c r="X45" i="1" s="1"/>
  <c r="AE45" i="1" s="1"/>
  <c r="W45" i="1"/>
  <c r="U45" i="1"/>
  <c r="V45" i="1" s="1"/>
  <c r="P45" i="1"/>
  <c r="M45" i="1"/>
  <c r="R45" i="1" s="1"/>
  <c r="L45" i="1"/>
  <c r="K45" i="1"/>
  <c r="J45" i="1"/>
  <c r="G45" i="1"/>
  <c r="AG44" i="1"/>
  <c r="AA44" i="1"/>
  <c r="Z44" i="1" s="1"/>
  <c r="Y44" i="1"/>
  <c r="X44" i="1"/>
  <c r="P44" i="1"/>
  <c r="M44" i="1"/>
  <c r="K44" i="1"/>
  <c r="J44" i="1"/>
  <c r="G44" i="1"/>
  <c r="AG43" i="1"/>
  <c r="AA43" i="1" s="1"/>
  <c r="Z43" i="1" s="1"/>
  <c r="Y43" i="1"/>
  <c r="X43" i="1" s="1"/>
  <c r="U43" i="1"/>
  <c r="W43" i="1" s="1"/>
  <c r="P43" i="1"/>
  <c r="M43" i="1"/>
  <c r="L43" i="1"/>
  <c r="Q43" i="1" s="1"/>
  <c r="K43" i="1"/>
  <c r="J43" i="1"/>
  <c r="G43" i="1"/>
  <c r="AG42" i="1"/>
  <c r="AA42" i="1" s="1"/>
  <c r="Z42" i="1" s="1"/>
  <c r="Y42" i="1"/>
  <c r="X42" i="1" s="1"/>
  <c r="AK42" i="1" s="1"/>
  <c r="U42" i="1"/>
  <c r="W42" i="1" s="1"/>
  <c r="T42" i="1"/>
  <c r="P42" i="1"/>
  <c r="M42" i="1"/>
  <c r="L42" i="1"/>
  <c r="Q42" i="1" s="1"/>
  <c r="K42" i="1"/>
  <c r="J42" i="1"/>
  <c r="G42" i="1"/>
  <c r="AG41" i="1"/>
  <c r="AA41" i="1"/>
  <c r="Z41" i="1" s="1"/>
  <c r="Y41" i="1"/>
  <c r="X41" i="1"/>
  <c r="AK41" i="1" s="1"/>
  <c r="W41" i="1"/>
  <c r="Q41" i="1"/>
  <c r="P41" i="1"/>
  <c r="S41" i="1" s="1"/>
  <c r="M41" i="1"/>
  <c r="R41" i="1" s="1"/>
  <c r="L41" i="1"/>
  <c r="K41" i="1"/>
  <c r="J41" i="1"/>
  <c r="G41" i="1"/>
  <c r="U41" i="1" s="1"/>
  <c r="V41" i="1" s="1"/>
  <c r="AG40" i="1"/>
  <c r="AA40" i="1" s="1"/>
  <c r="Z40" i="1" s="1"/>
  <c r="AF40" i="1"/>
  <c r="AE40" i="1"/>
  <c r="Y40" i="1"/>
  <c r="X40" i="1"/>
  <c r="AK40" i="1" s="1"/>
  <c r="P40" i="1"/>
  <c r="M40" i="1"/>
  <c r="R40" i="1" s="1"/>
  <c r="K40" i="1"/>
  <c r="J40" i="1"/>
  <c r="G40" i="1"/>
  <c r="U40" i="1" s="1"/>
  <c r="AG39" i="1"/>
  <c r="AF39" i="1"/>
  <c r="AE39" i="1"/>
  <c r="AA39" i="1"/>
  <c r="Z39" i="1" s="1"/>
  <c r="Y39" i="1"/>
  <c r="X39" i="1" s="1"/>
  <c r="AK39" i="1" s="1"/>
  <c r="U39" i="1"/>
  <c r="R39" i="1"/>
  <c r="Q39" i="1"/>
  <c r="P39" i="1"/>
  <c r="M39" i="1"/>
  <c r="K39" i="1"/>
  <c r="J39" i="1"/>
  <c r="G39" i="1"/>
  <c r="L39" i="1" s="1"/>
  <c r="T39" i="1" s="1"/>
  <c r="AG38" i="1"/>
  <c r="AA38" i="1" s="1"/>
  <c r="Z38" i="1" s="1"/>
  <c r="Y38" i="1"/>
  <c r="X38" i="1" s="1"/>
  <c r="W38" i="1"/>
  <c r="V38" i="1"/>
  <c r="U38" i="1"/>
  <c r="R38" i="1"/>
  <c r="Q38" i="1"/>
  <c r="P38" i="1"/>
  <c r="M38" i="1"/>
  <c r="L38" i="1"/>
  <c r="K38" i="1"/>
  <c r="J38" i="1"/>
  <c r="G38" i="1"/>
  <c r="AK37" i="1"/>
  <c r="AG37" i="1"/>
  <c r="AA37" i="1" s="1"/>
  <c r="Z37" i="1" s="1"/>
  <c r="Y37" i="1"/>
  <c r="X37" i="1" s="1"/>
  <c r="AF37" i="1" s="1"/>
  <c r="U37" i="1"/>
  <c r="W37" i="1" s="1"/>
  <c r="P37" i="1"/>
  <c r="M37" i="1"/>
  <c r="R37" i="1" s="1"/>
  <c r="L37" i="1"/>
  <c r="Q37" i="1" s="1"/>
  <c r="K37" i="1"/>
  <c r="J37" i="1"/>
  <c r="G37" i="1"/>
  <c r="AG36" i="1"/>
  <c r="AA36" i="1"/>
  <c r="Z36" i="1" s="1"/>
  <c r="Y36" i="1"/>
  <c r="X36" i="1"/>
  <c r="AF36" i="1" s="1"/>
  <c r="P36" i="1"/>
  <c r="M36" i="1"/>
  <c r="K36" i="1"/>
  <c r="J36" i="1"/>
  <c r="G36" i="1"/>
  <c r="AG35" i="1"/>
  <c r="AA35" i="1" s="1"/>
  <c r="Z35" i="1" s="1"/>
  <c r="AF35" i="1"/>
  <c r="AE35" i="1"/>
  <c r="Y35" i="1"/>
  <c r="X35" i="1"/>
  <c r="AK35" i="1" s="1"/>
  <c r="W35" i="1"/>
  <c r="V35" i="1"/>
  <c r="U35" i="1"/>
  <c r="P35" i="1"/>
  <c r="M35" i="1"/>
  <c r="R35" i="1" s="1"/>
  <c r="L35" i="1"/>
  <c r="T35" i="1" s="1"/>
  <c r="K35" i="1"/>
  <c r="J35" i="1"/>
  <c r="G35" i="1"/>
  <c r="AG34" i="1"/>
  <c r="AA34" i="1" s="1"/>
  <c r="Z34" i="1" s="1"/>
  <c r="AF34" i="1"/>
  <c r="AE34" i="1"/>
  <c r="Y34" i="1"/>
  <c r="X34" i="1" s="1"/>
  <c r="AK34" i="1" s="1"/>
  <c r="R34" i="1"/>
  <c r="P34" i="1"/>
  <c r="M34" i="1"/>
  <c r="K34" i="1"/>
  <c r="J34" i="1"/>
  <c r="G34" i="1"/>
  <c r="U34" i="1" s="1"/>
  <c r="AG33" i="1"/>
  <c r="AA33" i="1"/>
  <c r="Z33" i="1" s="1"/>
  <c r="Y33" i="1"/>
  <c r="X33" i="1" s="1"/>
  <c r="W33" i="1"/>
  <c r="R33" i="1"/>
  <c r="P33" i="1"/>
  <c r="M33" i="1"/>
  <c r="K33" i="1"/>
  <c r="J33" i="1"/>
  <c r="G33" i="1"/>
  <c r="U33" i="1" s="1"/>
  <c r="V33" i="1" s="1"/>
  <c r="AK32" i="1"/>
  <c r="AG32" i="1"/>
  <c r="AA32" i="1" s="1"/>
  <c r="Z32" i="1" s="1"/>
  <c r="Y32" i="1"/>
  <c r="X32" i="1"/>
  <c r="AF32" i="1" s="1"/>
  <c r="P32" i="1"/>
  <c r="M32" i="1"/>
  <c r="K32" i="1"/>
  <c r="J32" i="1"/>
  <c r="G32" i="1"/>
  <c r="L32" i="1" s="1"/>
  <c r="AG31" i="1"/>
  <c r="AA31" i="1"/>
  <c r="Z31" i="1" s="1"/>
  <c r="Y31" i="1"/>
  <c r="X31" i="1"/>
  <c r="AK31" i="1" s="1"/>
  <c r="U31" i="1"/>
  <c r="Q31" i="1"/>
  <c r="P31" i="1"/>
  <c r="T31" i="1" s="1"/>
  <c r="M31" i="1"/>
  <c r="K31" i="1"/>
  <c r="J31" i="1"/>
  <c r="G31" i="1"/>
  <c r="L31" i="1" s="1"/>
  <c r="R31" i="1" s="1"/>
  <c r="AG30" i="1"/>
  <c r="AA30" i="1" s="1"/>
  <c r="Z30" i="1"/>
  <c r="Y30" i="1"/>
  <c r="X30" i="1"/>
  <c r="AE30" i="1" s="1"/>
  <c r="W30" i="1"/>
  <c r="U30" i="1"/>
  <c r="V30" i="1" s="1"/>
  <c r="P30" i="1"/>
  <c r="M30" i="1"/>
  <c r="R30" i="1" s="1"/>
  <c r="L30" i="1"/>
  <c r="Q30" i="1" s="1"/>
  <c r="K30" i="1"/>
  <c r="J30" i="1"/>
  <c r="G30" i="1"/>
  <c r="AG29" i="1"/>
  <c r="AF29" i="1"/>
  <c r="AE29" i="1"/>
  <c r="AA29" i="1"/>
  <c r="Z29" i="1"/>
  <c r="Y29" i="1"/>
  <c r="X29" i="1" s="1"/>
  <c r="AK29" i="1" s="1"/>
  <c r="U29" i="1"/>
  <c r="V29" i="1" s="1"/>
  <c r="P29" i="1"/>
  <c r="M29" i="1"/>
  <c r="K29" i="1"/>
  <c r="J29" i="1"/>
  <c r="G29" i="1"/>
  <c r="L29" i="1" s="1"/>
  <c r="AG28" i="1"/>
  <c r="AE28" i="1"/>
  <c r="AA28" i="1"/>
  <c r="Z28" i="1"/>
  <c r="Y28" i="1"/>
  <c r="X28" i="1"/>
  <c r="AF28" i="1" s="1"/>
  <c r="P28" i="1"/>
  <c r="M28" i="1"/>
  <c r="K28" i="1"/>
  <c r="J28" i="1"/>
  <c r="G28" i="1"/>
  <c r="AK27" i="1"/>
  <c r="AG27" i="1"/>
  <c r="AA27" i="1" s="1"/>
  <c r="Z27" i="1" s="1"/>
  <c r="Y27" i="1"/>
  <c r="X27" i="1"/>
  <c r="AF27" i="1" s="1"/>
  <c r="U27" i="1"/>
  <c r="W27" i="1" s="1"/>
  <c r="T27" i="1"/>
  <c r="P27" i="1"/>
  <c r="S27" i="1" s="1"/>
  <c r="M27" i="1"/>
  <c r="R27" i="1" s="1"/>
  <c r="L27" i="1"/>
  <c r="Q27" i="1" s="1"/>
  <c r="K27" i="1"/>
  <c r="J27" i="1"/>
  <c r="G27" i="1"/>
  <c r="AG26" i="1"/>
  <c r="AA26" i="1"/>
  <c r="Z26" i="1"/>
  <c r="Y26" i="1"/>
  <c r="X26" i="1" s="1"/>
  <c r="U26" i="1"/>
  <c r="V26" i="1" s="1"/>
  <c r="P26" i="1"/>
  <c r="M26" i="1"/>
  <c r="K26" i="1"/>
  <c r="J26" i="1"/>
  <c r="G26" i="1"/>
  <c r="L26" i="1" s="1"/>
  <c r="AK25" i="1"/>
  <c r="AG25" i="1"/>
  <c r="AA25" i="1" s="1"/>
  <c r="Z25" i="1" s="1"/>
  <c r="Y25" i="1"/>
  <c r="X25" i="1"/>
  <c r="AF25" i="1" s="1"/>
  <c r="W25" i="1"/>
  <c r="V25" i="1"/>
  <c r="U25" i="1"/>
  <c r="P25" i="1"/>
  <c r="S25" i="1" s="1"/>
  <c r="M25" i="1"/>
  <c r="R25" i="1" s="1"/>
  <c r="L25" i="1"/>
  <c r="Q25" i="1" s="1"/>
  <c r="K25" i="1"/>
  <c r="J25" i="1"/>
  <c r="G25" i="1"/>
  <c r="AG24" i="1"/>
  <c r="AA24" i="1"/>
  <c r="Z24" i="1" s="1"/>
  <c r="Y24" i="1"/>
  <c r="X24" i="1" s="1"/>
  <c r="P24" i="1"/>
  <c r="M24" i="1"/>
  <c r="R24" i="1" s="1"/>
  <c r="K24" i="1"/>
  <c r="J24" i="1"/>
  <c r="G24" i="1"/>
  <c r="L24" i="1" s="1"/>
  <c r="AG23" i="1"/>
  <c r="AA23" i="1"/>
  <c r="Z23" i="1"/>
  <c r="Y23" i="1"/>
  <c r="X23" i="1"/>
  <c r="AF23" i="1" s="1"/>
  <c r="P23" i="1"/>
  <c r="M23" i="1"/>
  <c r="K23" i="1"/>
  <c r="J23" i="1"/>
  <c r="G23" i="1"/>
  <c r="U23" i="1" s="1"/>
  <c r="AG22" i="1"/>
  <c r="AA22" i="1" s="1"/>
  <c r="Z22" i="1" s="1"/>
  <c r="Y22" i="1"/>
  <c r="X22" i="1" s="1"/>
  <c r="U22" i="1"/>
  <c r="W22" i="1" s="1"/>
  <c r="P22" i="1"/>
  <c r="T22" i="1" s="1"/>
  <c r="M22" i="1"/>
  <c r="R22" i="1" s="1"/>
  <c r="L22" i="1"/>
  <c r="Q22" i="1" s="1"/>
  <c r="K22" i="1"/>
  <c r="J22" i="1"/>
  <c r="G22" i="1"/>
  <c r="AG21" i="1"/>
  <c r="AF21" i="1"/>
  <c r="AE21" i="1"/>
  <c r="AA21" i="1"/>
  <c r="Z21" i="1"/>
  <c r="Y21" i="1"/>
  <c r="X21" i="1"/>
  <c r="AK21" i="1" s="1"/>
  <c r="P21" i="1"/>
  <c r="M21" i="1"/>
  <c r="K21" i="1"/>
  <c r="J21" i="1"/>
  <c r="G21" i="1"/>
  <c r="L21" i="1" s="1"/>
  <c r="AK20" i="1"/>
  <c r="AG20" i="1"/>
  <c r="AF20" i="1"/>
  <c r="AE20" i="1"/>
  <c r="AA20" i="1"/>
  <c r="Z20" i="1" s="1"/>
  <c r="Y20" i="1"/>
  <c r="X20" i="1"/>
  <c r="P20" i="1"/>
  <c r="M20" i="1"/>
  <c r="R20" i="1" s="1"/>
  <c r="K20" i="1"/>
  <c r="J20" i="1"/>
  <c r="G20" i="1"/>
  <c r="L20" i="1" s="1"/>
  <c r="Q20" i="1" s="1"/>
  <c r="AG19" i="1"/>
  <c r="AA19" i="1" s="1"/>
  <c r="Z19" i="1" s="1"/>
  <c r="AF19" i="1"/>
  <c r="AE19" i="1"/>
  <c r="Y19" i="1"/>
  <c r="X19" i="1"/>
  <c r="AK19" i="1" s="1"/>
  <c r="U19" i="1"/>
  <c r="W19" i="1" s="1"/>
  <c r="T19" i="1"/>
  <c r="P19" i="1"/>
  <c r="S19" i="1" s="1"/>
  <c r="M19" i="1"/>
  <c r="R19" i="1" s="1"/>
  <c r="L19" i="1"/>
  <c r="Q19" i="1" s="1"/>
  <c r="K19" i="1"/>
  <c r="J19" i="1"/>
  <c r="G19" i="1"/>
  <c r="AG18" i="1"/>
  <c r="AF18" i="1"/>
  <c r="AE18" i="1"/>
  <c r="AA18" i="1"/>
  <c r="Z18" i="1"/>
  <c r="Y18" i="1"/>
  <c r="X18" i="1" s="1"/>
  <c r="AK18" i="1" s="1"/>
  <c r="R18" i="1"/>
  <c r="P18" i="1"/>
  <c r="M18" i="1"/>
  <c r="K18" i="1"/>
  <c r="J18" i="1"/>
  <c r="G18" i="1"/>
  <c r="L18" i="1" s="1"/>
  <c r="AK17" i="1"/>
  <c r="AG17" i="1"/>
  <c r="AA17" i="1" s="1"/>
  <c r="Z17" i="1" s="1"/>
  <c r="AF17" i="1"/>
  <c r="AE17" i="1"/>
  <c r="Y17" i="1"/>
  <c r="X17" i="1"/>
  <c r="W17" i="1"/>
  <c r="V17" i="1"/>
  <c r="U17" i="1"/>
  <c r="P17" i="1"/>
  <c r="S17" i="1" s="1"/>
  <c r="M17" i="1"/>
  <c r="R17" i="1" s="1"/>
  <c r="L17" i="1"/>
  <c r="Q17" i="1" s="1"/>
  <c r="K17" i="1"/>
  <c r="J17" i="1"/>
  <c r="G17" i="1"/>
  <c r="AG16" i="1"/>
  <c r="AF16" i="1"/>
  <c r="AE16" i="1"/>
  <c r="AA16" i="1"/>
  <c r="Z16" i="1" s="1"/>
  <c r="Y16" i="1"/>
  <c r="X16" i="1" s="1"/>
  <c r="AK16" i="1" s="1"/>
  <c r="P16" i="1"/>
  <c r="M16" i="1"/>
  <c r="R16" i="1" s="1"/>
  <c r="K16" i="1"/>
  <c r="J16" i="1"/>
  <c r="G16" i="1"/>
  <c r="L16" i="1" s="1"/>
  <c r="AG15" i="1"/>
  <c r="AF15" i="1"/>
  <c r="AE15" i="1"/>
  <c r="AA15" i="1"/>
  <c r="Z15" i="1"/>
  <c r="Y15" i="1"/>
  <c r="X15" i="1"/>
  <c r="AK15" i="1" s="1"/>
  <c r="R15" i="1"/>
  <c r="P15" i="1"/>
  <c r="M15" i="1"/>
  <c r="K15" i="1"/>
  <c r="J15" i="1"/>
  <c r="G15" i="1"/>
  <c r="U15" i="1" s="1"/>
  <c r="AK14" i="1"/>
  <c r="AG14" i="1"/>
  <c r="AA14" i="1" s="1"/>
  <c r="Z14" i="1" s="1"/>
  <c r="AF14" i="1"/>
  <c r="AE14" i="1"/>
  <c r="Y14" i="1"/>
  <c r="X14" i="1"/>
  <c r="U14" i="1"/>
  <c r="W14" i="1" s="1"/>
  <c r="P14" i="1"/>
  <c r="T14" i="1" s="1"/>
  <c r="M14" i="1"/>
  <c r="R14" i="1" s="1"/>
  <c r="L14" i="1"/>
  <c r="Q14" i="1" s="1"/>
  <c r="K14" i="1"/>
  <c r="J14" i="1"/>
  <c r="G14" i="1"/>
  <c r="AG13" i="1"/>
  <c r="AF13" i="1"/>
  <c r="AE13" i="1"/>
  <c r="AA13" i="1"/>
  <c r="Z13" i="1"/>
  <c r="Y13" i="1"/>
  <c r="X13" i="1"/>
  <c r="AK13" i="1" s="1"/>
  <c r="R13" i="1"/>
  <c r="P13" i="1"/>
  <c r="M13" i="1"/>
  <c r="K13" i="1"/>
  <c r="J13" i="1"/>
  <c r="G13" i="1"/>
  <c r="L13" i="1" s="1"/>
  <c r="AK12" i="1"/>
  <c r="AG12" i="1"/>
  <c r="AA12" i="1"/>
  <c r="Z12" i="1"/>
  <c r="Y12" i="1"/>
  <c r="X12" i="1"/>
  <c r="AE12" i="1" s="1"/>
  <c r="W12" i="1"/>
  <c r="U12" i="1"/>
  <c r="V12" i="1" s="1"/>
  <c r="P12" i="1"/>
  <c r="T12" i="1" s="1"/>
  <c r="M12" i="1"/>
  <c r="R12" i="1" s="1"/>
  <c r="K12" i="1"/>
  <c r="J12" i="1"/>
  <c r="G12" i="1"/>
  <c r="L12" i="1" s="1"/>
  <c r="Q12" i="1" s="1"/>
  <c r="AK11" i="1"/>
  <c r="AG11" i="1"/>
  <c r="AA11" i="1" s="1"/>
  <c r="Z11" i="1" s="1"/>
  <c r="AF11" i="1"/>
  <c r="AE11" i="1"/>
  <c r="Y11" i="1"/>
  <c r="X11" i="1"/>
  <c r="U11" i="1"/>
  <c r="W11" i="1" s="1"/>
  <c r="T11" i="1"/>
  <c r="P11" i="1"/>
  <c r="S11" i="1" s="1"/>
  <c r="M11" i="1"/>
  <c r="R11" i="1" s="1"/>
  <c r="L11" i="1"/>
  <c r="Q11" i="1" s="1"/>
  <c r="K11" i="1"/>
  <c r="J11" i="1"/>
  <c r="G11" i="1"/>
  <c r="AG10" i="1"/>
  <c r="AA10" i="1"/>
  <c r="Z10" i="1"/>
  <c r="Y10" i="1"/>
  <c r="X10" i="1" s="1"/>
  <c r="R10" i="1"/>
  <c r="P10" i="1"/>
  <c r="M10" i="1"/>
  <c r="K10" i="1"/>
  <c r="J10" i="1"/>
  <c r="G10" i="1"/>
  <c r="L10" i="1" s="1"/>
  <c r="AK9" i="1"/>
  <c r="AG9" i="1"/>
  <c r="AA9" i="1" s="1"/>
  <c r="Z9" i="1" s="1"/>
  <c r="Y9" i="1"/>
  <c r="X9" i="1"/>
  <c r="AF9" i="1" s="1"/>
  <c r="W9" i="1"/>
  <c r="V9" i="1"/>
  <c r="U9" i="1"/>
  <c r="P9" i="1"/>
  <c r="S9" i="1" s="1"/>
  <c r="M9" i="1"/>
  <c r="R9" i="1" s="1"/>
  <c r="L9" i="1"/>
  <c r="Q9" i="1" s="1"/>
  <c r="K9" i="1"/>
  <c r="J9" i="1"/>
  <c r="G9" i="1"/>
  <c r="AF10" i="1" l="1"/>
  <c r="AE10" i="1"/>
  <c r="AK10" i="1"/>
  <c r="T26" i="1"/>
  <c r="S26" i="1"/>
  <c r="R26" i="1"/>
  <c r="Q26" i="1"/>
  <c r="W15" i="1"/>
  <c r="V15" i="1"/>
  <c r="W23" i="1"/>
  <c r="V23" i="1"/>
  <c r="Q29" i="1"/>
  <c r="T29" i="1"/>
  <c r="S29" i="1"/>
  <c r="R29" i="1"/>
  <c r="AE51" i="1"/>
  <c r="AK51" i="1"/>
  <c r="AF51" i="1"/>
  <c r="AK24" i="1"/>
  <c r="AF24" i="1"/>
  <c r="AE24" i="1"/>
  <c r="T24" i="1"/>
  <c r="S24" i="1"/>
  <c r="Q24" i="1"/>
  <c r="AE43" i="1"/>
  <c r="AF43" i="1"/>
  <c r="AK43" i="1"/>
  <c r="T10" i="1"/>
  <c r="S10" i="1"/>
  <c r="Q10" i="1"/>
  <c r="T21" i="1"/>
  <c r="S21" i="1"/>
  <c r="R21" i="1"/>
  <c r="Q21" i="1"/>
  <c r="Q32" i="1"/>
  <c r="T32" i="1"/>
  <c r="S32" i="1"/>
  <c r="AE33" i="1"/>
  <c r="AF33" i="1"/>
  <c r="AK33" i="1"/>
  <c r="V40" i="1"/>
  <c r="W40" i="1"/>
  <c r="T20" i="1"/>
  <c r="AE38" i="1"/>
  <c r="AK38" i="1"/>
  <c r="AF38" i="1"/>
  <c r="T16" i="1"/>
  <c r="S16" i="1"/>
  <c r="Q16" i="1"/>
  <c r="AF26" i="1"/>
  <c r="AE26" i="1"/>
  <c r="AK26" i="1"/>
  <c r="T13" i="1"/>
  <c r="Q13" i="1"/>
  <c r="S13" i="1"/>
  <c r="T18" i="1"/>
  <c r="Q18" i="1"/>
  <c r="S18" i="1"/>
  <c r="AK22" i="1"/>
  <c r="AF22" i="1"/>
  <c r="AE22" i="1"/>
  <c r="W34" i="1"/>
  <c r="V34" i="1"/>
  <c r="W53" i="1"/>
  <c r="V53" i="1"/>
  <c r="T9" i="1"/>
  <c r="AE9" i="1"/>
  <c r="S14" i="1"/>
  <c r="L15" i="1"/>
  <c r="Q15" i="1" s="1"/>
  <c r="T17" i="1"/>
  <c r="U20" i="1"/>
  <c r="S22" i="1"/>
  <c r="L23" i="1"/>
  <c r="T25" i="1"/>
  <c r="AE25" i="1"/>
  <c r="W26" i="1"/>
  <c r="AE27" i="1"/>
  <c r="W29" i="1"/>
  <c r="AK30" i="1"/>
  <c r="S31" i="1"/>
  <c r="AF31" i="1"/>
  <c r="AE32" i="1"/>
  <c r="L34" i="1"/>
  <c r="U36" i="1"/>
  <c r="L36" i="1"/>
  <c r="T36" i="1" s="1"/>
  <c r="AK36" i="1"/>
  <c r="S37" i="1"/>
  <c r="AE37" i="1"/>
  <c r="R42" i="1"/>
  <c r="AE42" i="1"/>
  <c r="T43" i="1"/>
  <c r="S43" i="1"/>
  <c r="U52" i="1"/>
  <c r="L52" i="1"/>
  <c r="AF52" i="1"/>
  <c r="AK52" i="1"/>
  <c r="U63" i="1"/>
  <c r="R69" i="1"/>
  <c r="AF71" i="1"/>
  <c r="AE71" i="1"/>
  <c r="AK71" i="1"/>
  <c r="T73" i="1"/>
  <c r="AK75" i="1"/>
  <c r="AF75" i="1"/>
  <c r="AE75" i="1"/>
  <c r="R77" i="1"/>
  <c r="AE81" i="1"/>
  <c r="AK81" i="1"/>
  <c r="AF81" i="1"/>
  <c r="W92" i="1"/>
  <c r="V92" i="1"/>
  <c r="R93" i="1"/>
  <c r="V14" i="1"/>
  <c r="AF12" i="1"/>
  <c r="AK23" i="1"/>
  <c r="T37" i="1"/>
  <c r="S38" i="1"/>
  <c r="T38" i="1"/>
  <c r="L40" i="1"/>
  <c r="Q40" i="1" s="1"/>
  <c r="S42" i="1"/>
  <c r="AF42" i="1"/>
  <c r="R48" i="1"/>
  <c r="L53" i="1"/>
  <c r="U55" i="1"/>
  <c r="AF59" i="1"/>
  <c r="T61" i="1"/>
  <c r="S61" i="1"/>
  <c r="Q61" i="1"/>
  <c r="AE63" i="1"/>
  <c r="AK63" i="1"/>
  <c r="R64" i="1"/>
  <c r="W68" i="1"/>
  <c r="V68" i="1"/>
  <c r="AE73" i="1"/>
  <c r="AK73" i="1"/>
  <c r="AF73" i="1"/>
  <c r="W84" i="1"/>
  <c r="V84" i="1"/>
  <c r="T87" i="1"/>
  <c r="S87" i="1"/>
  <c r="R87" i="1"/>
  <c r="Q87" i="1"/>
  <c r="W88" i="1"/>
  <c r="V88" i="1"/>
  <c r="R97" i="1"/>
  <c r="V31" i="1"/>
  <c r="W31" i="1"/>
  <c r="U32" i="1"/>
  <c r="U44" i="1"/>
  <c r="L44" i="1"/>
  <c r="S54" i="1"/>
  <c r="T54" i="1"/>
  <c r="T55" i="1"/>
  <c r="R55" i="1"/>
  <c r="AE55" i="1"/>
  <c r="AK55" i="1"/>
  <c r="L57" i="1"/>
  <c r="U57" i="1"/>
  <c r="S62" i="1"/>
  <c r="T62" i="1"/>
  <c r="T63" i="1"/>
  <c r="R63" i="1"/>
  <c r="Q63" i="1"/>
  <c r="T64" i="1"/>
  <c r="S64" i="1"/>
  <c r="AK66" i="1"/>
  <c r="AF66" i="1"/>
  <c r="W69" i="1"/>
  <c r="V69" i="1"/>
  <c r="W76" i="1"/>
  <c r="V76" i="1"/>
  <c r="T79" i="1"/>
  <c r="S79" i="1"/>
  <c r="R79" i="1"/>
  <c r="Q79" i="1"/>
  <c r="W80" i="1"/>
  <c r="V80" i="1"/>
  <c r="AK85" i="1"/>
  <c r="AF85" i="1"/>
  <c r="AE85" i="1"/>
  <c r="S89" i="1"/>
  <c r="Q89" i="1"/>
  <c r="AF95" i="1"/>
  <c r="AE95" i="1"/>
  <c r="AK95" i="1"/>
  <c r="T97" i="1"/>
  <c r="V22" i="1"/>
  <c r="V37" i="1"/>
  <c r="AE41" i="1"/>
  <c r="AF41" i="1"/>
  <c r="V43" i="1"/>
  <c r="AF44" i="1"/>
  <c r="AK44" i="1"/>
  <c r="AK46" i="1"/>
  <c r="AF46" i="1"/>
  <c r="AE46" i="1"/>
  <c r="T48" i="1"/>
  <c r="S58" i="1"/>
  <c r="Q58" i="1"/>
  <c r="V64" i="1"/>
  <c r="AE66" i="1"/>
  <c r="AK69" i="1"/>
  <c r="AE69" i="1"/>
  <c r="T71" i="1"/>
  <c r="S71" i="1"/>
  <c r="R71" i="1"/>
  <c r="Q71" i="1"/>
  <c r="W72" i="1"/>
  <c r="V72" i="1"/>
  <c r="AK77" i="1"/>
  <c r="AF77" i="1"/>
  <c r="AE77" i="1"/>
  <c r="S81" i="1"/>
  <c r="Q81" i="1"/>
  <c r="AK90" i="1"/>
  <c r="AF90" i="1"/>
  <c r="AE90" i="1"/>
  <c r="AE97" i="1"/>
  <c r="AK97" i="1"/>
  <c r="AF97" i="1"/>
  <c r="U16" i="1"/>
  <c r="V19" i="1"/>
  <c r="U24" i="1"/>
  <c r="V27" i="1"/>
  <c r="U28" i="1"/>
  <c r="L28" i="1"/>
  <c r="AK28" i="1"/>
  <c r="S35" i="1"/>
  <c r="S39" i="1"/>
  <c r="S40" i="1"/>
  <c r="V42" i="1"/>
  <c r="T45" i="1"/>
  <c r="Q45" i="1"/>
  <c r="L49" i="1"/>
  <c r="U49" i="1"/>
  <c r="AF55" i="1"/>
  <c r="T56" i="1"/>
  <c r="W60" i="1"/>
  <c r="V60" i="1"/>
  <c r="AK64" i="1"/>
  <c r="AF64" i="1"/>
  <c r="AE64" i="1"/>
  <c r="S73" i="1"/>
  <c r="Q73" i="1"/>
  <c r="AK82" i="1"/>
  <c r="AF82" i="1"/>
  <c r="AE82" i="1"/>
  <c r="T85" i="1"/>
  <c r="S85" i="1"/>
  <c r="Q85" i="1"/>
  <c r="T95" i="1"/>
  <c r="S95" i="1"/>
  <c r="Q95" i="1"/>
  <c r="V11" i="1"/>
  <c r="S15" i="1"/>
  <c r="U21" i="1"/>
  <c r="S23" i="1"/>
  <c r="S30" i="1"/>
  <c r="T30" i="1"/>
  <c r="Q35" i="1"/>
  <c r="T41" i="1"/>
  <c r="AF45" i="1"/>
  <c r="S46" i="1"/>
  <c r="T46" i="1"/>
  <c r="AE49" i="1"/>
  <c r="AF49" i="1"/>
  <c r="V56" i="1"/>
  <c r="T69" i="1"/>
  <c r="S69" i="1"/>
  <c r="Q69" i="1"/>
  <c r="AK74" i="1"/>
  <c r="AF74" i="1"/>
  <c r="AE74" i="1"/>
  <c r="T77" i="1"/>
  <c r="S77" i="1"/>
  <c r="Q77" i="1"/>
  <c r="AK93" i="1"/>
  <c r="AF93" i="1"/>
  <c r="AE93" i="1"/>
  <c r="W96" i="1"/>
  <c r="V96" i="1"/>
  <c r="U13" i="1"/>
  <c r="U10" i="1"/>
  <c r="S20" i="1"/>
  <c r="AF30" i="1"/>
  <c r="R32" i="1"/>
  <c r="AE36" i="1"/>
  <c r="V39" i="1"/>
  <c r="W39" i="1"/>
  <c r="AK54" i="1"/>
  <c r="AF54" i="1"/>
  <c r="AE54" i="1"/>
  <c r="AK56" i="1"/>
  <c r="AF56" i="1"/>
  <c r="T57" i="1"/>
  <c r="AK62" i="1"/>
  <c r="AF62" i="1"/>
  <c r="AE62" i="1"/>
  <c r="AE65" i="1"/>
  <c r="AK65" i="1"/>
  <c r="AF65" i="1"/>
  <c r="AF67" i="1"/>
  <c r="AE67" i="1"/>
  <c r="AF87" i="1"/>
  <c r="AE87" i="1"/>
  <c r="AK87" i="1"/>
  <c r="AK91" i="1"/>
  <c r="AF91" i="1"/>
  <c r="AE91" i="1"/>
  <c r="S97" i="1"/>
  <c r="Q97" i="1"/>
  <c r="Q118" i="1"/>
  <c r="S118" i="1"/>
  <c r="S12" i="1"/>
  <c r="U18" i="1"/>
  <c r="AE23" i="1"/>
  <c r="AE31" i="1"/>
  <c r="L33" i="1"/>
  <c r="R43" i="1"/>
  <c r="AE44" i="1"/>
  <c r="S45" i="1"/>
  <c r="AK45" i="1"/>
  <c r="U47" i="1"/>
  <c r="T51" i="1"/>
  <c r="S51" i="1"/>
  <c r="Q55" i="1"/>
  <c r="T58" i="1"/>
  <c r="W59" i="1"/>
  <c r="W61" i="1"/>
  <c r="S63" i="1"/>
  <c r="L65" i="1"/>
  <c r="U65" i="1"/>
  <c r="R73" i="1"/>
  <c r="AF79" i="1"/>
  <c r="AE79" i="1"/>
  <c r="AK79" i="1"/>
  <c r="T81" i="1"/>
  <c r="AK83" i="1"/>
  <c r="AF83" i="1"/>
  <c r="AE83" i="1"/>
  <c r="R85" i="1"/>
  <c r="AE89" i="1"/>
  <c r="AK89" i="1"/>
  <c r="AF89" i="1"/>
  <c r="S59" i="1"/>
  <c r="L60" i="1"/>
  <c r="S67" i="1"/>
  <c r="L68" i="1"/>
  <c r="T70" i="1"/>
  <c r="AE70" i="1"/>
  <c r="U73" i="1"/>
  <c r="S75" i="1"/>
  <c r="L76" i="1"/>
  <c r="T78" i="1"/>
  <c r="AE78" i="1"/>
  <c r="U81" i="1"/>
  <c r="S83" i="1"/>
  <c r="L84" i="1"/>
  <c r="T86" i="1"/>
  <c r="AE86" i="1"/>
  <c r="U89" i="1"/>
  <c r="S91" i="1"/>
  <c r="L92" i="1"/>
  <c r="S92" i="1" s="1"/>
  <c r="T94" i="1"/>
  <c r="AE94" i="1"/>
  <c r="U97" i="1"/>
  <c r="U100" i="1"/>
  <c r="AK100" i="1"/>
  <c r="S101" i="1"/>
  <c r="AE101" i="1"/>
  <c r="T102" i="1"/>
  <c r="T110" i="1"/>
  <c r="Q111" i="1"/>
  <c r="S112" i="1"/>
  <c r="W113" i="1"/>
  <c r="Q119" i="1"/>
  <c r="S120" i="1"/>
  <c r="W121" i="1"/>
  <c r="T124" i="1"/>
  <c r="AK127" i="1"/>
  <c r="AF127" i="1"/>
  <c r="AE127" i="1"/>
  <c r="W132" i="1"/>
  <c r="V132" i="1"/>
  <c r="W134" i="1"/>
  <c r="V134" i="1"/>
  <c r="AF136" i="1"/>
  <c r="AE136" i="1"/>
  <c r="AK136" i="1"/>
  <c r="T141" i="1"/>
  <c r="S141" i="1"/>
  <c r="AK60" i="1"/>
  <c r="Q66" i="1"/>
  <c r="AK68" i="1"/>
  <c r="AF70" i="1"/>
  <c r="S72" i="1"/>
  <c r="Q74" i="1"/>
  <c r="AK76" i="1"/>
  <c r="AF78" i="1"/>
  <c r="S80" i="1"/>
  <c r="Q82" i="1"/>
  <c r="AK84" i="1"/>
  <c r="AF86" i="1"/>
  <c r="S88" i="1"/>
  <c r="Q90" i="1"/>
  <c r="AF94" i="1"/>
  <c r="S96" i="1"/>
  <c r="Q98" i="1"/>
  <c r="Q102" i="1"/>
  <c r="R104" i="1"/>
  <c r="R108" i="1"/>
  <c r="S110" i="1"/>
  <c r="AK110" i="1"/>
  <c r="T112" i="1"/>
  <c r="AF116" i="1"/>
  <c r="U118" i="1"/>
  <c r="T120" i="1"/>
  <c r="R135" i="1"/>
  <c r="AK138" i="1"/>
  <c r="AF138" i="1"/>
  <c r="AE138" i="1"/>
  <c r="U140" i="1"/>
  <c r="L140" i="1"/>
  <c r="W143" i="1"/>
  <c r="V143" i="1"/>
  <c r="R145" i="1"/>
  <c r="Q145" i="1"/>
  <c r="T145" i="1"/>
  <c r="S145" i="1"/>
  <c r="Q148" i="1"/>
  <c r="T148" i="1"/>
  <c r="S148" i="1"/>
  <c r="R66" i="1"/>
  <c r="AE72" i="1"/>
  <c r="R74" i="1"/>
  <c r="AE80" i="1"/>
  <c r="R82" i="1"/>
  <c r="AE88" i="1"/>
  <c r="R90" i="1"/>
  <c r="AE96" i="1"/>
  <c r="R98" i="1"/>
  <c r="AK101" i="1"/>
  <c r="R102" i="1"/>
  <c r="T108" i="1"/>
  <c r="S108" i="1"/>
  <c r="U112" i="1"/>
  <c r="T116" i="1"/>
  <c r="S116" i="1"/>
  <c r="U120" i="1"/>
  <c r="W124" i="1"/>
  <c r="V124" i="1"/>
  <c r="AF128" i="1"/>
  <c r="AE128" i="1"/>
  <c r="AK128" i="1"/>
  <c r="AF72" i="1"/>
  <c r="AF80" i="1"/>
  <c r="AF88" i="1"/>
  <c r="AF96" i="1"/>
  <c r="Q104" i="1"/>
  <c r="S105" i="1"/>
  <c r="Q106" i="1"/>
  <c r="S107" i="1"/>
  <c r="AE113" i="1"/>
  <c r="S115" i="1"/>
  <c r="AK116" i="1"/>
  <c r="AK124" i="1"/>
  <c r="AE124" i="1"/>
  <c r="AF126" i="1"/>
  <c r="AE126" i="1"/>
  <c r="U135" i="1"/>
  <c r="W137" i="1"/>
  <c r="V137" i="1"/>
  <c r="T138" i="1"/>
  <c r="Q138" i="1"/>
  <c r="AE141" i="1"/>
  <c r="AF141" i="1"/>
  <c r="AK141" i="1"/>
  <c r="R152" i="1"/>
  <c r="U117" i="1"/>
  <c r="L117" i="1"/>
  <c r="AF117" i="1"/>
  <c r="AK117" i="1"/>
  <c r="L126" i="1"/>
  <c r="R126" i="1" s="1"/>
  <c r="U126" i="1"/>
  <c r="R140" i="1"/>
  <c r="W153" i="1"/>
  <c r="V153" i="1"/>
  <c r="V77" i="1"/>
  <c r="V85" i="1"/>
  <c r="V93" i="1"/>
  <c r="AE99" i="1"/>
  <c r="V102" i="1"/>
  <c r="T103" i="1"/>
  <c r="S106" i="1"/>
  <c r="W108" i="1"/>
  <c r="U109" i="1"/>
  <c r="L109" i="1"/>
  <c r="AF109" i="1"/>
  <c r="AK109" i="1"/>
  <c r="R112" i="1"/>
  <c r="W116" i="1"/>
  <c r="R120" i="1"/>
  <c r="V123" i="1"/>
  <c r="R127" i="1"/>
  <c r="W129" i="1"/>
  <c r="V129" i="1"/>
  <c r="AF131" i="1"/>
  <c r="AK131" i="1"/>
  <c r="U71" i="1"/>
  <c r="U79" i="1"/>
  <c r="U87" i="1"/>
  <c r="U95" i="1"/>
  <c r="S100" i="1"/>
  <c r="U104" i="1"/>
  <c r="V105" i="1"/>
  <c r="U106" i="1"/>
  <c r="L114" i="1"/>
  <c r="U114" i="1"/>
  <c r="R118" i="1"/>
  <c r="L122" i="1"/>
  <c r="T122" i="1" s="1"/>
  <c r="U122" i="1"/>
  <c r="AF125" i="1"/>
  <c r="AK125" i="1"/>
  <c r="AE133" i="1"/>
  <c r="AK133" i="1"/>
  <c r="Q135" i="1"/>
  <c r="T135" i="1"/>
  <c r="S135" i="1"/>
  <c r="T99" i="1"/>
  <c r="V103" i="1"/>
  <c r="V107" i="1"/>
  <c r="R110" i="1"/>
  <c r="AF110" i="1"/>
  <c r="S111" i="1"/>
  <c r="T111" i="1"/>
  <c r="V115" i="1"/>
  <c r="T118" i="1"/>
  <c r="S119" i="1"/>
  <c r="T119" i="1"/>
  <c r="AE122" i="1"/>
  <c r="AF122" i="1"/>
  <c r="R124" i="1"/>
  <c r="W125" i="1"/>
  <c r="V125" i="1"/>
  <c r="S124" i="1"/>
  <c r="L125" i="1"/>
  <c r="T127" i="1"/>
  <c r="L129" i="1"/>
  <c r="L131" i="1"/>
  <c r="T131" i="1" s="1"/>
  <c r="U131" i="1"/>
  <c r="S132" i="1"/>
  <c r="AE132" i="1"/>
  <c r="S138" i="1"/>
  <c r="AK140" i="1"/>
  <c r="R142" i="1"/>
  <c r="L144" i="1"/>
  <c r="Q144" i="1" s="1"/>
  <c r="Q146" i="1"/>
  <c r="W148" i="1"/>
  <c r="R150" i="1"/>
  <c r="T151" i="1"/>
  <c r="T154" i="1"/>
  <c r="S154" i="1"/>
  <c r="W175" i="1"/>
  <c r="V175" i="1"/>
  <c r="T132" i="1"/>
  <c r="AF132" i="1"/>
  <c r="T133" i="1"/>
  <c r="S133" i="1"/>
  <c r="S137" i="1"/>
  <c r="S142" i="1"/>
  <c r="S150" i="1"/>
  <c r="L155" i="1"/>
  <c r="T155" i="1" s="1"/>
  <c r="U155" i="1"/>
  <c r="L156" i="1"/>
  <c r="V161" i="1"/>
  <c r="W161" i="1"/>
  <c r="Q164" i="1"/>
  <c r="T164" i="1"/>
  <c r="T143" i="1"/>
  <c r="T150" i="1"/>
  <c r="L152" i="1"/>
  <c r="Q152" i="1" s="1"/>
  <c r="U152" i="1"/>
  <c r="R130" i="1"/>
  <c r="R134" i="1"/>
  <c r="L136" i="1"/>
  <c r="Q136" i="1" s="1"/>
  <c r="U142" i="1"/>
  <c r="V145" i="1"/>
  <c r="V146" i="1"/>
  <c r="L147" i="1"/>
  <c r="U147" i="1"/>
  <c r="U150" i="1"/>
  <c r="V154" i="1"/>
  <c r="T162" i="1"/>
  <c r="S162" i="1"/>
  <c r="Q172" i="1"/>
  <c r="T172" i="1"/>
  <c r="S172" i="1"/>
  <c r="S130" i="1"/>
  <c r="S134" i="1"/>
  <c r="L139" i="1"/>
  <c r="U139" i="1"/>
  <c r="T158" i="1"/>
  <c r="AF182" i="1"/>
  <c r="AK182" i="1"/>
  <c r="AE182" i="1"/>
  <c r="T136" i="1"/>
  <c r="T149" i="1"/>
  <c r="S149" i="1"/>
  <c r="V156" i="1"/>
  <c r="AE181" i="1"/>
  <c r="AF181" i="1"/>
  <c r="AK181" i="1"/>
  <c r="T152" i="1"/>
  <c r="T153" i="1"/>
  <c r="Q153" i="1"/>
  <c r="L128" i="1"/>
  <c r="T128" i="1" s="1"/>
  <c r="S146" i="1"/>
  <c r="R154" i="1"/>
  <c r="T160" i="1"/>
  <c r="W167" i="1"/>
  <c r="V167" i="1"/>
  <c r="W183" i="1"/>
  <c r="V183" i="1"/>
  <c r="S157" i="1"/>
  <c r="V158" i="1"/>
  <c r="U164" i="1"/>
  <c r="L167" i="1"/>
  <c r="V168" i="1"/>
  <c r="Q169" i="1"/>
  <c r="R170" i="1"/>
  <c r="U172" i="1"/>
  <c r="L175" i="1"/>
  <c r="R175" i="1" s="1"/>
  <c r="W176" i="1"/>
  <c r="V178" i="1"/>
  <c r="L179" i="1"/>
  <c r="U179" i="1"/>
  <c r="S180" i="1"/>
  <c r="AF180" i="1"/>
  <c r="Q185" i="1"/>
  <c r="L187" i="1"/>
  <c r="U187" i="1"/>
  <c r="W204" i="1"/>
  <c r="V204" i="1"/>
  <c r="U160" i="1"/>
  <c r="Q166" i="1"/>
  <c r="R169" i="1"/>
  <c r="S170" i="1"/>
  <c r="Q174" i="1"/>
  <c r="V177" i="1"/>
  <c r="W177" i="1"/>
  <c r="T180" i="1"/>
  <c r="U182" i="1"/>
  <c r="L182" i="1"/>
  <c r="T182" i="1" s="1"/>
  <c r="S185" i="1"/>
  <c r="AE187" i="1"/>
  <c r="AF187" i="1"/>
  <c r="W189" i="1"/>
  <c r="V189" i="1"/>
  <c r="V209" i="1"/>
  <c r="W209" i="1"/>
  <c r="Q161" i="1"/>
  <c r="R166" i="1"/>
  <c r="L168" i="1"/>
  <c r="Q170" i="1"/>
  <c r="R174" i="1"/>
  <c r="T185" i="1"/>
  <c r="AK189" i="1"/>
  <c r="AE189" i="1"/>
  <c r="T190" i="1"/>
  <c r="U185" i="1"/>
  <c r="T191" i="1"/>
  <c r="Q191" i="1"/>
  <c r="S195" i="1"/>
  <c r="Q195" i="1"/>
  <c r="T203" i="1"/>
  <c r="S161" i="1"/>
  <c r="V162" i="1"/>
  <c r="T168" i="1"/>
  <c r="S176" i="1"/>
  <c r="T176" i="1"/>
  <c r="T179" i="1"/>
  <c r="T187" i="1"/>
  <c r="AF189" i="1"/>
  <c r="AF190" i="1"/>
  <c r="AE190" i="1"/>
  <c r="AK190" i="1"/>
  <c r="AK210" i="1"/>
  <c r="AF210" i="1"/>
  <c r="AE210" i="1"/>
  <c r="L163" i="1"/>
  <c r="U163" i="1"/>
  <c r="U166" i="1"/>
  <c r="V169" i="1"/>
  <c r="L171" i="1"/>
  <c r="U171" i="1"/>
  <c r="W174" i="1"/>
  <c r="V174" i="1"/>
  <c r="S178" i="1"/>
  <c r="W188" i="1"/>
  <c r="V188" i="1"/>
  <c r="AK192" i="1"/>
  <c r="AF192" i="1"/>
  <c r="AE192" i="1"/>
  <c r="W198" i="1"/>
  <c r="V198" i="1"/>
  <c r="W200" i="1"/>
  <c r="V200" i="1"/>
  <c r="AK200" i="1"/>
  <c r="AF200" i="1"/>
  <c r="AE200" i="1"/>
  <c r="AF201" i="1"/>
  <c r="AE201" i="1"/>
  <c r="AK201" i="1"/>
  <c r="AK203" i="1"/>
  <c r="AF203" i="1"/>
  <c r="AE203" i="1"/>
  <c r="AK188" i="1"/>
  <c r="AE188" i="1"/>
  <c r="U190" i="1"/>
  <c r="L190" i="1"/>
  <c r="W192" i="1"/>
  <c r="V192" i="1"/>
  <c r="W196" i="1"/>
  <c r="V196" i="1"/>
  <c r="T165" i="1"/>
  <c r="S165" i="1"/>
  <c r="T173" i="1"/>
  <c r="S173" i="1"/>
  <c r="T181" i="1"/>
  <c r="S181" i="1"/>
  <c r="S184" i="1"/>
  <c r="T184" i="1"/>
  <c r="T186" i="1"/>
  <c r="T189" i="1"/>
  <c r="S189" i="1"/>
  <c r="S193" i="1"/>
  <c r="Q193" i="1"/>
  <c r="AK196" i="1"/>
  <c r="AE196" i="1"/>
  <c r="W199" i="1"/>
  <c r="V199" i="1"/>
  <c r="T201" i="1"/>
  <c r="S201" i="1"/>
  <c r="Q201" i="1"/>
  <c r="S203" i="1"/>
  <c r="Q203" i="1"/>
  <c r="AE215" i="1"/>
  <c r="AK215" i="1"/>
  <c r="AF215" i="1"/>
  <c r="T192" i="1"/>
  <c r="U195" i="1"/>
  <c r="S197" i="1"/>
  <c r="L198" i="1"/>
  <c r="T200" i="1"/>
  <c r="U203" i="1"/>
  <c r="Q205" i="1"/>
  <c r="R212" i="1"/>
  <c r="S219" i="1"/>
  <c r="AF223" i="1"/>
  <c r="AE223" i="1"/>
  <c r="AK238" i="1"/>
  <c r="AF238" i="1"/>
  <c r="AE238" i="1"/>
  <c r="R243" i="1"/>
  <c r="T251" i="1"/>
  <c r="S251" i="1"/>
  <c r="Q251" i="1"/>
  <c r="W252" i="1"/>
  <c r="V252" i="1"/>
  <c r="Q188" i="1"/>
  <c r="Q196" i="1"/>
  <c r="AE197" i="1"/>
  <c r="AK198" i="1"/>
  <c r="Q206" i="1"/>
  <c r="L209" i="1"/>
  <c r="S212" i="1"/>
  <c r="AK212" i="1"/>
  <c r="AK217" i="1"/>
  <c r="T219" i="1"/>
  <c r="S222" i="1"/>
  <c r="V225" i="1"/>
  <c r="T229" i="1"/>
  <c r="S229" i="1"/>
  <c r="Q229" i="1"/>
  <c r="T235" i="1"/>
  <c r="S235" i="1"/>
  <c r="Q235" i="1"/>
  <c r="W244" i="1"/>
  <c r="V244" i="1"/>
  <c r="AF197" i="1"/>
  <c r="Q211" i="1"/>
  <c r="L213" i="1"/>
  <c r="U213" i="1"/>
  <c r="U219" i="1"/>
  <c r="AK225" i="1"/>
  <c r="AE225" i="1"/>
  <c r="S226" i="1"/>
  <c r="T226" i="1"/>
  <c r="L227" i="1"/>
  <c r="U227" i="1"/>
  <c r="AE245" i="1"/>
  <c r="AK245" i="1"/>
  <c r="AF245" i="1"/>
  <c r="T253" i="1"/>
  <c r="S253" i="1"/>
  <c r="Q253" i="1"/>
  <c r="S188" i="1"/>
  <c r="S196" i="1"/>
  <c r="V197" i="1"/>
  <c r="V205" i="1"/>
  <c r="V212" i="1"/>
  <c r="AE213" i="1"/>
  <c r="AF213" i="1"/>
  <c r="S214" i="1"/>
  <c r="Q214" i="1"/>
  <c r="V217" i="1"/>
  <c r="AF225" i="1"/>
  <c r="W232" i="1"/>
  <c r="V232" i="1"/>
  <c r="W236" i="1"/>
  <c r="V236" i="1"/>
  <c r="AK242" i="1"/>
  <c r="AF242" i="1"/>
  <c r="AE242" i="1"/>
  <c r="R251" i="1"/>
  <c r="T207" i="1"/>
  <c r="S210" i="1"/>
  <c r="T210" i="1"/>
  <c r="S211" i="1"/>
  <c r="AE214" i="1"/>
  <c r="T215" i="1"/>
  <c r="S215" i="1"/>
  <c r="W228" i="1"/>
  <c r="AE237" i="1"/>
  <c r="AK237" i="1"/>
  <c r="AF237" i="1"/>
  <c r="AE205" i="1"/>
  <c r="AF205" i="1"/>
  <c r="U216" i="1"/>
  <c r="L216" i="1"/>
  <c r="AF216" i="1"/>
  <c r="AK216" i="1"/>
  <c r="T223" i="1"/>
  <c r="S223" i="1"/>
  <c r="U224" i="1"/>
  <c r="L224" i="1"/>
  <c r="S225" i="1"/>
  <c r="Q225" i="1"/>
  <c r="W240" i="1"/>
  <c r="V240" i="1"/>
  <c r="T245" i="1"/>
  <c r="S245" i="1"/>
  <c r="R245" i="1"/>
  <c r="Q245" i="1"/>
  <c r="W248" i="1"/>
  <c r="V248" i="1"/>
  <c r="AF251" i="1"/>
  <c r="AE251" i="1"/>
  <c r="AK251" i="1"/>
  <c r="U193" i="1"/>
  <c r="AE198" i="1"/>
  <c r="U201" i="1"/>
  <c r="S204" i="1"/>
  <c r="V206" i="1"/>
  <c r="V207" i="1"/>
  <c r="U208" i="1"/>
  <c r="L208" i="1"/>
  <c r="U211" i="1"/>
  <c r="T213" i="1"/>
  <c r="T217" i="1"/>
  <c r="Q217" i="1"/>
  <c r="T220" i="1"/>
  <c r="L221" i="1"/>
  <c r="T221" i="1" s="1"/>
  <c r="U221" i="1"/>
  <c r="AE222" i="1"/>
  <c r="R225" i="1"/>
  <c r="AK230" i="1"/>
  <c r="AF230" i="1"/>
  <c r="AE230" i="1"/>
  <c r="T239" i="1"/>
  <c r="T247" i="1"/>
  <c r="AK250" i="1"/>
  <c r="AF250" i="1"/>
  <c r="AE250" i="1"/>
  <c r="AK254" i="1"/>
  <c r="AF254" i="1"/>
  <c r="AE254" i="1"/>
  <c r="T205" i="1"/>
  <c r="AE212" i="1"/>
  <c r="AK213" i="1"/>
  <c r="T214" i="1"/>
  <c r="W215" i="1"/>
  <c r="R217" i="1"/>
  <c r="AF217" i="1"/>
  <c r="S218" i="1"/>
  <c r="T218" i="1"/>
  <c r="R222" i="1"/>
  <c r="Q222" i="1"/>
  <c r="AF222" i="1"/>
  <c r="T225" i="1"/>
  <c r="AK226" i="1"/>
  <c r="AF226" i="1"/>
  <c r="AE226" i="1"/>
  <c r="S237" i="1"/>
  <c r="R237" i="1"/>
  <c r="Q237" i="1"/>
  <c r="AK241" i="1"/>
  <c r="AF241" i="1"/>
  <c r="AE241" i="1"/>
  <c r="U229" i="1"/>
  <c r="S231" i="1"/>
  <c r="L232" i="1"/>
  <c r="Q233" i="1"/>
  <c r="T234" i="1"/>
  <c r="U237" i="1"/>
  <c r="S239" i="1"/>
  <c r="L240" i="1"/>
  <c r="Q241" i="1"/>
  <c r="T242" i="1"/>
  <c r="U245" i="1"/>
  <c r="S247" i="1"/>
  <c r="L248" i="1"/>
  <c r="Q249" i="1"/>
  <c r="T250" i="1"/>
  <c r="U253" i="1"/>
  <c r="AK224" i="1"/>
  <c r="S228" i="1"/>
  <c r="AE231" i="1"/>
  <c r="S236" i="1"/>
  <c r="Q238" i="1"/>
  <c r="AE239" i="1"/>
  <c r="AK240" i="1"/>
  <c r="S244" i="1"/>
  <c r="Q246" i="1"/>
  <c r="AE247" i="1"/>
  <c r="S252" i="1"/>
  <c r="Q254" i="1"/>
  <c r="AE228" i="1"/>
  <c r="AF231" i="1"/>
  <c r="AF239" i="1"/>
  <c r="AF247" i="1"/>
  <c r="V250" i="1"/>
  <c r="AE252" i="1"/>
  <c r="V230" i="1"/>
  <c r="U235" i="1"/>
  <c r="V238" i="1"/>
  <c r="U243" i="1"/>
  <c r="V246" i="1"/>
  <c r="U251" i="1"/>
  <c r="V254" i="1"/>
  <c r="I199" i="1"/>
  <c r="I208" i="1"/>
  <c r="I212" i="1"/>
  <c r="I214" i="1"/>
  <c r="I216" i="1"/>
  <c r="I217" i="1"/>
  <c r="I219" i="1"/>
  <c r="I222" i="1"/>
  <c r="I223" i="1"/>
  <c r="V235" i="1" l="1"/>
  <c r="W235" i="1"/>
  <c r="W216" i="1"/>
  <c r="V216" i="1"/>
  <c r="Q227" i="1"/>
  <c r="S227" i="1"/>
  <c r="T227" i="1"/>
  <c r="Q213" i="1"/>
  <c r="S213" i="1"/>
  <c r="S144" i="1"/>
  <c r="S114" i="1"/>
  <c r="R114" i="1"/>
  <c r="Q114" i="1"/>
  <c r="V71" i="1"/>
  <c r="W71" i="1"/>
  <c r="Q117" i="1"/>
  <c r="T117" i="1"/>
  <c r="S117" i="1"/>
  <c r="R117" i="1"/>
  <c r="W97" i="1"/>
  <c r="V97" i="1"/>
  <c r="T84" i="1"/>
  <c r="R84" i="1"/>
  <c r="Q84" i="1"/>
  <c r="S33" i="1"/>
  <c r="Q33" i="1"/>
  <c r="V49" i="1"/>
  <c r="W49" i="1"/>
  <c r="Q57" i="1"/>
  <c r="S57" i="1"/>
  <c r="Q44" i="1"/>
  <c r="T44" i="1"/>
  <c r="R44" i="1"/>
  <c r="T15" i="1"/>
  <c r="S44" i="1"/>
  <c r="W229" i="1"/>
  <c r="V229" i="1"/>
  <c r="V201" i="1"/>
  <c r="W201" i="1"/>
  <c r="T224" i="1"/>
  <c r="Q224" i="1"/>
  <c r="S224" i="1"/>
  <c r="R224" i="1"/>
  <c r="T209" i="1"/>
  <c r="Q209" i="1"/>
  <c r="S209" i="1"/>
  <c r="W195" i="1"/>
  <c r="V195" i="1"/>
  <c r="R190" i="1"/>
  <c r="Q190" i="1"/>
  <c r="S190" i="1"/>
  <c r="W160" i="1"/>
  <c r="V160" i="1"/>
  <c r="W150" i="1"/>
  <c r="V150" i="1"/>
  <c r="Q125" i="1"/>
  <c r="T125" i="1"/>
  <c r="V106" i="1"/>
  <c r="W106" i="1"/>
  <c r="S136" i="1"/>
  <c r="S152" i="1"/>
  <c r="W117" i="1"/>
  <c r="V117" i="1"/>
  <c r="S49" i="1"/>
  <c r="R49" i="1"/>
  <c r="Q49" i="1"/>
  <c r="T28" i="1"/>
  <c r="S28" i="1"/>
  <c r="R28" i="1"/>
  <c r="Q28" i="1"/>
  <c r="W44" i="1"/>
  <c r="V44" i="1"/>
  <c r="R23" i="1"/>
  <c r="Q23" i="1"/>
  <c r="W224" i="1"/>
  <c r="V224" i="1"/>
  <c r="W190" i="1"/>
  <c r="V190" i="1"/>
  <c r="V171" i="1"/>
  <c r="W171" i="1"/>
  <c r="V179" i="1"/>
  <c r="W179" i="1"/>
  <c r="V147" i="1"/>
  <c r="W147" i="1"/>
  <c r="V152" i="1"/>
  <c r="W152" i="1"/>
  <c r="V135" i="1"/>
  <c r="W135" i="1"/>
  <c r="V120" i="1"/>
  <c r="W120" i="1"/>
  <c r="T126" i="1"/>
  <c r="W81" i="1"/>
  <c r="V81" i="1"/>
  <c r="T68" i="1"/>
  <c r="Q68" i="1"/>
  <c r="R68" i="1"/>
  <c r="W65" i="1"/>
  <c r="V65" i="1"/>
  <c r="W21" i="1"/>
  <c r="V21" i="1"/>
  <c r="V28" i="1"/>
  <c r="W28" i="1"/>
  <c r="W32" i="1"/>
  <c r="V32" i="1"/>
  <c r="V55" i="1"/>
  <c r="W55" i="1"/>
  <c r="Q52" i="1"/>
  <c r="S52" i="1"/>
  <c r="R52" i="1"/>
  <c r="T52" i="1"/>
  <c r="T240" i="1"/>
  <c r="S240" i="1"/>
  <c r="R240" i="1"/>
  <c r="Q240" i="1"/>
  <c r="V211" i="1"/>
  <c r="W211" i="1"/>
  <c r="V193" i="1"/>
  <c r="W193" i="1"/>
  <c r="T171" i="1"/>
  <c r="S171" i="1"/>
  <c r="R171" i="1"/>
  <c r="Q171" i="1"/>
  <c r="R209" i="1"/>
  <c r="S179" i="1"/>
  <c r="R179" i="1"/>
  <c r="Q179" i="1"/>
  <c r="Q167" i="1"/>
  <c r="T167" i="1"/>
  <c r="S167" i="1"/>
  <c r="T147" i="1"/>
  <c r="S147" i="1"/>
  <c r="Q147" i="1"/>
  <c r="T156" i="1"/>
  <c r="Q156" i="1"/>
  <c r="V104" i="1"/>
  <c r="W104" i="1"/>
  <c r="R136" i="1"/>
  <c r="S131" i="1"/>
  <c r="T92" i="1"/>
  <c r="Q92" i="1"/>
  <c r="S65" i="1"/>
  <c r="Q65" i="1"/>
  <c r="V47" i="1"/>
  <c r="W47" i="1"/>
  <c r="V18" i="1"/>
  <c r="W18" i="1"/>
  <c r="T65" i="1"/>
  <c r="T53" i="1"/>
  <c r="Q53" i="1"/>
  <c r="S53" i="1"/>
  <c r="T33" i="1"/>
  <c r="W52" i="1"/>
  <c r="V52" i="1"/>
  <c r="W20" i="1"/>
  <c r="V20" i="1"/>
  <c r="V243" i="1"/>
  <c r="W243" i="1"/>
  <c r="W237" i="1"/>
  <c r="V237" i="1"/>
  <c r="Q208" i="1"/>
  <c r="T208" i="1"/>
  <c r="R208" i="1"/>
  <c r="R213" i="1"/>
  <c r="V185" i="1"/>
  <c r="W185" i="1"/>
  <c r="S168" i="1"/>
  <c r="Q168" i="1"/>
  <c r="V187" i="1"/>
  <c r="W187" i="1"/>
  <c r="W164" i="1"/>
  <c r="V164" i="1"/>
  <c r="W155" i="1"/>
  <c r="V155" i="1"/>
  <c r="V122" i="1"/>
  <c r="W122" i="1"/>
  <c r="V126" i="1"/>
  <c r="W126" i="1"/>
  <c r="W118" i="1"/>
  <c r="V118" i="1"/>
  <c r="Q60" i="1"/>
  <c r="T60" i="1"/>
  <c r="R60" i="1"/>
  <c r="V10" i="1"/>
  <c r="W10" i="1"/>
  <c r="S84" i="1"/>
  <c r="W24" i="1"/>
  <c r="V24" i="1"/>
  <c r="T49" i="1"/>
  <c r="V251" i="1"/>
  <c r="W251" i="1"/>
  <c r="T248" i="1"/>
  <c r="S248" i="1"/>
  <c r="Q248" i="1"/>
  <c r="W221" i="1"/>
  <c r="V221" i="1"/>
  <c r="V208" i="1"/>
  <c r="W208" i="1"/>
  <c r="V203" i="1"/>
  <c r="W203" i="1"/>
  <c r="W166" i="1"/>
  <c r="V166" i="1"/>
  <c r="S208" i="1"/>
  <c r="S187" i="1"/>
  <c r="R187" i="1"/>
  <c r="Q187" i="1"/>
  <c r="T144" i="1"/>
  <c r="R155" i="1"/>
  <c r="Q155" i="1"/>
  <c r="S155" i="1"/>
  <c r="V131" i="1"/>
  <c r="W131" i="1"/>
  <c r="S122" i="1"/>
  <c r="R122" i="1"/>
  <c r="Q122" i="1"/>
  <c r="V95" i="1"/>
  <c r="W95" i="1"/>
  <c r="Q109" i="1"/>
  <c r="T109" i="1"/>
  <c r="R109" i="1"/>
  <c r="Q126" i="1"/>
  <c r="S126" i="1"/>
  <c r="T114" i="1"/>
  <c r="Q140" i="1"/>
  <c r="S140" i="1"/>
  <c r="T140" i="1"/>
  <c r="W89" i="1"/>
  <c r="V89" i="1"/>
  <c r="T76" i="1"/>
  <c r="R76" i="1"/>
  <c r="Q76" i="1"/>
  <c r="W13" i="1"/>
  <c r="V13" i="1"/>
  <c r="R36" i="1"/>
  <c r="Q36" i="1"/>
  <c r="S36" i="1"/>
  <c r="S221" i="1"/>
  <c r="Q221" i="1"/>
  <c r="V219" i="1"/>
  <c r="W219" i="1"/>
  <c r="V163" i="1"/>
  <c r="W163" i="1"/>
  <c r="R182" i="1"/>
  <c r="Q182" i="1"/>
  <c r="Q175" i="1"/>
  <c r="T175" i="1"/>
  <c r="S175" i="1"/>
  <c r="S128" i="1"/>
  <c r="Q128" i="1"/>
  <c r="V139" i="1"/>
  <c r="W139" i="1"/>
  <c r="W142" i="1"/>
  <c r="V142" i="1"/>
  <c r="Q131" i="1"/>
  <c r="R131" i="1"/>
  <c r="V87" i="1"/>
  <c r="W87" i="1"/>
  <c r="W109" i="1"/>
  <c r="V109" i="1"/>
  <c r="S125" i="1"/>
  <c r="V112" i="1"/>
  <c r="W112" i="1"/>
  <c r="W140" i="1"/>
  <c r="V140" i="1"/>
  <c r="S109" i="1"/>
  <c r="S68" i="1"/>
  <c r="W16" i="1"/>
  <c r="V16" i="1"/>
  <c r="V63" i="1"/>
  <c r="W63" i="1"/>
  <c r="V36" i="1"/>
  <c r="W36" i="1"/>
  <c r="W253" i="1"/>
  <c r="V253" i="1"/>
  <c r="W245" i="1"/>
  <c r="V245" i="1"/>
  <c r="T232" i="1"/>
  <c r="S232" i="1"/>
  <c r="Q232" i="1"/>
  <c r="Q216" i="1"/>
  <c r="T216" i="1"/>
  <c r="S216" i="1"/>
  <c r="R216" i="1"/>
  <c r="V227" i="1"/>
  <c r="W227" i="1"/>
  <c r="V213" i="1"/>
  <c r="W213" i="1"/>
  <c r="R198" i="1"/>
  <c r="Q198" i="1"/>
  <c r="T163" i="1"/>
  <c r="S163" i="1"/>
  <c r="Q163" i="1"/>
  <c r="W182" i="1"/>
  <c r="V182" i="1"/>
  <c r="R167" i="1"/>
  <c r="S182" i="1"/>
  <c r="W172" i="1"/>
  <c r="V172" i="1"/>
  <c r="T139" i="1"/>
  <c r="Q139" i="1"/>
  <c r="S129" i="1"/>
  <c r="R129" i="1"/>
  <c r="Q129" i="1"/>
  <c r="T129" i="1"/>
  <c r="V114" i="1"/>
  <c r="W114" i="1"/>
  <c r="V79" i="1"/>
  <c r="W79" i="1"/>
  <c r="S139" i="1"/>
  <c r="V100" i="1"/>
  <c r="W100" i="1"/>
  <c r="W73" i="1"/>
  <c r="V73" i="1"/>
  <c r="S76" i="1"/>
  <c r="R65" i="1"/>
  <c r="V57" i="1"/>
  <c r="W57" i="1"/>
  <c r="R53" i="1"/>
  <c r="S60" i="1"/>
  <c r="T34" i="1"/>
  <c r="S34" i="1"/>
  <c r="Q34" i="1"/>
  <c r="T23" i="1"/>
  <c r="T40" i="1"/>
  <c r="B9" i="2"/>
  <c r="M9" i="2"/>
  <c r="B10" i="2"/>
  <c r="M10" i="2" s="1"/>
  <c r="B11" i="2"/>
  <c r="M11" i="2"/>
  <c r="E12" i="2"/>
  <c r="B12" i="2" s="1"/>
  <c r="M12" i="2" s="1"/>
  <c r="B13" i="2"/>
  <c r="M13" i="2" s="1"/>
  <c r="B14" i="2"/>
  <c r="M14" i="2" s="1"/>
  <c r="B15" i="2"/>
  <c r="M15" i="2" s="1"/>
  <c r="B16" i="2"/>
</calcChain>
</file>

<file path=xl/comments1.xml><?xml version="1.0" encoding="utf-8"?>
<comments xmlns="http://schemas.openxmlformats.org/spreadsheetml/2006/main">
  <authors>
    <author>lws</author>
  </authors>
  <commentList>
    <comment ref="U26" authorId="0">
      <text>
        <r>
          <rPr>
            <b/>
            <sz val="9"/>
            <color indexed="81"/>
            <rFont val="Tahoma"/>
            <family val="2"/>
          </rPr>
          <t>lws:</t>
        </r>
        <r>
          <rPr>
            <sz val="9"/>
            <color indexed="81"/>
            <rFont val="Tahoma"/>
            <family val="2"/>
          </rPr>
          <t xml:space="preserve">
Ore density for "stratum clouds" was used instead of "strategic clouds" - copy-paste error?</t>
        </r>
      </text>
    </comment>
    <comment ref="U27" authorId="0">
      <text>
        <r>
          <rPr>
            <b/>
            <sz val="9"/>
            <color indexed="81"/>
            <rFont val="Tahoma"/>
            <family val="2"/>
          </rPr>
          <t>lws:</t>
        </r>
        <r>
          <rPr>
            <sz val="9"/>
            <color indexed="81"/>
            <rFont val="Tahoma"/>
            <family val="2"/>
          </rPr>
          <t xml:space="preserve">
Ore density for "stratum clouds" was used instead of "strategic clouds" - copy-paste error?</t>
        </r>
      </text>
    </comment>
    <comment ref="U28" authorId="0">
      <text>
        <r>
          <rPr>
            <b/>
            <sz val="9"/>
            <color indexed="81"/>
            <rFont val="Tahoma"/>
            <family val="2"/>
          </rPr>
          <t>lws:</t>
        </r>
        <r>
          <rPr>
            <sz val="9"/>
            <color indexed="81"/>
            <rFont val="Tahoma"/>
            <family val="2"/>
          </rPr>
          <t xml:space="preserve">
Ore density for "stratum clouds" was used instead of "strategic clouds" - copy-paste error?</t>
        </r>
      </text>
    </comment>
    <comment ref="U29" authorId="0">
      <text>
        <r>
          <rPr>
            <b/>
            <sz val="9"/>
            <color indexed="81"/>
            <rFont val="Tahoma"/>
            <family val="2"/>
          </rPr>
          <t>lws:</t>
        </r>
        <r>
          <rPr>
            <sz val="9"/>
            <color indexed="81"/>
            <rFont val="Tahoma"/>
            <family val="2"/>
          </rPr>
          <t xml:space="preserve">
Ore density for "stratum clouds" was used instead of "strategic clouds" - copy-paste error?</t>
        </r>
      </text>
    </comment>
    <comment ref="U30" authorId="0">
      <text>
        <r>
          <rPr>
            <b/>
            <sz val="9"/>
            <color indexed="81"/>
            <rFont val="Tahoma"/>
            <family val="2"/>
          </rPr>
          <t>lws:</t>
        </r>
        <r>
          <rPr>
            <sz val="9"/>
            <color indexed="81"/>
            <rFont val="Tahoma"/>
            <family val="2"/>
          </rPr>
          <t xml:space="preserve">
Ore density for "stratum clouds" was used instead of "strategic clouds" - copy-paste error?</t>
        </r>
      </text>
    </comment>
    <comment ref="U31" authorId="0">
      <text>
        <r>
          <rPr>
            <b/>
            <sz val="9"/>
            <color indexed="81"/>
            <rFont val="Tahoma"/>
            <family val="2"/>
          </rPr>
          <t>lws:</t>
        </r>
        <r>
          <rPr>
            <sz val="9"/>
            <color indexed="81"/>
            <rFont val="Tahoma"/>
            <family val="2"/>
          </rPr>
          <t xml:space="preserve">
Ore density for "stratum clouds" was used instead of "strategic clouds" - copy-paste error?</t>
        </r>
      </text>
    </comment>
    <comment ref="U32" authorId="0">
      <text>
        <r>
          <rPr>
            <b/>
            <sz val="9"/>
            <color indexed="81"/>
            <rFont val="Tahoma"/>
            <family val="2"/>
          </rPr>
          <t>lws:</t>
        </r>
        <r>
          <rPr>
            <sz val="9"/>
            <color indexed="81"/>
            <rFont val="Tahoma"/>
            <family val="2"/>
          </rPr>
          <t xml:space="preserve">
Ore density for "stratum clouds" was used instead of "strategic clouds" - copy-paste error?</t>
        </r>
      </text>
    </comment>
    <comment ref="L50" authorId="0">
      <text>
        <r>
          <rPr>
            <b/>
            <sz val="9"/>
            <color indexed="81"/>
            <rFont val="Tahoma"/>
            <family val="2"/>
          </rPr>
          <t>lws:</t>
        </r>
        <r>
          <rPr>
            <sz val="9"/>
            <color indexed="81"/>
            <rFont val="Tahoma"/>
            <family val="2"/>
          </rPr>
          <t xml:space="preserve">
This was using the ore density for sparse veins, for some reason.
</t>
        </r>
      </text>
    </comment>
    <comment ref="U229" authorId="0">
      <text>
        <r>
          <rPr>
            <b/>
            <sz val="9"/>
            <color indexed="81"/>
            <rFont val="Tahoma"/>
            <family val="2"/>
          </rPr>
          <t>lws:</t>
        </r>
        <r>
          <rPr>
            <sz val="9"/>
            <color indexed="81"/>
            <rFont val="Tahoma"/>
            <family val="2"/>
          </rPr>
          <t xml:space="preserve">
Ore density for "stratum clouds" was used instead of "strategic clouds" - copy-paste error?</t>
        </r>
      </text>
    </comment>
    <comment ref="U232" authorId="0">
      <text>
        <r>
          <rPr>
            <b/>
            <sz val="9"/>
            <color indexed="81"/>
            <rFont val="Tahoma"/>
            <family val="2"/>
          </rPr>
          <t>lws:</t>
        </r>
        <r>
          <rPr>
            <sz val="9"/>
            <color indexed="81"/>
            <rFont val="Tahoma"/>
            <family val="2"/>
          </rPr>
          <t xml:space="preserve">
Ore density for "stratum clouds" was used instead of "strategic clouds" - copy-paste error?</t>
        </r>
      </text>
    </comment>
    <comment ref="U233" authorId="0">
      <text>
        <r>
          <rPr>
            <b/>
            <sz val="9"/>
            <color indexed="81"/>
            <rFont val="Tahoma"/>
            <family val="2"/>
          </rPr>
          <t>lws:</t>
        </r>
        <r>
          <rPr>
            <sz val="9"/>
            <color indexed="81"/>
            <rFont val="Tahoma"/>
            <family val="2"/>
          </rPr>
          <t xml:space="preserve">
Ore density for "stratum clouds" was used instead of "strategic clouds" - copy-paste error?</t>
        </r>
      </text>
    </comment>
    <comment ref="U234" authorId="0">
      <text>
        <r>
          <rPr>
            <b/>
            <sz val="9"/>
            <color indexed="81"/>
            <rFont val="Tahoma"/>
            <family val="2"/>
          </rPr>
          <t>lws:</t>
        </r>
        <r>
          <rPr>
            <sz val="9"/>
            <color indexed="81"/>
            <rFont val="Tahoma"/>
            <family val="2"/>
          </rPr>
          <t xml:space="preserve">
Ore density for "stratum clouds" was used instead of "strategic clouds" - copy-paste error?</t>
        </r>
      </text>
    </comment>
    <comment ref="U235" authorId="0">
      <text>
        <r>
          <rPr>
            <b/>
            <sz val="9"/>
            <color indexed="81"/>
            <rFont val="Tahoma"/>
            <family val="2"/>
          </rPr>
          <t>lws:</t>
        </r>
        <r>
          <rPr>
            <sz val="9"/>
            <color indexed="81"/>
            <rFont val="Tahoma"/>
            <family val="2"/>
          </rPr>
          <t xml:space="preserve">
Ore density for "stratum clouds" was used instead of "strategic clouds" - copy-paste error?</t>
        </r>
      </text>
    </comment>
    <comment ref="U236" authorId="0">
      <text>
        <r>
          <rPr>
            <b/>
            <sz val="9"/>
            <color indexed="81"/>
            <rFont val="Tahoma"/>
            <family val="2"/>
          </rPr>
          <t>lws:</t>
        </r>
        <r>
          <rPr>
            <sz val="9"/>
            <color indexed="81"/>
            <rFont val="Tahoma"/>
            <family val="2"/>
          </rPr>
          <t xml:space="preserve">
Ore density for "stratum clouds" was used instead of "strategic clouds" - copy-paste error?</t>
        </r>
      </text>
    </comment>
  </commentList>
</comments>
</file>

<file path=xl/sharedStrings.xml><?xml version="1.0" encoding="utf-8"?>
<sst xmlns="http://schemas.openxmlformats.org/spreadsheetml/2006/main" count="2667" uniqueCount="811">
  <si>
    <t>Vanilla---&gt;COG Divisor</t>
  </si>
  <si>
    <t>These values were collected from the presets in CustomOreGen_Config_Default.xml</t>
  </si>
  <si>
    <t>Distribution Preset:</t>
  </si>
  <si>
    <t>Calc. Ores/Chunk</t>
  </si>
  <si>
    <t>Vein Frequency</t>
  </si>
  <si>
    <t>Motherlode Size</t>
  </si>
  <si>
    <t>Branch Length</t>
  </si>
  <si>
    <t>Segment Radius</t>
  </si>
  <si>
    <t>Cloud Frequency</t>
  </si>
  <si>
    <t>Cloud Radius</t>
  </si>
  <si>
    <t>Cloud Thickness</t>
  </si>
  <si>
    <t>Density</t>
  </si>
  <si>
    <t>Previous Value</t>
  </si>
  <si>
    <t>Change Significance:</t>
  </si>
  <si>
    <t>Height</t>
  </si>
  <si>
    <t>Mod Name:</t>
  </si>
  <si>
    <t>Ore Name:</t>
  </si>
  <si>
    <t>Preferred Preset</t>
  </si>
  <si>
    <t>Vein Preset:</t>
  </si>
  <si>
    <t>Cloud Preset</t>
  </si>
  <si>
    <t>Avg. Ores Per Chunk:</t>
  </si>
  <si>
    <t>Vein Size:</t>
  </si>
  <si>
    <t>Veins Per Chunk:</t>
  </si>
  <si>
    <t>Standard Size:</t>
  </si>
  <si>
    <t>Standard Frequency:</t>
  </si>
  <si>
    <t>Vein Multiplier</t>
  </si>
  <si>
    <t>Frequency</t>
  </si>
  <si>
    <t>Cloud Multiplier:</t>
  </si>
  <si>
    <t>Radius &amp; Thickness</t>
  </si>
  <si>
    <t>Average:</t>
  </si>
  <si>
    <t>Range:</t>
  </si>
  <si>
    <t>Amp. Average</t>
  </si>
  <si>
    <t>Amp Range:</t>
  </si>
  <si>
    <t>Bottom</t>
  </si>
  <si>
    <t>Top</t>
  </si>
  <si>
    <t>Mountain Avg.</t>
  </si>
  <si>
    <t>Mountain Range:</t>
  </si>
  <si>
    <t>Amplified Top</t>
  </si>
  <si>
    <t>Debugging Color</t>
  </si>
  <si>
    <t>Seed</t>
  </si>
  <si>
    <t>Dimension</t>
  </si>
  <si>
    <t>Distribution Type</t>
  </si>
  <si>
    <t>Block ID(s)</t>
  </si>
  <si>
    <t>Replaces</t>
  </si>
  <si>
    <t>Extra Sprocket Settings</t>
  </si>
  <si>
    <t>Extra Sprocket Mountain Settings</t>
  </si>
  <si>
    <t>Notes:</t>
  </si>
  <si>
    <t>Vanilla Minecraft</t>
  </si>
  <si>
    <t>Clay</t>
  </si>
  <si>
    <t>Clouds</t>
  </si>
  <si>
    <t>Small Deposits</t>
  </si>
  <si>
    <t>Stratum Clouds</t>
  </si>
  <si>
    <t>A5A9B9</t>
  </si>
  <si>
    <t>Overworld</t>
  </si>
  <si>
    <t>minecraft:clay</t>
  </si>
  <si>
    <t>minecraft:dirt, minecraft:gravel, minecraft:sand</t>
  </si>
  <si>
    <t>Need Biome Types: Mountain\nNeed Biomes: MISSING</t>
  </si>
  <si>
    <t>Clay is specially handled.  DO NOT USE THIS CONFIG.</t>
  </si>
  <si>
    <t>Coal</t>
  </si>
  <si>
    <t>Veins</t>
  </si>
  <si>
    <t>Sparse Veins</t>
  </si>
  <si>
    <t>Strategic Clouds</t>
  </si>
  <si>
    <t>2A2A2A</t>
  </si>
  <si>
    <t>minecraft:coal_ore</t>
  </si>
  <si>
    <t>minecraft:stone</t>
  </si>
  <si>
    <t>Iron</t>
  </si>
  <si>
    <t>Layered Veins</t>
  </si>
  <si>
    <t>DDC2AF</t>
  </si>
  <si>
    <t>minecraft:iron_ore</t>
  </si>
  <si>
    <t>Gold</t>
  </si>
  <si>
    <t>EAEF57</t>
  </si>
  <si>
    <t>minecraft:gold_ore</t>
  </si>
  <si>
    <t>Redstone</t>
  </si>
  <si>
    <t>Vertical Veins</t>
  </si>
  <si>
    <t>A80002</t>
  </si>
  <si>
    <t>minecraft:redstone_ore</t>
  </si>
  <si>
    <t>Vein Branch Inclination: -_default_, -_default_, normal, base</t>
  </si>
  <si>
    <t>Need Biome Types: Mountain\nNeed Biomes: MISSING\nVein Branch Inclination: -_default_, -_default_, normal, base</t>
  </si>
  <si>
    <t>Diamond</t>
  </si>
  <si>
    <t>Pipe Veins</t>
  </si>
  <si>
    <t>8BF4E3</t>
  </si>
  <si>
    <t>197B</t>
  </si>
  <si>
    <t>minecraft:diamond_ore</t>
  </si>
  <si>
    <t>Alternate Blocks: minecraft:lava</t>
  </si>
  <si>
    <t>Need Biome Types: Mountain\nNeed Biomes: MISSING\nAlternate Blocks: minecraft:lava</t>
  </si>
  <si>
    <t>Lapis Lazuli</t>
  </si>
  <si>
    <t>1442BA</t>
  </si>
  <si>
    <t>minecraft:lapis_ore</t>
  </si>
  <si>
    <t>Emerald</t>
  </si>
  <si>
    <t>6CE391</t>
  </si>
  <si>
    <t>54B3</t>
  </si>
  <si>
    <t>minecraft:emerald_ore</t>
  </si>
  <si>
    <t>Need Biome Types: Mountain\nNeed Biomes: MISSING\nAlternate Blocks: minecraft:monster_egg</t>
  </si>
  <si>
    <t>Hills Biomes Only</t>
  </si>
  <si>
    <t>Nether Quartz</t>
  </si>
  <si>
    <t>DBCCBF</t>
  </si>
  <si>
    <t>Nether</t>
  </si>
  <si>
    <t>minecraft:quartz_ore</t>
  </si>
  <si>
    <t>minecraft:netherrack</t>
  </si>
  <si>
    <t>Applied Energistics</t>
  </si>
  <si>
    <t>Certus Quartz</t>
  </si>
  <si>
    <t>9BBEC2</t>
  </si>
  <si>
    <t>appliedenergistics2:quartz_ore, appliedenergistics2:charged_quartz_ore</t>
  </si>
  <si>
    <t>Block Weights: 0.90, 0.10</t>
  </si>
  <si>
    <t>Need Biome Types: Mountain\nNeed Biomes: MISSING\nBlock Weights: 0.90, 0.10</t>
  </si>
  <si>
    <t>Ars Magica 2</t>
  </si>
  <si>
    <t>Vinteum</t>
  </si>
  <si>
    <t>5364EE</t>
  </si>
  <si>
    <t>arsmagica2:vinteumOre</t>
  </si>
  <si>
    <t>Chimerite</t>
  </si>
  <si>
    <t>B8E6C6</t>
  </si>
  <si>
    <t>arsmagica2:vinteumOre:1</t>
  </si>
  <si>
    <t>Blue Topaz</t>
  </si>
  <si>
    <t>7EE5F4</t>
  </si>
  <si>
    <t>arsmagica2:vinteumOre:2</t>
  </si>
  <si>
    <t>Biomes O'Plenty</t>
  </si>
  <si>
    <t>Amethyst</t>
  </si>
  <si>
    <t>DD4EEA</t>
  </si>
  <si>
    <t>58D8</t>
  </si>
  <si>
    <t>End</t>
  </si>
  <si>
    <t>BiomesOPlenty:gem_ore</t>
  </si>
  <si>
    <t>minecraft:end_stone</t>
  </si>
  <si>
    <t>Ruby</t>
  </si>
  <si>
    <t>C60031</t>
  </si>
  <si>
    <t>706D</t>
  </si>
  <si>
    <t>BiomesOPlenty:gem_ore:1</t>
  </si>
  <si>
    <t>Need Biome Types: Sandy\nNeed Biomes: MISSING</t>
  </si>
  <si>
    <t>Peridot</t>
  </si>
  <si>
    <t>076855</t>
  </si>
  <si>
    <t>A6AC</t>
  </si>
  <si>
    <t>BiomesOPlenty:gem_ore:2</t>
  </si>
  <si>
    <t>Need Biome Types:Plains\nNeed Biomes: MISSING</t>
  </si>
  <si>
    <t>Topaz</t>
  </si>
  <si>
    <t>D95A03</t>
  </si>
  <si>
    <t>B7E1</t>
  </si>
  <si>
    <t>BiomesOPlenty:gem_ore:3</t>
  </si>
  <si>
    <t>Need Biome Types: Jungle\nNeed Biomes: MISSING</t>
  </si>
  <si>
    <t>Tanzanite</t>
  </si>
  <si>
    <t>7701B9</t>
  </si>
  <si>
    <t>A51A</t>
  </si>
  <si>
    <t>BiomesOPlenty:gem_ore:4</t>
  </si>
  <si>
    <t>Need Biome Types: Snowy\nNeed Biomes: MISSING\nAvoid Biomes: Alps, Alps Forest</t>
  </si>
  <si>
    <t>Malachite</t>
  </si>
  <si>
    <t>109D81</t>
  </si>
  <si>
    <t>5A38</t>
  </si>
  <si>
    <t>BiomesOPlenty:gem_ore:5</t>
  </si>
  <si>
    <t>Need Biome Types: Swamp\nNeed Biomes: MISSING</t>
  </si>
  <si>
    <t>Sapphire</t>
  </si>
  <si>
    <t>3494C3</t>
  </si>
  <si>
    <t>BiomesOPlenty:gem_ore:6</t>
  </si>
  <si>
    <t>Need Biomes: Coral Reef, Crag, Hot Springs, Kelp Forest, Mangrove, Sacred Springs, Tropics</t>
  </si>
  <si>
    <t>Amber</t>
  </si>
  <si>
    <t>FE9D1B</t>
  </si>
  <si>
    <t>1FEF</t>
  </si>
  <si>
    <t>BiomesOPlenty:gem_ore:7</t>
  </si>
  <si>
    <t>Need Biomes: River, Grove, Shield, Thicket</t>
  </si>
  <si>
    <t>Chisel 2</t>
  </si>
  <si>
    <t>Andesite</t>
  </si>
  <si>
    <t>CECABE</t>
  </si>
  <si>
    <t>chisel:andesite</t>
  </si>
  <si>
    <t>Diorite</t>
  </si>
  <si>
    <t>E6E5D3</t>
  </si>
  <si>
    <t>chisel:diorite</t>
  </si>
  <si>
    <t>Granite</t>
  </si>
  <si>
    <t>F2D9C3</t>
  </si>
  <si>
    <t>chisel:granite</t>
  </si>
  <si>
    <t>Limestone</t>
  </si>
  <si>
    <t>A5A28F</t>
  </si>
  <si>
    <t>chisel:limestone</t>
  </si>
  <si>
    <t>Marble</t>
  </si>
  <si>
    <t>CECECE</t>
  </si>
  <si>
    <t>chisel:marble</t>
  </si>
  <si>
    <t>Common Ores</t>
  </si>
  <si>
    <t>Silver</t>
  </si>
  <si>
    <t>E3F2F7</t>
  </si>
  <si>
    <t>CommonOres:oreSilver</t>
  </si>
  <si>
    <t>Copper</t>
  </si>
  <si>
    <t>FF8E2B</t>
  </si>
  <si>
    <t>CommonOres:oreCopper</t>
  </si>
  <si>
    <t>Tin</t>
  </si>
  <si>
    <t>E8E8E8</t>
  </si>
  <si>
    <t>CommonOres:oreTin</t>
  </si>
  <si>
    <t>Platinum</t>
  </si>
  <si>
    <t>2D84E7</t>
  </si>
  <si>
    <t>CommonOres:orePlatinum</t>
  </si>
  <si>
    <t>Aluminum</t>
  </si>
  <si>
    <t>EDEDED</t>
  </si>
  <si>
    <t>CommonOres:oreAluminum</t>
  </si>
  <si>
    <t>Lead</t>
  </si>
  <si>
    <t>818EBE</t>
  </si>
  <si>
    <t>CommonOres:oreLead</t>
  </si>
  <si>
    <t>Nickel</t>
  </si>
  <si>
    <t>D2D1B6</t>
  </si>
  <si>
    <t>CommonOres:oreNickel</t>
  </si>
  <si>
    <t>Dense Ores</t>
  </si>
  <si>
    <t>minecraft:coal_ore, denseores:block0:6</t>
  </si>
  <si>
    <t>Block Weights: 0.9, 0.1</t>
  </si>
  <si>
    <t>Need Biome Types: Mountain\nNeed Biomes: MISSING\nBlock Weights: 0.9, 0.1</t>
  </si>
  <si>
    <t>minecraft:iron_ore, denseores:block0</t>
  </si>
  <si>
    <t>minecraft:gold_ore, denseores:block0:1</t>
  </si>
  <si>
    <t>minecraft:redstone_ore, denseores:block0:5</t>
  </si>
  <si>
    <t>Block Weights: 0.9, 0.1\nVein Branch Inclination: -_default_, -_default_, normal, base</t>
  </si>
  <si>
    <t>Need Biome Types: Mountain\nNeed Biomes: MISSING\nBlock Weights: 0.9, 0.1\nVein Branch Inclination: -_default_, -_default_, normal, base</t>
  </si>
  <si>
    <t>minecraft:diamond_ore, denseores:block0:3</t>
  </si>
  <si>
    <t>Block Weights: 0.9, 0.1\nAlternate Blocks: minecraft:lava</t>
  </si>
  <si>
    <t>Need Biome Types: Mountain\nNeed Biomes: MISSING\nBlock Weights: 0.9, 0.1\nAlternate Blocks: minecraft:lava</t>
  </si>
  <si>
    <t>minecraft:lapis_ore, denseores:block0:2</t>
  </si>
  <si>
    <t>minecraft:emerald_ore, denseores:block0:4</t>
  </si>
  <si>
    <t>Block Weights: 0.9, 0.1\nNeed Biome Types: Mountain\nNeed Biomes: MISSING\nAlternate Blocks: minecraft:monster_egg</t>
  </si>
  <si>
    <t>minecraft:quartz_ore, denseores:block0:7</t>
  </si>
  <si>
    <t>ElectriCraft</t>
  </si>
  <si>
    <t>BB6E30</t>
  </si>
  <si>
    <t>ElectriCraft:electricraft_block_ore</t>
  </si>
  <si>
    <t>A9C7CF</t>
  </si>
  <si>
    <t>ElectriCraft:electricraft_block_ore:1</t>
  </si>
  <si>
    <t>B6D2EA</t>
  </si>
  <si>
    <t>ElectriCraft:electricraft_block_ore:2</t>
  </si>
  <si>
    <t>ElectriCraft:electricraft_block_ore:3</t>
  </si>
  <si>
    <t>DAD9DB</t>
  </si>
  <si>
    <t>ElectriCraft:electricraft_block_ore:4</t>
  </si>
  <si>
    <t>ElectriCraft:electricraft_block_ore:5</t>
  </si>
  <si>
    <t>Et Futurum</t>
  </si>
  <si>
    <t>DAAE99</t>
  </si>
  <si>
    <t>etfuturum:stone:1</t>
  </si>
  <si>
    <t>CBCBCF</t>
  </si>
  <si>
    <t>etfuturum:stone:3</t>
  </si>
  <si>
    <t>85858B</t>
  </si>
  <si>
    <t>etfuturum:stone:5</t>
  </si>
  <si>
    <t>Factorization</t>
  </si>
  <si>
    <t>8C9EBE</t>
  </si>
  <si>
    <t>factorization:ResourceBlock</t>
  </si>
  <si>
    <t>Dark Iron</t>
  </si>
  <si>
    <t>781CCB</t>
  </si>
  <si>
    <t>factorization:DarkIronOre</t>
  </si>
  <si>
    <t>minecraft:stone, minecraft:dirt, minecraft:gravel</t>
  </si>
  <si>
    <t>Place Beside: factorization:DarkIronOre, minecraft:bedrock\nPlace Above: factorization:DarkIronOre, minecraft:bedrock</t>
  </si>
  <si>
    <t>Need Biome Types: Mountain\nNeed Biomes: MISSING\nPlace Beside: factorization:DarkIronOre, minecraft:bedrock\nPlace Above: factorization:DarkIronOre, minecraft:bedrock</t>
  </si>
  <si>
    <t>Flaxbeard's SteamCraft</t>
  </si>
  <si>
    <t>D26B2F</t>
  </si>
  <si>
    <t>Steamcraft:steamcraftOre</t>
  </si>
  <si>
    <t>Zinc</t>
  </si>
  <si>
    <t>EAEAEA</t>
  </si>
  <si>
    <t>Steamcraft:steamcraftOre:1</t>
  </si>
  <si>
    <t>Forestry</t>
  </si>
  <si>
    <t>Apatite</t>
  </si>
  <si>
    <t>52BBEF</t>
  </si>
  <si>
    <t>forestry:resources</t>
  </si>
  <si>
    <t>E3B78E</t>
  </si>
  <si>
    <t>forestry:resources:1</t>
  </si>
  <si>
    <t>D1EDF1</t>
  </si>
  <si>
    <t>forestry:resources:2</t>
  </si>
  <si>
    <t>Fossils &amp; Archaeology</t>
  </si>
  <si>
    <t>Fossils</t>
  </si>
  <si>
    <t>FEFDDF</t>
  </si>
  <si>
    <t>fossil:fossil</t>
  </si>
  <si>
    <t>Prefer Biome Types: Swamp, hot, sandy</t>
  </si>
  <si>
    <t>Need Biome Types: Mountain\nNeed Biomes: MISSING\nPrefer Biome Types: Swamp, hot, sandy</t>
  </si>
  <si>
    <t>Permafrost</t>
  </si>
  <si>
    <t>A5C3F5</t>
  </si>
  <si>
    <t>fossil:permafrost</t>
  </si>
  <si>
    <t>Need Biome Types: Snowy</t>
  </si>
  <si>
    <t>GalactiCraft</t>
  </si>
  <si>
    <t>C17B40</t>
  </si>
  <si>
    <t>GalacticraftCore:tile.gcBlockCore:5</t>
  </si>
  <si>
    <t>C9C9C9</t>
  </si>
  <si>
    <t>GalacticraftCore:tile.gcBlockCore:6</t>
  </si>
  <si>
    <t>9CACB8</t>
  </si>
  <si>
    <t>GalacticraftCore:tile.gcBlockCore:7</t>
  </si>
  <si>
    <t>Silicon</t>
  </si>
  <si>
    <t>GalacticraftCore:tile.gcBlockCore:8</t>
  </si>
  <si>
    <t>GeoStrata</t>
  </si>
  <si>
    <t>Shale</t>
  </si>
  <si>
    <t>676970</t>
  </si>
  <si>
    <t>GeoStrata:geostrata_rock_shale_smooth</t>
  </si>
  <si>
    <t>Sandstone</t>
  </si>
  <si>
    <t>BA9D80</t>
  </si>
  <si>
    <t>GeoStrata:geostrata_rock_sandstone_smooth</t>
  </si>
  <si>
    <t>CBBFAD</t>
  </si>
  <si>
    <t>GeoStrata:geostrata_rock_limestone_smooth</t>
  </si>
  <si>
    <t>Pumice</t>
  </si>
  <si>
    <t>C4C1BA</t>
  </si>
  <si>
    <t>GeoStrata:geostrata_rock_pumice_smooth</t>
  </si>
  <si>
    <t>Opal</t>
  </si>
  <si>
    <t>CAFFFF</t>
  </si>
  <si>
    <t>GeoStrata:geostrata_rock_opal_smooth</t>
  </si>
  <si>
    <t>Slate</t>
  </si>
  <si>
    <t>494B53</t>
  </si>
  <si>
    <t>GeoStrata:geostrata_rock_slate_smooth</t>
  </si>
  <si>
    <t>Gneiss</t>
  </si>
  <si>
    <t>BFBDBC</t>
  </si>
  <si>
    <t>GeoStrata:geostrata_rock_gneiss_smooth</t>
  </si>
  <si>
    <t>Peridotite</t>
  </si>
  <si>
    <t>617361</t>
  </si>
  <si>
    <t>GeoStrata:geostrata_rock_peridotite_smooth</t>
  </si>
  <si>
    <t>Granulite</t>
  </si>
  <si>
    <t>AEB3AB</t>
  </si>
  <si>
    <t>GeoStrata:geostrata_rock_granulite_smooth</t>
  </si>
  <si>
    <t>Migmatite</t>
  </si>
  <si>
    <t>92958C</t>
  </si>
  <si>
    <t>GeoStrata:geostrata_rock_migmatite_smooth</t>
  </si>
  <si>
    <t>Schist</t>
  </si>
  <si>
    <t>4B4C52</t>
  </si>
  <si>
    <t>GeoStrata:geostrata_rock_schist_smooth</t>
  </si>
  <si>
    <t>Basalt</t>
  </si>
  <si>
    <t>383844</t>
  </si>
  <si>
    <t>GeoStrata:geostrata_rock_basalt_smooth</t>
  </si>
  <si>
    <t>Onyx</t>
  </si>
  <si>
    <t>303030</t>
  </si>
  <si>
    <t>GeoStrata:geostrata_rock_onyx_smooth</t>
  </si>
  <si>
    <t>Quartz</t>
  </si>
  <si>
    <t>C9D2D9</t>
  </si>
  <si>
    <t>GeoStrata:geostrata_rock_quartz_smooth</t>
  </si>
  <si>
    <t>B4B4BC</t>
  </si>
  <si>
    <t>GeoStrata:geostrata_rock_marble_smooth</t>
  </si>
  <si>
    <t>CA9C7F</t>
  </si>
  <si>
    <t>GeoStrata:geostrata_rock_granite_smooth</t>
  </si>
  <si>
    <t>Hornfel</t>
  </si>
  <si>
    <t>A4A7B0</t>
  </si>
  <si>
    <t>GeoStrata:geostrata_rock_hornfel_smooth</t>
  </si>
  <si>
    <t>Pam's HarvestCraft</t>
  </si>
  <si>
    <t>Salt</t>
  </si>
  <si>
    <t>90927C</t>
  </si>
  <si>
    <t>harvestcraft:salt</t>
  </si>
  <si>
    <t>Immersive Engineering</t>
  </si>
  <si>
    <t>#E78125</t>
  </si>
  <si>
    <t>immersiveengineering:ore:0</t>
  </si>
  <si>
    <t>Bauxite</t>
  </si>
  <si>
    <t>#C0C7CA</t>
  </si>
  <si>
    <t>immersiveengineering:ore:1</t>
  </si>
  <si>
    <t>#636A81</t>
  </si>
  <si>
    <t>immersiveengineering:ore:2</t>
  </si>
  <si>
    <t>#E8F6FF</t>
  </si>
  <si>
    <t>immersiveengineering:ore:3</t>
  </si>
  <si>
    <t>#D3D9C8</t>
  </si>
  <si>
    <t>immersiveengineering:ore:4</t>
  </si>
  <si>
    <t>IndustrialCraft 2</t>
  </si>
  <si>
    <t>#C4733C</t>
  </si>
  <si>
    <t>IC2:resource:1</t>
  </si>
  <si>
    <t>#CDCDCD</t>
  </si>
  <si>
    <t>IC2:resource:3</t>
  </si>
  <si>
    <t>Uranium</t>
  </si>
  <si>
    <t>#6AC312</t>
  </si>
  <si>
    <t>IC2:resource:4</t>
  </si>
  <si>
    <t>#829199</t>
  </si>
  <si>
    <t>IC2:resource:2</t>
  </si>
  <si>
    <t>MagnetiCraft</t>
  </si>
  <si>
    <t>#986359</t>
  </si>
  <si>
    <t>Magneticraft:copper_ore</t>
  </si>
  <si>
    <t>Tungsten</t>
  </si>
  <si>
    <t>#525252</t>
  </si>
  <si>
    <t>Magneticraft:tungsten_ore</t>
  </si>
  <si>
    <t>Sulfur</t>
  </si>
  <si>
    <t>#FEE002</t>
  </si>
  <si>
    <t>31FA</t>
  </si>
  <si>
    <t>Magneticraft:sulfur_ore</t>
  </si>
  <si>
    <t>#6F8F53</t>
  </si>
  <si>
    <t>Magneticraft:uranium_ore</t>
  </si>
  <si>
    <t>Thorium</t>
  </si>
  <si>
    <t>#5A483A</t>
  </si>
  <si>
    <t>Magneticraft:thorium_ore</t>
  </si>
  <si>
    <t>#CDD6CB</t>
  </si>
  <si>
    <t>Magneticraft:salt_ore</t>
  </si>
  <si>
    <t>#706750</t>
  </si>
  <si>
    <t>Magneticraft:zinc_ore</t>
  </si>
  <si>
    <t>#A6B2A6</t>
  </si>
  <si>
    <t>Magneticraft:limestone</t>
  </si>
  <si>
    <t>Mariculture</t>
  </si>
  <si>
    <t>#A3744B</t>
  </si>
  <si>
    <t>Mariculture:rocks:2</t>
  </si>
  <si>
    <t>#C85432</t>
  </si>
  <si>
    <t>Mariculture:rocks:1</t>
  </si>
  <si>
    <t>Mekanism</t>
  </si>
  <si>
    <t>Osmium</t>
  </si>
  <si>
    <t>7CB3EE</t>
  </si>
  <si>
    <t>Mekanism:OreBlock</t>
  </si>
  <si>
    <t>AE4408</t>
  </si>
  <si>
    <t>Mekanism:OreBlock:1</t>
  </si>
  <si>
    <t>C1C8C8</t>
  </si>
  <si>
    <t>Mekanism:OreBlock:2</t>
  </si>
  <si>
    <t>Metallurgy 4</t>
  </si>
  <si>
    <t>FCF570</t>
  </si>
  <si>
    <t>Metallurgy:utility.ore</t>
  </si>
  <si>
    <t>Phosphorite</t>
  </si>
  <si>
    <t>8D6161</t>
  </si>
  <si>
    <t>Metallurgy:utility.ore:1</t>
  </si>
  <si>
    <t>Saltpeter</t>
  </si>
  <si>
    <t>Metallurgy:utility.ore:2</t>
  </si>
  <si>
    <t>Magnesium</t>
  </si>
  <si>
    <t>927C6C</t>
  </si>
  <si>
    <t>Metallurgy:utility.ore:3</t>
  </si>
  <si>
    <t>Bitumen</t>
  </si>
  <si>
    <t>Metallurgy:utility.ore:4</t>
  </si>
  <si>
    <t>Potash</t>
  </si>
  <si>
    <t>FFAA00</t>
  </si>
  <si>
    <t>Metallurgy:utility.ore:5</t>
  </si>
  <si>
    <t>EA6515</t>
  </si>
  <si>
    <t>Metallurgy:base.ore</t>
  </si>
  <si>
    <t>BDBDBD</t>
  </si>
  <si>
    <t>Metallurgy:base.ore:1</t>
  </si>
  <si>
    <t>Manganese</t>
  </si>
  <si>
    <t>FCC7C7</t>
  </si>
  <si>
    <t>Metallurgy:base.ore:2</t>
  </si>
  <si>
    <t>BFC55C</t>
  </si>
  <si>
    <t>Metallurgy:precious.ore</t>
  </si>
  <si>
    <t>E1E1E1</t>
  </si>
  <si>
    <t>Metallurgy:precious.ore:1</t>
  </si>
  <si>
    <t>B8D6DB</t>
  </si>
  <si>
    <t>Metallurgy:precious.ore:2</t>
  </si>
  <si>
    <t>Prometheum</t>
  </si>
  <si>
    <t>5D8258</t>
  </si>
  <si>
    <t>Metallurgy:fantasy.ore</t>
  </si>
  <si>
    <t>Deep Iron</t>
  </si>
  <si>
    <t>4C5E6C</t>
  </si>
  <si>
    <t>Metallurgy:fantasy.ore:1</t>
  </si>
  <si>
    <t>Infuscolium</t>
  </si>
  <si>
    <t>8B2656</t>
  </si>
  <si>
    <t>Metallurgy:fantasy.ore:2</t>
  </si>
  <si>
    <t>Oureclase</t>
  </si>
  <si>
    <t>9A7607</t>
  </si>
  <si>
    <t>Metallurgy:fantasy.ore:4</t>
  </si>
  <si>
    <t>Astral Silver</t>
  </si>
  <si>
    <t>ADC3C3</t>
  </si>
  <si>
    <t>Metallurgy:fantasy.ore:5</t>
  </si>
  <si>
    <t>Carmot</t>
  </si>
  <si>
    <t>D7C986</t>
  </si>
  <si>
    <t>Metallurgy:fantasy.ore:6</t>
  </si>
  <si>
    <t>Mithril</t>
  </si>
  <si>
    <t>9AF3F7</t>
  </si>
  <si>
    <t>Metallurgy:fantasy.ore:7</t>
  </si>
  <si>
    <t>Rubracium</t>
  </si>
  <si>
    <t>A1363C</t>
  </si>
  <si>
    <t>Metallurgy:fantasy.ore:8</t>
  </si>
  <si>
    <t>Orichalcum</t>
  </si>
  <si>
    <t>466432</t>
  </si>
  <si>
    <t>Metallurgy:fantasy.ore:11</t>
  </si>
  <si>
    <t>Adamantine</t>
  </si>
  <si>
    <t>AC0C0D</t>
  </si>
  <si>
    <t>Metallurgy:fantasy.ore:13</t>
  </si>
  <si>
    <t>Atlarus</t>
  </si>
  <si>
    <t>C4B117</t>
  </si>
  <si>
    <t>Metallurgy:fantasy.ore:14</t>
  </si>
  <si>
    <t>Ignatius</t>
  </si>
  <si>
    <t>EE810A</t>
  </si>
  <si>
    <t>Metallurgy:nether.ore</t>
  </si>
  <si>
    <t>Shadow Iron</t>
  </si>
  <si>
    <t>634C3F</t>
  </si>
  <si>
    <t>Metallurgy:nether.ore:1</t>
  </si>
  <si>
    <t>Lemurite</t>
  </si>
  <si>
    <t>B1B1B4</t>
  </si>
  <si>
    <t>Metallurgy:nether.ore:2</t>
  </si>
  <si>
    <t>Midasium</t>
  </si>
  <si>
    <t>F6B237</t>
  </si>
  <si>
    <t>Metallurgy:nether.ore:3</t>
  </si>
  <si>
    <t>Vyroxeres</t>
  </si>
  <si>
    <t>57D411</t>
  </si>
  <si>
    <t>Metallurgy:nether.ore:4</t>
  </si>
  <si>
    <t>Ceruclase</t>
  </si>
  <si>
    <t>3F869C</t>
  </si>
  <si>
    <t>Metallurgy:nether.ore:5</t>
  </si>
  <si>
    <t>Alduorite</t>
  </si>
  <si>
    <t>9FCED2</t>
  </si>
  <si>
    <t>Metallurgy:nether.ore:6</t>
  </si>
  <si>
    <t>Kalendrite</t>
  </si>
  <si>
    <t>AB6AB9</t>
  </si>
  <si>
    <t>Metallurgy:nether.ore:7</t>
  </si>
  <si>
    <t>Vulcanite</t>
  </si>
  <si>
    <t>E66922</t>
  </si>
  <si>
    <t>Metallurgy:nether.ore:8</t>
  </si>
  <si>
    <t>Sanguinite</t>
  </si>
  <si>
    <t>C30506</t>
  </si>
  <si>
    <t>Metallurgy:nether.ore:9</t>
  </si>
  <si>
    <t>Eximite</t>
  </si>
  <si>
    <t>7B5994</t>
  </si>
  <si>
    <t>Metallurgy:ender.ore</t>
  </si>
  <si>
    <t>Height range was larger, but the End's surface level is 64; anything above that would be wasted.</t>
  </si>
  <si>
    <t>Meutoite</t>
  </si>
  <si>
    <t>5E5168</t>
  </si>
  <si>
    <t>Metallurgy:ender.ore:1</t>
  </si>
  <si>
    <t>Mimicry</t>
  </si>
  <si>
    <t>Mimichite</t>
  </si>
  <si>
    <t>8800FF</t>
  </si>
  <si>
    <t>Mimicry:Sparr_Mimichite Ore</t>
  </si>
  <si>
    <t>Nether Mimichite</t>
  </si>
  <si>
    <t>Mimicry:Sparr_Mimichite Ore:1</t>
  </si>
  <si>
    <t>End Mimichite</t>
  </si>
  <si>
    <t>Mimicry:Sparr_Mimichite Ore:2</t>
  </si>
  <si>
    <t>MineChem</t>
  </si>
  <si>
    <t>ACFE91</t>
  </si>
  <si>
    <t>38D0</t>
  </si>
  <si>
    <t>minechem:tile.oreUranium</t>
  </si>
  <si>
    <t>Minecraft Comes Alive!</t>
  </si>
  <si>
    <t>Rose Gold</t>
  </si>
  <si>
    <t>FFDDA2</t>
  </si>
  <si>
    <t>MCA:tile.roseGoldOre</t>
  </si>
  <si>
    <t>Nether Ores</t>
  </si>
  <si>
    <t>2D2D2D</t>
  </si>
  <si>
    <t>NetherOres:tile.netherores.ore.0</t>
  </si>
  <si>
    <t>AA9C</t>
  </si>
  <si>
    <t>NetherOres:tile.netherores.ore.0:1</t>
  </si>
  <si>
    <t>NetherOres:tile.netherores.ore.0:2</t>
  </si>
  <si>
    <t>NetherOres:tile.netherores.ore.0:3</t>
  </si>
  <si>
    <t>NetherOres:tile.netherores.ore.0:4</t>
  </si>
  <si>
    <t>NetherOres:tile.netherores.ore.0:5</t>
  </si>
  <si>
    <t>NetherOres:tile.netherores.ore.0:6</t>
  </si>
  <si>
    <t>NetherOres:tile.netherores.ore.0:7</t>
  </si>
  <si>
    <t>907F</t>
  </si>
  <si>
    <t>NetherOres:tile.netherores.ore.0:8</t>
  </si>
  <si>
    <t>NetherOres:tile.netherores.ore.0:9</t>
  </si>
  <si>
    <t>NetherOres:tile.netherores.ore.0:10</t>
  </si>
  <si>
    <t>NetherOres:tile.netherores.ore.0:11</t>
  </si>
  <si>
    <t>Nikolite</t>
  </si>
  <si>
    <t>01FFFC</t>
  </si>
  <si>
    <t>NetherOres:tile.netherores.ore.0:12</t>
  </si>
  <si>
    <t>D10415</t>
  </si>
  <si>
    <t>D0DC</t>
  </si>
  <si>
    <t>NetherOres:tile.netherores.ore.0:13</t>
  </si>
  <si>
    <t>54A228</t>
  </si>
  <si>
    <t>6CA7</t>
  </si>
  <si>
    <t>NetherOres:tile.netherores.ore.0:14</t>
  </si>
  <si>
    <t>554DB4</t>
  </si>
  <si>
    <t>83DD</t>
  </si>
  <si>
    <t>NetherOres:tile.netherores.ore.0:15</t>
  </si>
  <si>
    <t>72A0D2</t>
  </si>
  <si>
    <t>NetherOres:tile.netherores.ore.1</t>
  </si>
  <si>
    <t>DDD396</t>
  </si>
  <si>
    <t>NetherOres:tile.netherores.ore.1:1</t>
  </si>
  <si>
    <t>Steel</t>
  </si>
  <si>
    <t>E89D97</t>
  </si>
  <si>
    <t>NetherOres:tile.netherores.ore.1:2</t>
  </si>
  <si>
    <t>Iridium</t>
  </si>
  <si>
    <t>NetherOres:tile.netherores.ore.1:3</t>
  </si>
  <si>
    <t>43638A</t>
  </si>
  <si>
    <t>NetherOres:tile.netherores.ore.1:4</t>
  </si>
  <si>
    <t>FDFD11</t>
  </si>
  <si>
    <t>CB5E</t>
  </si>
  <si>
    <t>NetherOres:tile.netherores.ore.1:5</t>
  </si>
  <si>
    <t>Titanium</t>
  </si>
  <si>
    <t>686868</t>
  </si>
  <si>
    <t>NetherOres:tile.netherores.ore.1:6</t>
  </si>
  <si>
    <t>75E0F6</t>
  </si>
  <si>
    <t>NetherOres:tile.netherores.ore.1:7</t>
  </si>
  <si>
    <t>Adamantium</t>
  </si>
  <si>
    <t>9CA6B0</t>
  </si>
  <si>
    <t>NetherOres:tile.netherores.ore.1:8</t>
  </si>
  <si>
    <t>Rutile</t>
  </si>
  <si>
    <t>D2C7A9</t>
  </si>
  <si>
    <t>NetherOres:tile.netherores.ore.1:9</t>
  </si>
  <si>
    <t>212121</t>
  </si>
  <si>
    <t>NetherOres:tile.netherores.ore.1:10</t>
  </si>
  <si>
    <t>FEA219</t>
  </si>
  <si>
    <t>NetherOres:tile.netherores.ore.1:11</t>
  </si>
  <si>
    <t>Tennantite</t>
  </si>
  <si>
    <t>9EE2B1</t>
  </si>
  <si>
    <t>NetherOres:tile.netherores.ore.1:12</t>
  </si>
  <si>
    <t>FFFFFF</t>
  </si>
  <si>
    <t>NetherOres:tile.netherores.ore.1:13</t>
  </si>
  <si>
    <t>F4F6F9</t>
  </si>
  <si>
    <t>NetherOres:tile.netherores.ore.1:14</t>
  </si>
  <si>
    <t>827066</t>
  </si>
  <si>
    <t>NetherOres:tile.netherores.ore.1:15</t>
  </si>
  <si>
    <t>Netherrocks</t>
  </si>
  <si>
    <t>Fyrite</t>
  </si>
  <si>
    <t>BF0000</t>
  </si>
  <si>
    <t>netherrocks:fyrite_ore</t>
  </si>
  <si>
    <t>046652</t>
  </si>
  <si>
    <t>netherrocks:malachite_ore</t>
  </si>
  <si>
    <t>AshStone</t>
  </si>
  <si>
    <t>3F3F60</t>
  </si>
  <si>
    <t>netherrocks:ashstone_ore</t>
  </si>
  <si>
    <t>Illumenite</t>
  </si>
  <si>
    <t>FCFEB0</t>
  </si>
  <si>
    <t>netherrocks:illumenite_ore</t>
  </si>
  <si>
    <t>minecraft:glowstone</t>
  </si>
  <si>
    <t>Illumenite is specially handled.  DO NOT USE THIS CONFIG.</t>
  </si>
  <si>
    <t>Dragonstone</t>
  </si>
  <si>
    <t>0F0035</t>
  </si>
  <si>
    <t>netherrocks:dragonstone_ore</t>
  </si>
  <si>
    <t>Argonite</t>
  </si>
  <si>
    <t>netherrocks:argonite_ore</t>
  </si>
  <si>
    <t>Nuclearcraft</t>
  </si>
  <si>
    <t>#3B402D</t>
  </si>
  <si>
    <t>NuclearCraft:blockOre:4</t>
  </si>
  <si>
    <t>#72655A</t>
  </si>
  <si>
    <t>NuclearCraft:blockOre</t>
  </si>
  <si>
    <t>#C3C3D1</t>
  </si>
  <si>
    <t>NuclearCraft:blockOre:1</t>
  </si>
  <si>
    <t>#636B68</t>
  </si>
  <si>
    <t>NuclearCraft:blockOre:2</t>
  </si>
  <si>
    <t>#E2E2E2</t>
  </si>
  <si>
    <t>NuclearCraft:blockOre:3</t>
  </si>
  <si>
    <t>Plutonium</t>
  </si>
  <si>
    <t>#A68F8F</t>
  </si>
  <si>
    <t>NuclearCraft:blockOre:6</t>
  </si>
  <si>
    <t>Lithium</t>
  </si>
  <si>
    <t>#B6B6B6</t>
  </si>
  <si>
    <t>NuclearCraft:blockOre:7</t>
  </si>
  <si>
    <t>Boron</t>
  </si>
  <si>
    <t>#5C5C5C</t>
  </si>
  <si>
    <t>NuclearCraft:blockOre:8</t>
  </si>
  <si>
    <t>#646464</t>
  </si>
  <si>
    <t>NuclearCraft:blockOre:5</t>
  </si>
  <si>
    <t>Project: Red</t>
  </si>
  <si>
    <t>900113</t>
  </si>
  <si>
    <t>E23A</t>
  </si>
  <si>
    <t>ProjRed|Exploration:projectred.exploration.ore</t>
  </si>
  <si>
    <t>0011C8</t>
  </si>
  <si>
    <t>5196</t>
  </si>
  <si>
    <t>ProjRed|Exploration:projectred.exploration.ore:1</t>
  </si>
  <si>
    <t>057529</t>
  </si>
  <si>
    <t>8759</t>
  </si>
  <si>
    <t>ProjRed|Exploration:projectred.exploration.ore:2</t>
  </si>
  <si>
    <t>ProjRed|Exploration:projectred.exploration.ore:3</t>
  </si>
  <si>
    <t>ProjRed|Exploration:projectred.exploration.ore:4</t>
  </si>
  <si>
    <t>ProjRed|Exploration:projectred.exploration.ore:5</t>
  </si>
  <si>
    <t>Electrotine</t>
  </si>
  <si>
    <t>ProjRed|Exploration:projectred.exploration.ore:6</t>
  </si>
  <si>
    <t>ProjRed|Exploration:projectred.exploration.stone</t>
  </si>
  <si>
    <t>Railcraft</t>
  </si>
  <si>
    <t>Poor Iron</t>
  </si>
  <si>
    <t>railcraft:ore:7</t>
  </si>
  <si>
    <t>Poor Gold</t>
  </si>
  <si>
    <t>railcraft:ore:8</t>
  </si>
  <si>
    <t>Poor Copper</t>
  </si>
  <si>
    <t>railcraft:ore:9</t>
  </si>
  <si>
    <t>Poor Tin</t>
  </si>
  <si>
    <t>railcraft:ore:10</t>
  </si>
  <si>
    <t>Poor Lead</t>
  </si>
  <si>
    <t>railcraft:ore:11</t>
  </si>
  <si>
    <t>FFE25C</t>
  </si>
  <si>
    <t>EE54</t>
  </si>
  <si>
    <t>railcraft:ore</t>
  </si>
  <si>
    <t>CED0BA</t>
  </si>
  <si>
    <t>railcraft:ore:1</t>
  </si>
  <si>
    <t>minecraft:sand, minecraft:sandstone</t>
  </si>
  <si>
    <t>Need Biomes: MISSING\nNeed Biome Types: Sandy\nBiome Rainfall Range: 0, 0.1\nBiome Temperature Range: 1.5, 2.0</t>
  </si>
  <si>
    <t>Need Biomes: MISSING\nNeed Biome Types: Mountain\nBiome Rainfall Range: 0, 0.1\nBiome Temperature Range: 1.5, 2.0</t>
  </si>
  <si>
    <t>Firestone</t>
  </si>
  <si>
    <t>C64E0D</t>
  </si>
  <si>
    <t>railcraft:ore:5</t>
  </si>
  <si>
    <t>Place Below: minecraft:lava</t>
  </si>
  <si>
    <t>Need Biome Types: Mountain\nNeed Biomes: MISSING\nPlace Below: minecraft:lava</t>
  </si>
  <si>
    <t>Must be under a lava block.</t>
  </si>
  <si>
    <t>Abyssal Geode</t>
  </si>
  <si>
    <t>Geode</t>
  </si>
  <si>
    <t>000000</t>
  </si>
  <si>
    <t>9668</t>
  </si>
  <si>
    <t>railcraft:ore:2, railcraft:ore:3, railcraft:ore:4</t>
  </si>
  <si>
    <t>minecraft:stone, minecraft:dirt, minecraft:gravel, minecraft:water, minecraft:air</t>
  </si>
  <si>
    <t>Abyssal Geodes are specially handled.  DO NOT USE THIS CONFIG.</t>
  </si>
  <si>
    <t>ReactorCraft</t>
  </si>
  <si>
    <t>Pitchblende</t>
  </si>
  <si>
    <t>454454</t>
  </si>
  <si>
    <t>ReactorCraft:reactorcraft_block_ore:1</t>
  </si>
  <si>
    <t>Need Biome Types: Mushroom, Ocean, River\nNeed Biomes: MISSING</t>
  </si>
  <si>
    <t>Cadmium</t>
  </si>
  <si>
    <t>7184A4</t>
  </si>
  <si>
    <t>ReactorCraft:reactorcraft_block_ore:2</t>
  </si>
  <si>
    <t>Indium</t>
  </si>
  <si>
    <t>7A7C89</t>
  </si>
  <si>
    <t>ReactorCraft:reactorcraft_block_ore:3</t>
  </si>
  <si>
    <t>ReactorCraft:reactorcraft_block_ore:4</t>
  </si>
  <si>
    <t>End Pitchblende</t>
  </si>
  <si>
    <t>ReactorCraft:reactorcraft_block_ore:5</t>
  </si>
  <si>
    <t>Ammonium Chloride</t>
  </si>
  <si>
    <t>ReactorCraft:reactorcraft_block_ore:6</t>
  </si>
  <si>
    <t>Calcite</t>
  </si>
  <si>
    <t>ReactorCraft:reactorcraft_block_ore:7</t>
  </si>
  <si>
    <t>Magnetite</t>
  </si>
  <si>
    <t>ReactorCraft:reactorcraft_block_ore:8</t>
  </si>
  <si>
    <t>Thorite</t>
  </si>
  <si>
    <t>ReactorCraft:reactorcraft_block_ore:9</t>
  </si>
  <si>
    <t>Blue Fluorite</t>
  </si>
  <si>
    <t>283270</t>
  </si>
  <si>
    <t>ReactorCraft:reactorcraft_block_fluoriteore</t>
  </si>
  <si>
    <t>Pink Fluorite</t>
  </si>
  <si>
    <t>7A5970</t>
  </si>
  <si>
    <t>ReactorCraft:reactorcraft_block_fluoriteore:1</t>
  </si>
  <si>
    <t>Orange Fluorite</t>
  </si>
  <si>
    <t>7A5927</t>
  </si>
  <si>
    <t>ReactorCraft:reactorcraft_block_fluoriteore:2</t>
  </si>
  <si>
    <t>Magenta Fluorite</t>
  </si>
  <si>
    <t>602774</t>
  </si>
  <si>
    <t>ReactorCraft:reactorcraft_block_fluoriteore:3</t>
  </si>
  <si>
    <t>Green Fluorite</t>
  </si>
  <si>
    <t>347D3B</t>
  </si>
  <si>
    <t>ReactorCraft:reactorcraft_block_fluoriteore:4</t>
  </si>
  <si>
    <t>Red Fluorite</t>
  </si>
  <si>
    <t>974747</t>
  </si>
  <si>
    <t>ReactorCraft:reactorcraft_block_fluoriteore:5</t>
  </si>
  <si>
    <t>White Fluorite</t>
  </si>
  <si>
    <t>969696</t>
  </si>
  <si>
    <t>ReactorCraft:reactorcraft_block_fluoriteore:6</t>
  </si>
  <si>
    <t>Yellow Fluorite</t>
  </si>
  <si>
    <t>978834</t>
  </si>
  <si>
    <t>ReactorCraft:reactorcraft_block_fluoriteore:7</t>
  </si>
  <si>
    <t>Simple Ores</t>
  </si>
  <si>
    <t>simpleores:copper_ore</t>
  </si>
  <si>
    <t>simpleores:tin_ore</t>
  </si>
  <si>
    <t>Mythril</t>
  </si>
  <si>
    <t>79AFD2</t>
  </si>
  <si>
    <t>simpleores:mythril_ore</t>
  </si>
  <si>
    <t>159800</t>
  </si>
  <si>
    <t>simpleores:adamantium_ore</t>
  </si>
  <si>
    <t>232323</t>
  </si>
  <si>
    <t>1523</t>
  </si>
  <si>
    <t>simpleores:onyx_ore</t>
  </si>
  <si>
    <t>ThaumCraft 4</t>
  </si>
  <si>
    <t>Amber Bearing Stone</t>
  </si>
  <si>
    <t>Thaumcraft:blockCustomOre:7</t>
  </si>
  <si>
    <t>Cinnabar</t>
  </si>
  <si>
    <t>831C20</t>
  </si>
  <si>
    <t>Thaumcraft:blockCustomOre</t>
  </si>
  <si>
    <t>Air Infused Stone</t>
  </si>
  <si>
    <t>FEFEAB</t>
  </si>
  <si>
    <t>Thaumcraft:blockCustomOre:1</t>
  </si>
  <si>
    <t>Prefer Biome Types: Savanna, Mountain, Hills, Plains</t>
  </si>
  <si>
    <t>Fire Infused Stone</t>
  </si>
  <si>
    <t>FC5100</t>
  </si>
  <si>
    <t>Thaumcraft:blockCustomOre:2</t>
  </si>
  <si>
    <t>Prefer Biome Types: Hot, Sandy, Nether, Mesa</t>
  </si>
  <si>
    <t>Water Infused Stone</t>
  </si>
  <si>
    <t>00C0FA</t>
  </si>
  <si>
    <t>Thaumcraft:blockCustomOre:3</t>
  </si>
  <si>
    <t>Prefer Biome Types: Water, Ocean, River, Wet</t>
  </si>
  <si>
    <t>Earth Infused Stone</t>
  </si>
  <si>
    <t>00D900</t>
  </si>
  <si>
    <t>Thaumcraft:blockCustomOre:4</t>
  </si>
  <si>
    <t>Prefer Biome Types: Coniferous, Forest, Sandy, Beach</t>
  </si>
  <si>
    <t>Order Infused Stone</t>
  </si>
  <si>
    <t>EBEBF9</t>
  </si>
  <si>
    <t>Thaumcraft:blockCustomOre:5</t>
  </si>
  <si>
    <t>Prefer Biome Types: Dense, Snowy, Cold, Mushroom</t>
  </si>
  <si>
    <t>Entropy Infused Stone</t>
  </si>
  <si>
    <t>260920</t>
  </si>
  <si>
    <t>Thaumcraft:blockCustomOre:6</t>
  </si>
  <si>
    <t>Prefer Biome Types: Dry, Sparse, Swamp, Wasteland</t>
  </si>
  <si>
    <t>Thermal Foundation</t>
  </si>
  <si>
    <t>ThermalFoundation:Ore</t>
  </si>
  <si>
    <t>ThermalFoundation:Ore:1</t>
  </si>
  <si>
    <t>ThermalFoundation:Ore:2</t>
  </si>
  <si>
    <t>ThermalFoundation:Ore:3</t>
  </si>
  <si>
    <t>Ferrous</t>
  </si>
  <si>
    <t>BCBDAB</t>
  </si>
  <si>
    <t>ThermalFoundation:Ore:4</t>
  </si>
  <si>
    <t>Shiny</t>
  </si>
  <si>
    <t>6FE5F3</t>
  </si>
  <si>
    <t>ThermalFoundation:Ore:5</t>
  </si>
  <si>
    <t>Tinker's Construct</t>
  </si>
  <si>
    <t>Cobalt</t>
  </si>
  <si>
    <t>1D62B8</t>
  </si>
  <si>
    <t>tconstruct:ore</t>
  </si>
  <si>
    <t>Ardite</t>
  </si>
  <si>
    <t>F48A00</t>
  </si>
  <si>
    <t>tconstruct:ore:1</t>
  </si>
  <si>
    <t>Tinker's Steelworks</t>
  </si>
  <si>
    <t>C5CCA9</t>
  </si>
  <si>
    <t>TSteelworks:Limestone</t>
  </si>
  <si>
    <t>Frequency2</t>
  </si>
  <si>
    <t>mod_name</t>
  </si>
  <si>
    <t>ore_name</t>
  </si>
  <si>
    <t>preferred_preset</t>
  </si>
  <si>
    <t>vein_preset</t>
  </si>
  <si>
    <t>cloud_preset</t>
  </si>
  <si>
    <t>avg_ores_per_chunk</t>
  </si>
  <si>
    <t>original_vein_size</t>
  </si>
  <si>
    <t>original_veins_per_chunk</t>
  </si>
  <si>
    <t>Huge Veins</t>
  </si>
  <si>
    <t>cloud_multiplier</t>
  </si>
  <si>
    <t>cloud_frequency</t>
  </si>
  <si>
    <t>cloud_radius_and_thickness</t>
  </si>
  <si>
    <t>height_average</t>
  </si>
  <si>
    <t>height_range</t>
  </si>
  <si>
    <t>height_amp_average</t>
  </si>
  <si>
    <t>height_amp_range</t>
  </si>
  <si>
    <t>height_desired_bottom</t>
  </si>
  <si>
    <t>height_desired_top</t>
  </si>
  <si>
    <t>height_mountain_average</t>
  </si>
  <si>
    <t>height_mountain_range</t>
  </si>
  <si>
    <t>height_amplified_top</t>
  </si>
  <si>
    <t>vanilla_size</t>
  </si>
  <si>
    <t>vanilla_frequency</t>
  </si>
  <si>
    <t>vein_frequency</t>
  </si>
  <si>
    <t>vein_motherlode_size</t>
  </si>
  <si>
    <t>vein_branch_length</t>
  </si>
  <si>
    <t>vein_segment_radius</t>
  </si>
  <si>
    <t>vein_multiplier</t>
  </si>
  <si>
    <t>vein_frequency_tweak</t>
  </si>
  <si>
    <t>vein_motherlode_size_tweak</t>
  </si>
  <si>
    <t>vein_has_motherlode</t>
  </si>
  <si>
    <t>vein_has_branches</t>
  </si>
  <si>
    <t>NO</t>
  </si>
  <si>
    <t>height_generate_in_mountains</t>
  </si>
  <si>
    <t>dimension</t>
  </si>
  <si>
    <t>debug_colour</t>
  </si>
  <si>
    <t>seed</t>
  </si>
  <si>
    <t>distribution_type</t>
  </si>
  <si>
    <t>ore_block_ids</t>
  </si>
  <si>
    <t>replace_block_ids</t>
  </si>
  <si>
    <t>extra_sprocket_settings</t>
  </si>
  <si>
    <t>extra_sprocket_mountain_settings</t>
  </si>
  <si>
    <t>comments</t>
  </si>
  <si>
    <t>mod_version</t>
  </si>
  <si>
    <t>Use these values for Vanilla (standard) generation.</t>
  </si>
  <si>
    <t>Use these values for vein distributions.</t>
  </si>
  <si>
    <t>Use these values for cloud distr's.</t>
  </si>
  <si>
    <t>HOW TO USE</t>
  </si>
  <si>
    <t>Fill in the data in the yellow columns to tell COG what the ore is called, what distribution to generate it in, etc.</t>
  </si>
  <si>
    <t>The sprocket_csv.py script recognises columns by name. Therefore, it's fine to insert new columns, but it's not OK to change the names of columns.</t>
  </si>
  <si>
    <r>
      <t xml:space="preserve">Fill in the data in the pink columns to tell COG </t>
    </r>
    <r>
      <rPr>
        <u/>
        <sz val="18"/>
        <rFont val="Sans"/>
      </rPr>
      <t>how much</t>
    </r>
    <r>
      <rPr>
        <sz val="18"/>
        <rFont val="Sans"/>
      </rPr>
      <t xml:space="preserve"> ore to generate, </t>
    </r>
    <r>
      <rPr>
        <u/>
        <sz val="18"/>
        <rFont val="Sans"/>
      </rPr>
      <t>what height</t>
    </r>
    <r>
      <rPr>
        <sz val="18"/>
        <rFont val="Sans"/>
      </rPr>
      <t xml:space="preserve"> to generate it at, and </t>
    </r>
    <r>
      <rPr>
        <u/>
        <sz val="18"/>
        <rFont val="Sans"/>
      </rPr>
      <t>which dimensions</t>
    </r>
    <r>
      <rPr>
        <sz val="18"/>
        <rFont val="Sans"/>
      </rPr>
      <t xml:space="preserve"> to generate it in.</t>
    </r>
  </si>
  <si>
    <t>The spreadsheet formulas will then calculate the required parameters for you.</t>
  </si>
  <si>
    <t>Just a duplicate of Sparse Veins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</si>
</sst>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1">
    <font>
      <sz val="10"/>
      <name val="Sans"/>
    </font>
    <font>
      <sz val="10"/>
      <color rgb="FF000000"/>
      <name val="Sans"/>
    </font>
    <font>
      <b/>
      <sz val="10"/>
      <color rgb="FF000000"/>
      <name val="Sans"/>
    </font>
    <font>
      <i/>
      <sz val="10"/>
      <name val="Sans"/>
    </font>
    <font>
      <b/>
      <sz val="10"/>
      <name val="Sans"/>
    </font>
    <font>
      <sz val="10"/>
      <color rgb="FF000000"/>
      <name val="Arial"/>
      <family val="2"/>
    </font>
    <font>
      <b/>
      <u/>
      <sz val="10"/>
      <color rgb="FF000000"/>
      <name val="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C00000"/>
      <name val="Sans"/>
    </font>
    <font>
      <sz val="10"/>
      <color theme="0" tint="-0.499984740745262"/>
      <name val="Sans"/>
    </font>
    <font>
      <sz val="10"/>
      <color rgb="FF000000"/>
      <name val="Courier New"/>
      <family val="3"/>
    </font>
    <font>
      <b/>
      <sz val="8"/>
      <name val="Sans"/>
    </font>
    <font>
      <sz val="18"/>
      <name val="Sans"/>
    </font>
    <font>
      <sz val="18"/>
      <color theme="9" tint="-0.499984740745262"/>
      <name val="Sans"/>
    </font>
    <font>
      <sz val="18"/>
      <color theme="0"/>
      <name val="Sans"/>
    </font>
    <font>
      <u/>
      <sz val="18"/>
      <name val="Sans"/>
    </font>
    <font>
      <sz val="18"/>
      <color rgb="FF000000"/>
      <name val="Sans"/>
    </font>
    <font>
      <b/>
      <i/>
      <sz val="10"/>
      <color theme="0" tint="-0.499984740745262"/>
      <name val="Sans"/>
    </font>
    <font>
      <b/>
      <i/>
      <u/>
      <sz val="10"/>
      <color theme="0" tint="-0.499984740745262"/>
      <name val="Sans"/>
    </font>
    <font>
      <i/>
      <sz val="10"/>
      <color theme="0" tint="-0.499984740745262"/>
      <name val="Sans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ck">
        <color auto="1"/>
      </left>
      <right style="thin">
        <color theme="0" tint="-0.499984740745262"/>
      </right>
      <top style="thick">
        <color auto="1"/>
      </top>
      <bottom style="thick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ck">
        <color auto="1"/>
      </top>
      <bottom style="thick">
        <color auto="1"/>
      </bottom>
      <diagonal/>
    </border>
    <border>
      <left style="thin">
        <color theme="0" tint="-0.499984740745262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theme="0" tint="-0.499984740745262"/>
      </right>
      <top/>
      <bottom style="thick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ck">
        <color auto="1"/>
      </bottom>
      <diagonal/>
    </border>
    <border>
      <left style="thin">
        <color theme="0" tint="-0.499984740745262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theme="0" tint="-0.499984740745262"/>
      </right>
      <top style="thick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ck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auto="1"/>
      </right>
      <top style="thick">
        <color auto="1"/>
      </top>
      <bottom style="thin">
        <color theme="0" tint="-0.499984740745262"/>
      </bottom>
      <diagonal/>
    </border>
    <border>
      <left style="thick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auto="1"/>
      </left>
      <right style="thin">
        <color theme="0" tint="-0.499984740745262"/>
      </right>
      <top style="thin">
        <color theme="0" tint="-0.499984740745262"/>
      </top>
      <bottom style="thick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ck">
        <color auto="1"/>
      </bottom>
      <diagonal/>
    </border>
    <border>
      <left style="thin">
        <color theme="0" tint="-0.499984740745262"/>
      </left>
      <right style="thick">
        <color auto="1"/>
      </right>
      <top style="thin">
        <color theme="0" tint="-0.499984740745262"/>
      </top>
      <bottom style="thick">
        <color auto="1"/>
      </bottom>
      <diagonal/>
    </border>
    <border>
      <left style="thin">
        <color theme="0" tint="-0.499984740745262"/>
      </left>
      <right/>
      <top style="thick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ck">
        <color auto="1"/>
      </bottom>
      <diagonal/>
    </border>
    <border>
      <left/>
      <right style="thin">
        <color theme="0" tint="-0.499984740745262"/>
      </right>
      <top style="thick">
        <color auto="1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ck">
        <color auto="1"/>
      </bottom>
      <diagonal/>
    </border>
    <border>
      <left style="thin">
        <color theme="0" tint="-0.499984740745262"/>
      </left>
      <right/>
      <top style="thick">
        <color auto="1"/>
      </top>
      <bottom style="thick">
        <color auto="1"/>
      </bottom>
      <diagonal/>
    </border>
    <border>
      <left/>
      <right style="thin">
        <color theme="0" tint="-0.499984740745262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theme="0" tint="-0.499984740745262"/>
      </bottom>
      <diagonal/>
    </border>
    <border>
      <left/>
      <right style="thick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ck">
        <color auto="1"/>
      </right>
      <top style="thin">
        <color theme="0" tint="-0.499984740745262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499984740745262"/>
      </right>
      <top/>
      <bottom style="thick">
        <color auto="1"/>
      </bottom>
      <diagonal/>
    </border>
    <border>
      <left style="thin">
        <color theme="0" tint="-0.499984740745262"/>
      </left>
      <right/>
      <top/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175">
    <xf numFmtId="0" fontId="0" fillId="0" borderId="0" xfId="0"/>
    <xf numFmtId="0" fontId="2" fillId="0" borderId="0" xfId="0" applyFont="1" applyBorder="1" applyAlignment="1" applyProtection="1">
      <alignment vertical="top"/>
    </xf>
    <xf numFmtId="0" fontId="0" fillId="0" borderId="0" xfId="0" applyAlignment="1">
      <alignment vertical="top"/>
    </xf>
    <xf numFmtId="49" fontId="0" fillId="0" borderId="0" xfId="0" applyNumberFormat="1" applyAlignment="1">
      <alignment horizontal="center" vertical="top"/>
    </xf>
    <xf numFmtId="49" fontId="0" fillId="0" borderId="0" xfId="0" applyNumberFormat="1" applyAlignment="1">
      <alignment horizontal="left" vertical="top"/>
    </xf>
    <xf numFmtId="49" fontId="0" fillId="0" borderId="0" xfId="0" applyNumberFormat="1" applyAlignment="1">
      <alignment horizontal="left" vertical="top" wrapText="1"/>
    </xf>
    <xf numFmtId="0" fontId="1" fillId="0" borderId="0" xfId="0" applyFont="1" applyBorder="1" applyAlignment="1" applyProtection="1">
      <alignment vertical="top"/>
    </xf>
    <xf numFmtId="0" fontId="1" fillId="0" borderId="0" xfId="1" applyAlignment="1">
      <alignment vertical="top"/>
    </xf>
    <xf numFmtId="49" fontId="1" fillId="0" borderId="0" xfId="1" applyNumberFormat="1" applyAlignment="1">
      <alignment horizontal="center" vertical="top"/>
    </xf>
    <xf numFmtId="49" fontId="1" fillId="0" borderId="0" xfId="1" applyNumberFormat="1" applyAlignment="1">
      <alignment horizontal="left" vertical="top"/>
    </xf>
    <xf numFmtId="49" fontId="1" fillId="0" borderId="0" xfId="1" applyNumberFormat="1" applyAlignment="1">
      <alignment horizontal="left" vertical="top" wrapText="1"/>
    </xf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Alignment="1">
      <alignment vertical="top"/>
    </xf>
    <xf numFmtId="0" fontId="2" fillId="0" borderId="0" xfId="1" applyFont="1" applyAlignment="1">
      <alignment vertical="top"/>
    </xf>
    <xf numFmtId="10" fontId="0" fillId="0" borderId="0" xfId="0" applyNumberFormat="1" applyAlignment="1">
      <alignment vertical="top"/>
    </xf>
    <xf numFmtId="49" fontId="2" fillId="0" borderId="0" xfId="0" applyNumberFormat="1" applyFont="1" applyBorder="1" applyAlignment="1" applyProtection="1">
      <alignment horizontal="center" vertical="top"/>
    </xf>
    <xf numFmtId="49" fontId="2" fillId="0" borderId="0" xfId="0" applyNumberFormat="1" applyFont="1" applyBorder="1" applyAlignment="1" applyProtection="1">
      <alignment horizontal="left" vertical="top"/>
    </xf>
    <xf numFmtId="49" fontId="2" fillId="0" borderId="0" xfId="0" applyNumberFormat="1" applyFont="1" applyBorder="1" applyAlignment="1" applyProtection="1">
      <alignment horizontal="left" vertical="top" wrapText="1"/>
    </xf>
    <xf numFmtId="0" fontId="2" fillId="0" borderId="6" xfId="0" applyFont="1" applyBorder="1" applyAlignment="1" applyProtection="1">
      <alignment vertical="top"/>
    </xf>
    <xf numFmtId="0" fontId="1" fillId="0" borderId="2" xfId="1" applyBorder="1" applyAlignment="1">
      <alignment vertical="top"/>
    </xf>
    <xf numFmtId="0" fontId="1" fillId="0" borderId="2" xfId="1" applyFont="1" applyBorder="1" applyAlignment="1">
      <alignment horizontal="center" vertical="top"/>
    </xf>
    <xf numFmtId="0" fontId="1" fillId="0" borderId="7" xfId="1" applyBorder="1" applyAlignment="1">
      <alignment vertical="top"/>
    </xf>
    <xf numFmtId="0" fontId="2" fillId="0" borderId="8" xfId="0" applyFont="1" applyBorder="1" applyAlignment="1" applyProtection="1">
      <alignment vertical="top"/>
    </xf>
    <xf numFmtId="0" fontId="1" fillId="0" borderId="9" xfId="1" applyBorder="1" applyAlignment="1">
      <alignment vertical="top"/>
    </xf>
    <xf numFmtId="0" fontId="1" fillId="0" borderId="10" xfId="1" applyBorder="1" applyAlignment="1">
      <alignment vertical="top"/>
    </xf>
    <xf numFmtId="0" fontId="2" fillId="0" borderId="3" xfId="0" applyFont="1" applyBorder="1" applyAlignment="1" applyProtection="1">
      <alignment vertical="top"/>
    </xf>
    <xf numFmtId="0" fontId="1" fillId="0" borderId="4" xfId="1" applyBorder="1" applyAlignment="1">
      <alignment vertical="top"/>
    </xf>
    <xf numFmtId="0" fontId="1" fillId="0" borderId="5" xfId="1" applyBorder="1" applyAlignment="1">
      <alignment vertical="top"/>
    </xf>
    <xf numFmtId="0" fontId="2" fillId="0" borderId="17" xfId="0" applyFont="1" applyBorder="1" applyAlignment="1" applyProtection="1">
      <alignment vertical="top"/>
    </xf>
    <xf numFmtId="0" fontId="1" fillId="0" borderId="18" xfId="1" applyFont="1" applyBorder="1" applyAlignment="1">
      <alignment horizontal="center" vertical="top"/>
    </xf>
    <xf numFmtId="0" fontId="1" fillId="0" borderId="19" xfId="1" applyBorder="1" applyAlignment="1">
      <alignment vertical="top"/>
    </xf>
    <xf numFmtId="0" fontId="2" fillId="0" borderId="20" xfId="0" applyFont="1" applyBorder="1" applyAlignment="1" applyProtection="1">
      <alignment vertical="top"/>
    </xf>
    <xf numFmtId="0" fontId="1" fillId="0" borderId="21" xfId="1" applyBorder="1" applyAlignment="1">
      <alignment vertical="top"/>
    </xf>
    <xf numFmtId="0" fontId="2" fillId="0" borderId="22" xfId="0" applyFont="1" applyBorder="1" applyAlignment="1" applyProtection="1">
      <alignment vertical="top"/>
    </xf>
    <xf numFmtId="0" fontId="1" fillId="0" borderId="23" xfId="1" applyFont="1" applyBorder="1" applyAlignment="1">
      <alignment horizontal="center" vertical="top"/>
    </xf>
    <xf numFmtId="0" fontId="1" fillId="0" borderId="24" xfId="1" applyBorder="1" applyAlignment="1">
      <alignment vertical="top"/>
    </xf>
    <xf numFmtId="0" fontId="1" fillId="0" borderId="17" xfId="1" applyBorder="1" applyAlignment="1">
      <alignment vertical="top"/>
    </xf>
    <xf numFmtId="0" fontId="1" fillId="0" borderId="20" xfId="1" applyBorder="1" applyAlignment="1">
      <alignment vertical="top"/>
    </xf>
    <xf numFmtId="0" fontId="1" fillId="0" borderId="22" xfId="1" applyBorder="1" applyAlignment="1">
      <alignment vertical="top"/>
    </xf>
    <xf numFmtId="49" fontId="1" fillId="0" borderId="17" xfId="1" applyNumberFormat="1" applyBorder="1" applyAlignment="1">
      <alignment horizontal="center" vertical="top"/>
    </xf>
    <xf numFmtId="49" fontId="1" fillId="0" borderId="19" xfId="1" applyNumberFormat="1" applyBorder="1" applyAlignment="1">
      <alignment horizontal="center" vertical="top"/>
    </xf>
    <xf numFmtId="49" fontId="1" fillId="0" borderId="20" xfId="1" applyNumberFormat="1" applyBorder="1" applyAlignment="1">
      <alignment horizontal="center" vertical="top"/>
    </xf>
    <xf numFmtId="49" fontId="1" fillId="0" borderId="21" xfId="1" applyNumberFormat="1" applyBorder="1" applyAlignment="1">
      <alignment horizontal="center" vertical="top"/>
    </xf>
    <xf numFmtId="49" fontId="1" fillId="0" borderId="22" xfId="1" applyNumberFormat="1" applyBorder="1" applyAlignment="1">
      <alignment horizontal="center" vertical="top"/>
    </xf>
    <xf numFmtId="49" fontId="1" fillId="0" borderId="24" xfId="1" applyNumberFormat="1" applyBorder="1" applyAlignment="1">
      <alignment horizontal="center" vertical="top"/>
    </xf>
    <xf numFmtId="0" fontId="1" fillId="0" borderId="32" xfId="1" applyBorder="1" applyAlignment="1">
      <alignment vertical="top"/>
    </xf>
    <xf numFmtId="0" fontId="1" fillId="0" borderId="33" xfId="1" applyBorder="1" applyAlignment="1">
      <alignment vertical="top"/>
    </xf>
    <xf numFmtId="0" fontId="1" fillId="0" borderId="33" xfId="0" applyFont="1" applyBorder="1" applyAlignment="1" applyProtection="1">
      <alignment horizontal="left" vertical="top"/>
    </xf>
    <xf numFmtId="0" fontId="1" fillId="0" borderId="34" xfId="1" applyBorder="1" applyAlignment="1">
      <alignment vertical="top"/>
    </xf>
    <xf numFmtId="0" fontId="0" fillId="0" borderId="37" xfId="0" applyBorder="1" applyAlignment="1">
      <alignment vertical="top"/>
    </xf>
    <xf numFmtId="0" fontId="2" fillId="0" borderId="35" xfId="0" applyFont="1" applyBorder="1" applyAlignment="1" applyProtection="1">
      <alignment horizontal="center" vertical="top"/>
    </xf>
    <xf numFmtId="164" fontId="6" fillId="0" borderId="4" xfId="0" applyNumberFormat="1" applyFont="1" applyBorder="1" applyAlignment="1" applyProtection="1">
      <alignment vertical="top"/>
    </xf>
    <xf numFmtId="164" fontId="6" fillId="0" borderId="2" xfId="0" applyNumberFormat="1" applyFont="1" applyBorder="1" applyAlignment="1" applyProtection="1">
      <alignment vertical="top"/>
    </xf>
    <xf numFmtId="0" fontId="6" fillId="0" borderId="2" xfId="1" applyFont="1" applyBorder="1" applyAlignment="1">
      <alignment vertical="top"/>
    </xf>
    <xf numFmtId="0" fontId="4" fillId="3" borderId="11" xfId="0" applyFont="1" applyFill="1" applyBorder="1" applyAlignment="1">
      <alignment horizontal="center" textRotation="45"/>
    </xf>
    <xf numFmtId="0" fontId="4" fillId="3" borderId="12" xfId="0" applyFont="1" applyFill="1" applyBorder="1" applyAlignment="1">
      <alignment horizontal="center" textRotation="45"/>
    </xf>
    <xf numFmtId="0" fontId="4" fillId="3" borderId="29" xfId="0" applyFont="1" applyFill="1" applyBorder="1" applyAlignment="1">
      <alignment horizontal="center" textRotation="45"/>
    </xf>
    <xf numFmtId="0" fontId="4" fillId="3" borderId="13" xfId="0" applyFont="1" applyFill="1" applyBorder="1" applyAlignment="1">
      <alignment horizontal="center" textRotation="45"/>
    </xf>
    <xf numFmtId="0" fontId="4" fillId="3" borderId="30" xfId="0" applyFont="1" applyFill="1" applyBorder="1" applyAlignment="1">
      <alignment horizontal="center" textRotation="45"/>
    </xf>
    <xf numFmtId="0" fontId="4" fillId="3" borderId="31" xfId="0" applyFont="1" applyFill="1" applyBorder="1" applyAlignment="1">
      <alignment horizontal="center" textRotation="45"/>
    </xf>
    <xf numFmtId="0" fontId="2" fillId="0" borderId="28" xfId="0" applyFont="1" applyBorder="1" applyAlignment="1" applyProtection="1">
      <alignment vertical="top"/>
    </xf>
    <xf numFmtId="0" fontId="2" fillId="3" borderId="39" xfId="0" applyFont="1" applyFill="1" applyBorder="1" applyAlignment="1" applyProtection="1">
      <alignment horizontal="center" vertical="top"/>
    </xf>
    <xf numFmtId="0" fontId="2" fillId="3" borderId="15" xfId="0" applyFont="1" applyFill="1" applyBorder="1" applyAlignment="1" applyProtection="1">
      <alignment vertical="top"/>
    </xf>
    <xf numFmtId="0" fontId="4" fillId="3" borderId="15" xfId="0" applyFont="1" applyFill="1" applyBorder="1" applyAlignment="1">
      <alignment vertical="top"/>
    </xf>
    <xf numFmtId="0" fontId="2" fillId="3" borderId="15" xfId="1" applyFont="1" applyFill="1" applyBorder="1" applyAlignment="1">
      <alignment vertical="top"/>
    </xf>
    <xf numFmtId="0" fontId="2" fillId="3" borderId="40" xfId="1" applyFont="1" applyFill="1" applyBorder="1" applyAlignment="1">
      <alignment vertical="top"/>
    </xf>
    <xf numFmtId="0" fontId="6" fillId="0" borderId="9" xfId="1" applyFont="1" applyBorder="1" applyAlignment="1">
      <alignment vertical="top"/>
    </xf>
    <xf numFmtId="0" fontId="1" fillId="0" borderId="17" xfId="0" applyFont="1" applyFill="1" applyBorder="1" applyAlignment="1" applyProtection="1">
      <alignment vertical="top"/>
    </xf>
    <xf numFmtId="0" fontId="1" fillId="0" borderId="18" xfId="0" applyFont="1" applyFill="1" applyBorder="1" applyAlignment="1" applyProtection="1">
      <alignment vertical="top"/>
    </xf>
    <xf numFmtId="0" fontId="5" fillId="0" borderId="18" xfId="0" applyFont="1" applyFill="1" applyBorder="1" applyAlignment="1" applyProtection="1">
      <alignment vertical="top"/>
    </xf>
    <xf numFmtId="0" fontId="1" fillId="0" borderId="20" xfId="0" applyFont="1" applyFill="1" applyBorder="1" applyAlignment="1" applyProtection="1">
      <alignment vertical="top"/>
    </xf>
    <xf numFmtId="0" fontId="1" fillId="0" borderId="2" xfId="0" applyFont="1" applyFill="1" applyBorder="1" applyAlignment="1" applyProtection="1">
      <alignment vertical="top"/>
    </xf>
    <xf numFmtId="0" fontId="5" fillId="0" borderId="2" xfId="0" applyFont="1" applyFill="1" applyBorder="1" applyAlignment="1" applyProtection="1">
      <alignment vertical="top"/>
    </xf>
    <xf numFmtId="0" fontId="1" fillId="0" borderId="22" xfId="0" applyFont="1" applyFill="1" applyBorder="1" applyAlignment="1" applyProtection="1">
      <alignment vertical="top"/>
    </xf>
    <xf numFmtId="0" fontId="1" fillId="0" borderId="23" xfId="0" applyFont="1" applyFill="1" applyBorder="1" applyAlignment="1" applyProtection="1">
      <alignment vertical="top"/>
    </xf>
    <xf numFmtId="0" fontId="5" fillId="0" borderId="23" xfId="0" applyFont="1" applyFill="1" applyBorder="1" applyAlignment="1" applyProtection="1">
      <alignment vertical="top"/>
    </xf>
    <xf numFmtId="164" fontId="1" fillId="0" borderId="17" xfId="0" applyNumberFormat="1" applyFont="1" applyFill="1" applyBorder="1" applyAlignment="1" applyProtection="1">
      <alignment vertical="top"/>
    </xf>
    <xf numFmtId="164" fontId="1" fillId="0" borderId="20" xfId="0" applyNumberFormat="1" applyFont="1" applyFill="1" applyBorder="1" applyAlignment="1" applyProtection="1">
      <alignment vertical="top"/>
    </xf>
    <xf numFmtId="164" fontId="9" fillId="0" borderId="20" xfId="0" applyNumberFormat="1" applyFont="1" applyFill="1" applyBorder="1" applyAlignment="1" applyProtection="1">
      <alignment vertical="top"/>
    </xf>
    <xf numFmtId="164" fontId="1" fillId="0" borderId="22" xfId="0" applyNumberFormat="1" applyFont="1" applyFill="1" applyBorder="1" applyAlignment="1" applyProtection="1">
      <alignment vertical="top"/>
    </xf>
    <xf numFmtId="0" fontId="0" fillId="0" borderId="2" xfId="0" applyFont="1" applyFill="1" applyBorder="1" applyAlignment="1" applyProtection="1">
      <alignment vertical="top"/>
    </xf>
    <xf numFmtId="164" fontId="10" fillId="0" borderId="27" xfId="0" applyNumberFormat="1" applyFont="1" applyFill="1" applyBorder="1" applyAlignment="1" applyProtection="1">
      <alignment horizontal="center" vertical="top"/>
    </xf>
    <xf numFmtId="164" fontId="10" fillId="0" borderId="6" xfId="0" applyNumberFormat="1" applyFont="1" applyFill="1" applyBorder="1" applyAlignment="1" applyProtection="1">
      <alignment horizontal="center" vertical="top"/>
    </xf>
    <xf numFmtId="164" fontId="9" fillId="0" borderId="6" xfId="0" applyNumberFormat="1" applyFont="1" applyFill="1" applyBorder="1" applyAlignment="1" applyProtection="1">
      <alignment horizontal="center" vertical="top"/>
    </xf>
    <xf numFmtId="164" fontId="10" fillId="0" borderId="28" xfId="0" applyNumberFormat="1" applyFont="1" applyFill="1" applyBorder="1" applyAlignment="1" applyProtection="1">
      <alignment horizontal="center" vertical="top"/>
    </xf>
    <xf numFmtId="0" fontId="10" fillId="0" borderId="27" xfId="0" applyNumberFormat="1" applyFont="1" applyFill="1" applyBorder="1" applyAlignment="1" applyProtection="1">
      <alignment vertical="top"/>
    </xf>
    <xf numFmtId="0" fontId="10" fillId="0" borderId="6" xfId="0" applyNumberFormat="1" applyFont="1" applyFill="1" applyBorder="1" applyAlignment="1" applyProtection="1">
      <alignment vertical="top"/>
    </xf>
    <xf numFmtId="0" fontId="9" fillId="0" borderId="6" xfId="0" applyNumberFormat="1" applyFont="1" applyFill="1" applyBorder="1" applyAlignment="1" applyProtection="1">
      <alignment vertical="top"/>
    </xf>
    <xf numFmtId="0" fontId="10" fillId="0" borderId="28" xfId="0" applyNumberFormat="1" applyFont="1" applyFill="1" applyBorder="1" applyAlignment="1" applyProtection="1">
      <alignment vertical="top"/>
    </xf>
    <xf numFmtId="0" fontId="2" fillId="0" borderId="27" xfId="0" applyFont="1" applyBorder="1" applyAlignment="1" applyProtection="1">
      <alignment vertical="top"/>
    </xf>
    <xf numFmtId="0" fontId="4" fillId="4" borderId="30" xfId="0" applyFont="1" applyFill="1" applyBorder="1" applyAlignment="1">
      <alignment horizontal="center" textRotation="45"/>
    </xf>
    <xf numFmtId="0" fontId="4" fillId="3" borderId="14" xfId="0" applyFont="1" applyFill="1" applyBorder="1" applyAlignment="1">
      <alignment horizontal="center" textRotation="45"/>
    </xf>
    <xf numFmtId="0" fontId="4" fillId="3" borderId="16" xfId="0" applyFont="1" applyFill="1" applyBorder="1" applyAlignment="1">
      <alignment horizontal="center" textRotation="45"/>
    </xf>
    <xf numFmtId="0" fontId="4" fillId="3" borderId="15" xfId="0" applyFont="1" applyFill="1" applyBorder="1" applyAlignment="1">
      <alignment horizontal="center" textRotation="45"/>
    </xf>
    <xf numFmtId="0" fontId="1" fillId="5" borderId="18" xfId="0" applyFont="1" applyFill="1" applyBorder="1" applyAlignment="1" applyProtection="1">
      <alignment horizontal="center" vertical="top"/>
    </xf>
    <xf numFmtId="0" fontId="1" fillId="5" borderId="18" xfId="1" applyFill="1" applyBorder="1" applyAlignment="1">
      <alignment horizontal="center" vertical="top"/>
    </xf>
    <xf numFmtId="0" fontId="1" fillId="5" borderId="25" xfId="1" applyFill="1" applyBorder="1" applyAlignment="1">
      <alignment horizontal="center" vertical="top"/>
    </xf>
    <xf numFmtId="0" fontId="1" fillId="5" borderId="2" xfId="0" applyFont="1" applyFill="1" applyBorder="1" applyAlignment="1" applyProtection="1">
      <alignment horizontal="center" vertical="top"/>
    </xf>
    <xf numFmtId="0" fontId="1" fillId="5" borderId="2" xfId="1" applyFill="1" applyBorder="1" applyAlignment="1">
      <alignment horizontal="center" vertical="top"/>
    </xf>
    <xf numFmtId="0" fontId="1" fillId="5" borderId="7" xfId="1" applyFill="1" applyBorder="1" applyAlignment="1">
      <alignment horizontal="center" vertical="top"/>
    </xf>
    <xf numFmtId="0" fontId="1" fillId="5" borderId="7" xfId="1" applyNumberFormat="1" applyFill="1" applyBorder="1" applyAlignment="1">
      <alignment horizontal="center" vertical="top"/>
    </xf>
    <xf numFmtId="0" fontId="1" fillId="5" borderId="23" xfId="0" applyFont="1" applyFill="1" applyBorder="1" applyAlignment="1" applyProtection="1">
      <alignment horizontal="center" vertical="top"/>
    </xf>
    <xf numFmtId="0" fontId="1" fillId="5" borderId="23" xfId="1" applyFill="1" applyBorder="1" applyAlignment="1">
      <alignment horizontal="center" vertical="top"/>
    </xf>
    <xf numFmtId="0" fontId="1" fillId="5" borderId="26" xfId="1" applyFill="1" applyBorder="1" applyAlignment="1">
      <alignment horizontal="center" vertical="top"/>
    </xf>
    <xf numFmtId="0" fontId="1" fillId="5" borderId="18" xfId="0" applyFont="1" applyFill="1" applyBorder="1" applyAlignment="1" applyProtection="1">
      <alignment vertical="top"/>
    </xf>
    <xf numFmtId="0" fontId="1" fillId="5" borderId="2" xfId="0" applyFont="1" applyFill="1" applyBorder="1" applyAlignment="1" applyProtection="1">
      <alignment vertical="top"/>
    </xf>
    <xf numFmtId="0" fontId="1" fillId="5" borderId="23" xfId="0" applyFont="1" applyFill="1" applyBorder="1" applyAlignment="1" applyProtection="1">
      <alignment vertical="top"/>
    </xf>
    <xf numFmtId="0" fontId="11" fillId="5" borderId="18" xfId="1" applyFont="1" applyFill="1" applyBorder="1" applyAlignment="1">
      <alignment vertical="top"/>
    </xf>
    <xf numFmtId="0" fontId="11" fillId="5" borderId="25" xfId="1" applyFont="1" applyFill="1" applyBorder="1" applyAlignment="1">
      <alignment vertical="top"/>
    </xf>
    <xf numFmtId="0" fontId="11" fillId="5" borderId="2" xfId="1" applyFont="1" applyFill="1" applyBorder="1" applyAlignment="1">
      <alignment vertical="top"/>
    </xf>
    <xf numFmtId="0" fontId="11" fillId="5" borderId="7" xfId="1" applyFont="1" applyFill="1" applyBorder="1" applyAlignment="1">
      <alignment vertical="top"/>
    </xf>
    <xf numFmtId="0" fontId="11" fillId="5" borderId="2" xfId="1" applyFont="1" applyFill="1" applyBorder="1"/>
    <xf numFmtId="0" fontId="11" fillId="5" borderId="7" xfId="1" applyFont="1" applyFill="1" applyBorder="1" applyAlignment="1">
      <alignment horizontal="right" vertical="top"/>
    </xf>
    <xf numFmtId="0" fontId="11" fillId="5" borderId="23" xfId="1" applyFont="1" applyFill="1" applyBorder="1" applyAlignment="1">
      <alignment vertical="top"/>
    </xf>
    <xf numFmtId="0" fontId="11" fillId="5" borderId="26" xfId="1" applyFont="1" applyFill="1" applyBorder="1" applyAlignment="1">
      <alignment vertical="top"/>
    </xf>
    <xf numFmtId="0" fontId="11" fillId="5" borderId="17" xfId="1" applyFont="1" applyFill="1" applyBorder="1" applyAlignment="1">
      <alignment horizontal="left" vertical="top"/>
    </xf>
    <xf numFmtId="0" fontId="11" fillId="5" borderId="19" xfId="1" applyFont="1" applyFill="1" applyBorder="1" applyAlignment="1">
      <alignment horizontal="left" vertical="top"/>
    </xf>
    <xf numFmtId="0" fontId="11" fillId="5" borderId="20" xfId="1" applyFont="1" applyFill="1" applyBorder="1" applyAlignment="1">
      <alignment horizontal="left" vertical="top"/>
    </xf>
    <xf numFmtId="0" fontId="11" fillId="5" borderId="21" xfId="1" applyFont="1" applyFill="1" applyBorder="1" applyAlignment="1">
      <alignment horizontal="left" vertical="top"/>
    </xf>
    <xf numFmtId="0" fontId="11" fillId="5" borderId="22" xfId="1" applyFont="1" applyFill="1" applyBorder="1" applyAlignment="1">
      <alignment horizontal="left" vertical="top"/>
    </xf>
    <xf numFmtId="0" fontId="11" fillId="5" borderId="24" xfId="1" applyFont="1" applyFill="1" applyBorder="1" applyAlignment="1">
      <alignment horizontal="left" vertical="top"/>
    </xf>
    <xf numFmtId="0" fontId="4" fillId="7" borderId="18" xfId="1" applyFont="1" applyFill="1" applyBorder="1" applyAlignment="1">
      <alignment horizontal="center" vertical="top"/>
    </xf>
    <xf numFmtId="0" fontId="4" fillId="7" borderId="19" xfId="1" applyFont="1" applyFill="1" applyBorder="1" applyAlignment="1">
      <alignment horizontal="center" vertical="top"/>
    </xf>
    <xf numFmtId="0" fontId="4" fillId="7" borderId="2" xfId="1" applyFont="1" applyFill="1" applyBorder="1" applyAlignment="1">
      <alignment horizontal="center" vertical="top"/>
    </xf>
    <xf numFmtId="0" fontId="4" fillId="7" borderId="21" xfId="1" applyFont="1" applyFill="1" applyBorder="1" applyAlignment="1">
      <alignment horizontal="center" vertical="top"/>
    </xf>
    <xf numFmtId="0" fontId="4" fillId="7" borderId="23" xfId="1" applyFont="1" applyFill="1" applyBorder="1" applyAlignment="1">
      <alignment horizontal="center" vertical="top"/>
    </xf>
    <xf numFmtId="0" fontId="4" fillId="7" borderId="24" xfId="1" applyFont="1" applyFill="1" applyBorder="1" applyAlignment="1">
      <alignment horizontal="center" vertical="top"/>
    </xf>
    <xf numFmtId="0" fontId="4" fillId="7" borderId="18" xfId="0" applyFont="1" applyFill="1" applyBorder="1" applyAlignment="1" applyProtection="1">
      <alignment horizontal="center" vertical="top"/>
    </xf>
    <xf numFmtId="0" fontId="4" fillId="7" borderId="2" xfId="0" applyFont="1" applyFill="1" applyBorder="1" applyAlignment="1" applyProtection="1">
      <alignment horizontal="center" vertical="top"/>
    </xf>
    <xf numFmtId="0" fontId="4" fillId="7" borderId="23" xfId="0" applyFont="1" applyFill="1" applyBorder="1" applyAlignment="1" applyProtection="1">
      <alignment horizontal="center" vertical="top"/>
    </xf>
    <xf numFmtId="0" fontId="2" fillId="7" borderId="27" xfId="1" applyFont="1" applyFill="1" applyBorder="1" applyAlignment="1">
      <alignment horizontal="center" vertical="top"/>
    </xf>
    <xf numFmtId="0" fontId="2" fillId="7" borderId="6" xfId="1" applyFont="1" applyFill="1" applyBorder="1" applyAlignment="1">
      <alignment horizontal="center" vertical="top"/>
    </xf>
    <xf numFmtId="0" fontId="2" fillId="7" borderId="28" xfId="1" applyFont="1" applyFill="1" applyBorder="1" applyAlignment="1">
      <alignment horizontal="center" vertical="top"/>
    </xf>
    <xf numFmtId="0" fontId="10" fillId="0" borderId="0" xfId="0" applyFont="1" applyAlignment="1">
      <alignment vertical="top"/>
    </xf>
    <xf numFmtId="49" fontId="10" fillId="0" borderId="0" xfId="0" applyNumberFormat="1" applyFont="1" applyAlignment="1">
      <alignment horizontal="center" vertical="top"/>
    </xf>
    <xf numFmtId="49" fontId="10" fillId="0" borderId="0" xfId="0" applyNumberFormat="1" applyFont="1" applyAlignment="1">
      <alignment horizontal="left" vertical="top"/>
    </xf>
    <xf numFmtId="0" fontId="10" fillId="0" borderId="0" xfId="0" applyFont="1"/>
    <xf numFmtId="0" fontId="10" fillId="0" borderId="0" xfId="0" applyFont="1" applyBorder="1" applyAlignment="1" applyProtection="1">
      <alignment vertical="top"/>
    </xf>
    <xf numFmtId="0" fontId="4" fillId="4" borderId="12" xfId="0" applyFont="1" applyFill="1" applyBorder="1" applyAlignment="1">
      <alignment horizontal="center" textRotation="45"/>
    </xf>
    <xf numFmtId="0" fontId="18" fillId="8" borderId="8" xfId="0" applyFont="1" applyFill="1" applyBorder="1" applyAlignment="1" applyProtection="1">
      <alignment vertical="top"/>
    </xf>
    <xf numFmtId="164" fontId="19" fillId="8" borderId="9" xfId="0" applyNumberFormat="1" applyFont="1" applyFill="1" applyBorder="1" applyAlignment="1" applyProtection="1">
      <alignment vertical="top"/>
    </xf>
    <xf numFmtId="0" fontId="20" fillId="8" borderId="9" xfId="1" applyFont="1" applyFill="1" applyBorder="1" applyAlignment="1">
      <alignment vertical="top"/>
    </xf>
    <xf numFmtId="0" fontId="20" fillId="8" borderId="10" xfId="1" applyFont="1" applyFill="1" applyBorder="1" applyAlignment="1">
      <alignment vertical="top"/>
    </xf>
    <xf numFmtId="0" fontId="20" fillId="0" borderId="0" xfId="0" applyFont="1"/>
    <xf numFmtId="164" fontId="1" fillId="9" borderId="17" xfId="0" applyNumberFormat="1" applyFont="1" applyFill="1" applyBorder="1" applyAlignment="1" applyProtection="1">
      <alignment vertical="top"/>
    </xf>
    <xf numFmtId="164" fontId="1" fillId="9" borderId="19" xfId="0" applyNumberFormat="1" applyFont="1" applyFill="1" applyBorder="1" applyAlignment="1" applyProtection="1">
      <alignment vertical="top"/>
    </xf>
    <xf numFmtId="164" fontId="1" fillId="9" borderId="20" xfId="0" applyNumberFormat="1" applyFont="1" applyFill="1" applyBorder="1" applyAlignment="1" applyProtection="1">
      <alignment vertical="top"/>
    </xf>
    <xf numFmtId="164" fontId="1" fillId="9" borderId="21" xfId="0" applyNumberFormat="1" applyFont="1" applyFill="1" applyBorder="1" applyAlignment="1" applyProtection="1">
      <alignment vertical="top"/>
    </xf>
    <xf numFmtId="164" fontId="1" fillId="9" borderId="22" xfId="0" applyNumberFormat="1" applyFont="1" applyFill="1" applyBorder="1" applyAlignment="1" applyProtection="1">
      <alignment vertical="top"/>
    </xf>
    <xf numFmtId="164" fontId="1" fillId="9" borderId="24" xfId="0" applyNumberFormat="1" applyFont="1" applyFill="1" applyBorder="1" applyAlignment="1" applyProtection="1">
      <alignment vertical="top"/>
    </xf>
    <xf numFmtId="164" fontId="1" fillId="9" borderId="18" xfId="0" applyNumberFormat="1" applyFont="1" applyFill="1" applyBorder="1" applyAlignment="1" applyProtection="1">
      <alignment horizontal="right" vertical="top"/>
    </xf>
    <xf numFmtId="164" fontId="1" fillId="9" borderId="19" xfId="0" applyNumberFormat="1" applyFont="1" applyFill="1" applyBorder="1" applyAlignment="1" applyProtection="1">
      <alignment horizontal="right" vertical="top"/>
    </xf>
    <xf numFmtId="164" fontId="1" fillId="9" borderId="2" xfId="0" applyNumberFormat="1" applyFont="1" applyFill="1" applyBorder="1" applyAlignment="1" applyProtection="1">
      <alignment horizontal="right" vertical="top"/>
    </xf>
    <xf numFmtId="164" fontId="1" fillId="9" borderId="21" xfId="0" applyNumberFormat="1" applyFont="1" applyFill="1" applyBorder="1" applyAlignment="1" applyProtection="1">
      <alignment horizontal="right" vertical="top"/>
    </xf>
    <xf numFmtId="164" fontId="0" fillId="9" borderId="2" xfId="0" applyNumberFormat="1" applyFont="1" applyFill="1" applyBorder="1" applyAlignment="1" applyProtection="1">
      <alignment horizontal="right" vertical="top"/>
    </xf>
    <xf numFmtId="164" fontId="1" fillId="9" borderId="23" xfId="0" applyNumberFormat="1" applyFont="1" applyFill="1" applyBorder="1" applyAlignment="1" applyProtection="1">
      <alignment horizontal="right" vertical="top"/>
    </xf>
    <xf numFmtId="164" fontId="1" fillId="9" borderId="24" xfId="0" applyNumberFormat="1" applyFont="1" applyFill="1" applyBorder="1" applyAlignment="1" applyProtection="1">
      <alignment horizontal="right" vertical="top"/>
    </xf>
    <xf numFmtId="164" fontId="1" fillId="9" borderId="18" xfId="0" applyNumberFormat="1" applyFont="1" applyFill="1" applyBorder="1" applyAlignment="1" applyProtection="1">
      <alignment vertical="top"/>
    </xf>
    <xf numFmtId="164" fontId="1" fillId="9" borderId="2" xfId="0" applyNumberFormat="1" applyFont="1" applyFill="1" applyBorder="1" applyAlignment="1" applyProtection="1">
      <alignment vertical="top"/>
    </xf>
    <xf numFmtId="164" fontId="1" fillId="9" borderId="23" xfId="0" applyNumberFormat="1" applyFont="1" applyFill="1" applyBorder="1" applyAlignment="1" applyProtection="1">
      <alignment vertical="top"/>
    </xf>
    <xf numFmtId="0" fontId="12" fillId="9" borderId="36" xfId="0" applyFont="1" applyFill="1" applyBorder="1" applyAlignment="1" applyProtection="1">
      <alignment horizontal="center" wrapText="1"/>
    </xf>
    <xf numFmtId="0" fontId="12" fillId="9" borderId="38" xfId="0" applyFont="1" applyFill="1" applyBorder="1" applyAlignment="1" applyProtection="1">
      <alignment horizontal="center" wrapText="1"/>
    </xf>
    <xf numFmtId="0" fontId="2" fillId="6" borderId="36" xfId="0" applyFont="1" applyFill="1" applyBorder="1" applyAlignment="1" applyProtection="1">
      <alignment horizontal="center"/>
    </xf>
    <xf numFmtId="0" fontId="2" fillId="6" borderId="37" xfId="0" applyFont="1" applyFill="1" applyBorder="1" applyAlignment="1" applyProtection="1">
      <alignment horizontal="center"/>
    </xf>
    <xf numFmtId="0" fontId="2" fillId="6" borderId="38" xfId="0" applyFont="1" applyFill="1" applyBorder="1" applyAlignment="1" applyProtection="1">
      <alignment horizontal="center"/>
    </xf>
    <xf numFmtId="0" fontId="17" fillId="0" borderId="1" xfId="0" applyFont="1" applyBorder="1" applyAlignment="1" applyProtection="1">
      <alignment horizontal="left" vertical="top" wrapText="1"/>
    </xf>
    <xf numFmtId="0" fontId="13" fillId="7" borderId="1" xfId="0" applyFont="1" applyFill="1" applyBorder="1" applyAlignment="1" applyProtection="1">
      <alignment horizontal="left" vertical="top" wrapText="1"/>
    </xf>
    <xf numFmtId="0" fontId="14" fillId="5" borderId="1" xfId="0" applyFont="1" applyFill="1" applyBorder="1" applyAlignment="1" applyProtection="1">
      <alignment horizontal="left" vertical="top" wrapText="1"/>
    </xf>
    <xf numFmtId="0" fontId="15" fillId="2" borderId="1" xfId="0" applyFont="1" applyFill="1" applyBorder="1" applyAlignment="1" applyProtection="1">
      <alignment horizontal="center" vertical="top"/>
    </xf>
    <xf numFmtId="0" fontId="12" fillId="9" borderId="37" xfId="0" applyFont="1" applyFill="1" applyBorder="1" applyAlignment="1" applyProtection="1">
      <alignment horizontal="center" wrapText="1"/>
    </xf>
    <xf numFmtId="0" fontId="2" fillId="0" borderId="36" xfId="0" applyFont="1" applyBorder="1" applyAlignment="1" applyProtection="1">
      <alignment vertical="top"/>
    </xf>
    <xf numFmtId="0" fontId="2" fillId="0" borderId="37" xfId="0" applyFont="1" applyBorder="1" applyAlignment="1" applyProtection="1">
      <alignment vertical="top"/>
    </xf>
    <xf numFmtId="0" fontId="2" fillId="0" borderId="0" xfId="0" applyFont="1" applyBorder="1" applyAlignment="1" applyProtection="1">
      <alignment vertical="top"/>
    </xf>
    <xf numFmtId="0" fontId="2" fillId="0" borderId="0" xfId="0" applyFont="1" applyBorder="1" applyAlignment="1" applyProtection="1">
      <alignment horizontal="center" vertical="top"/>
    </xf>
    <xf numFmtId="0" fontId="3" fillId="0" borderId="0" xfId="0" applyFont="1" applyAlignment="1">
      <alignment horizontal="center" vertical="top"/>
    </xf>
  </cellXfs>
  <cellStyles count="2">
    <cellStyle name="Explanatory Text" xfId="1" builtinId="53" customBuiltin="1"/>
    <cellStyle name="Normal" xfId="0" builtinId="0"/>
  </cellStyles>
  <dxfs count="14">
    <dxf>
      <alignment horizontal="general" vertical="top" textRotation="0" wrapText="0" indent="0" justifyLastLine="0" shrinkToFit="0" readingOrder="0"/>
      <border diagonalUp="0" diagonalDown="0">
        <left style="thin">
          <color theme="0" tint="-0.499984740745262"/>
        </left>
        <right/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0"/>
        <color rgb="FF000000"/>
        <name val="Sans"/>
        <scheme val="none"/>
      </font>
      <numFmt numFmtId="164" formatCode="0.000"/>
      <alignment horizontal="general" vertical="top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ans"/>
        <scheme val="none"/>
      </font>
      <alignment horizontal="general" vertical="top" textRotation="0" wrapText="0" indent="0" justifyLastLine="0" shrinkToFit="0" readingOrder="0"/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  <protection locked="1" hidden="0"/>
    </dxf>
    <dxf>
      <border outline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alignment horizontal="general" vertical="top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ans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CC"/>
      <rgbColor rgb="FFFFFF00"/>
      <rgbColor rgb="FFFF00FF"/>
      <rgbColor rgb="FF00FFFF"/>
      <rgbColor rgb="FF6619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FF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50E"/>
      <rgbColor rgb="FFFF6600"/>
      <rgbColor rgb="FF666699"/>
      <rgbColor rgb="FFCC996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Ore_Density" displayName="Ore_Density" ref="A8:J17" totalsRowShown="0" headerRowDxfId="13" dataDxfId="11" headerRowBorderDxfId="12" tableBorderDxfId="10" headerRowCellStyle="Explanatory Text" dataCellStyle="Explanatory Text">
  <autoFilter ref="A8:J17"/>
  <tableColumns count="10">
    <tableColumn id="1" name="Distribution Preset:" dataDxfId="9"/>
    <tableColumn id="2" name="Calc. Ores/Chunk" dataDxfId="8"/>
    <tableColumn id="3" name="Vein Frequency" dataDxfId="7" dataCellStyle="Explanatory Text"/>
    <tableColumn id="4" name="Motherlode Size" dataDxfId="6" dataCellStyle="Explanatory Text"/>
    <tableColumn id="5" name="Branch Length" dataDxfId="5" dataCellStyle="Explanatory Text"/>
    <tableColumn id="6" name="Segment Radius" dataDxfId="4" dataCellStyle="Explanatory Text"/>
    <tableColumn id="7" name="Cloud Frequency" dataDxfId="3" dataCellStyle="Explanatory Text"/>
    <tableColumn id="8" name="Cloud Radius" dataDxfId="2" dataCellStyle="Explanatory Text"/>
    <tableColumn id="9" name="Cloud Thickness" dataDxfId="1" dataCellStyle="Explanatory Text"/>
    <tableColumn id="10" name="Density" dataDxfId="0" dataCellStyle="Explanatory Tex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255"/>
  <sheetViews>
    <sheetView tabSelected="1" zoomScale="85" zoomScaleNormal="85" workbookViewId="0">
      <selection activeCell="A8" sqref="A8"/>
    </sheetView>
  </sheetViews>
  <sheetFormatPr defaultRowHeight="12.75"/>
  <cols>
    <col min="1" max="2" width="22.7109375" style="1" customWidth="1"/>
    <col min="3" max="3" width="19.5703125" style="2" customWidth="1"/>
    <col min="4" max="4" width="6.7109375" style="2" customWidth="1"/>
    <col min="5" max="5" width="13.7109375" style="2" customWidth="1"/>
    <col min="6" max="6" width="14.85546875" style="2" customWidth="1"/>
    <col min="7" max="12" width="8.7109375" style="2" customWidth="1"/>
    <col min="13" max="13" width="10.7109375" style="2" customWidth="1"/>
    <col min="14" max="15" width="8.7109375" style="2" customWidth="1"/>
    <col min="16" max="16" width="10.7109375" style="2" customWidth="1"/>
    <col min="17" max="33" width="8.7109375" style="2" customWidth="1"/>
    <col min="34" max="35" width="8.7109375" style="3" customWidth="1"/>
    <col min="36" max="36" width="10.42578125" style="3" bestFit="1" customWidth="1"/>
    <col min="37" max="37" width="15" style="3" bestFit="1" customWidth="1"/>
    <col min="38" max="38" width="83.5703125" style="4" bestFit="1" customWidth="1"/>
    <col min="39" max="39" width="96.5703125" style="4" customWidth="1"/>
    <col min="40" max="40" width="139.140625" style="4" customWidth="1"/>
    <col min="41" max="41" width="198.28515625" style="4" customWidth="1"/>
    <col min="42" max="42" width="82.140625" style="2" customWidth="1"/>
    <col min="43" max="43" width="22.28515625" style="2" customWidth="1"/>
  </cols>
  <sheetData>
    <row r="1" spans="1:43" ht="23.25">
      <c r="A1" s="168" t="s">
        <v>805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</row>
    <row r="2" spans="1:43" ht="50.1" customHeight="1">
      <c r="A2" s="166" t="s">
        <v>808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</row>
    <row r="3" spans="1:43" ht="50.1" customHeight="1">
      <c r="A3" s="167" t="s">
        <v>806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</row>
    <row r="4" spans="1:43" ht="50.1" customHeight="1">
      <c r="A4" s="165" t="s">
        <v>809</v>
      </c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</row>
    <row r="5" spans="1:43" ht="50.1" customHeight="1">
      <c r="A5" s="165" t="s">
        <v>807</v>
      </c>
      <c r="B5" s="165"/>
      <c r="C5" s="165"/>
      <c r="D5" s="165"/>
      <c r="E5" s="165"/>
      <c r="F5" s="165"/>
      <c r="G5" s="165"/>
      <c r="H5" s="165"/>
      <c r="I5" s="165"/>
      <c r="J5" s="165"/>
      <c r="K5" s="165"/>
      <c r="L5" s="165"/>
      <c r="M5" s="165"/>
    </row>
    <row r="6" spans="1:43" s="136" customFormat="1" ht="13.5" thickBot="1">
      <c r="A6" s="137" t="s">
        <v>15</v>
      </c>
      <c r="B6" s="137"/>
      <c r="C6" s="133" t="s">
        <v>16</v>
      </c>
      <c r="D6" s="133" t="s">
        <v>17</v>
      </c>
      <c r="E6" s="133" t="s">
        <v>18</v>
      </c>
      <c r="F6" s="133" t="s">
        <v>19</v>
      </c>
      <c r="G6" s="133" t="s">
        <v>20</v>
      </c>
      <c r="H6" s="133" t="s">
        <v>21</v>
      </c>
      <c r="I6" s="133" t="s">
        <v>22</v>
      </c>
      <c r="J6" s="133" t="s">
        <v>23</v>
      </c>
      <c r="K6" s="133" t="s">
        <v>24</v>
      </c>
      <c r="L6" s="133" t="s">
        <v>25</v>
      </c>
      <c r="M6" s="133"/>
      <c r="N6" s="133"/>
      <c r="O6" s="133"/>
      <c r="P6" s="133"/>
      <c r="Q6" s="133" t="s">
        <v>26</v>
      </c>
      <c r="R6" s="133" t="s">
        <v>5</v>
      </c>
      <c r="S6" s="133" t="s">
        <v>6</v>
      </c>
      <c r="T6" s="133" t="s">
        <v>7</v>
      </c>
      <c r="U6" s="133" t="s">
        <v>27</v>
      </c>
      <c r="V6" s="133" t="s">
        <v>757</v>
      </c>
      <c r="W6" s="133" t="s">
        <v>28</v>
      </c>
      <c r="X6" s="133" t="s">
        <v>29</v>
      </c>
      <c r="Y6" s="133" t="s">
        <v>30</v>
      </c>
      <c r="Z6" s="133" t="s">
        <v>31</v>
      </c>
      <c r="AA6" s="133" t="s">
        <v>32</v>
      </c>
      <c r="AB6" s="133" t="s">
        <v>33</v>
      </c>
      <c r="AC6" s="133" t="s">
        <v>34</v>
      </c>
      <c r="AD6" s="133"/>
      <c r="AE6" s="133" t="s">
        <v>35</v>
      </c>
      <c r="AF6" s="133" t="s">
        <v>36</v>
      </c>
      <c r="AG6" s="133" t="s">
        <v>37</v>
      </c>
      <c r="AH6" s="134" t="s">
        <v>38</v>
      </c>
      <c r="AI6" s="134" t="s">
        <v>39</v>
      </c>
      <c r="AJ6" s="134" t="s">
        <v>40</v>
      </c>
      <c r="AK6" s="134" t="s">
        <v>41</v>
      </c>
      <c r="AL6" s="135" t="s">
        <v>42</v>
      </c>
      <c r="AM6" s="135" t="s">
        <v>43</v>
      </c>
      <c r="AN6" s="135" t="s">
        <v>44</v>
      </c>
      <c r="AO6" s="135" t="s">
        <v>45</v>
      </c>
      <c r="AP6" s="133" t="s">
        <v>46</v>
      </c>
      <c r="AQ6" s="133"/>
    </row>
    <row r="7" spans="1:43" s="11" customFormat="1" ht="59.25" customHeight="1" thickBot="1">
      <c r="J7" s="160" t="s">
        <v>802</v>
      </c>
      <c r="K7" s="161"/>
      <c r="Q7" s="160" t="s">
        <v>803</v>
      </c>
      <c r="R7" s="169"/>
      <c r="S7" s="169"/>
      <c r="T7" s="161"/>
      <c r="V7" s="160" t="s">
        <v>804</v>
      </c>
      <c r="W7" s="161"/>
      <c r="X7" s="162" t="s">
        <v>14</v>
      </c>
      <c r="Y7" s="163"/>
      <c r="Z7" s="163"/>
      <c r="AA7" s="163"/>
      <c r="AB7" s="163"/>
      <c r="AC7" s="164"/>
      <c r="AE7" s="2"/>
      <c r="AF7" s="2"/>
      <c r="AH7" s="15"/>
      <c r="AI7" s="15"/>
      <c r="AJ7" s="15"/>
      <c r="AK7" s="15"/>
      <c r="AL7" s="16"/>
      <c r="AM7" s="16"/>
      <c r="AN7" s="17"/>
      <c r="AO7" s="17"/>
      <c r="AP7" s="7"/>
    </row>
    <row r="8" spans="1:43" s="11" customFormat="1" ht="126.75" thickTop="1" thickBot="1">
      <c r="A8" s="54" t="s">
        <v>758</v>
      </c>
      <c r="B8" s="90" t="s">
        <v>801</v>
      </c>
      <c r="C8" s="55" t="s">
        <v>759</v>
      </c>
      <c r="D8" s="55" t="s">
        <v>760</v>
      </c>
      <c r="E8" s="55" t="s">
        <v>761</v>
      </c>
      <c r="F8" s="55" t="s">
        <v>762</v>
      </c>
      <c r="G8" s="55" t="s">
        <v>763</v>
      </c>
      <c r="H8" s="55" t="s">
        <v>764</v>
      </c>
      <c r="I8" s="56" t="s">
        <v>765</v>
      </c>
      <c r="J8" s="91" t="s">
        <v>779</v>
      </c>
      <c r="K8" s="92" t="s">
        <v>780</v>
      </c>
      <c r="L8" s="54" t="s">
        <v>785</v>
      </c>
      <c r="M8" s="90" t="s">
        <v>788</v>
      </c>
      <c r="N8" s="90" t="s">
        <v>786</v>
      </c>
      <c r="O8" s="90" t="s">
        <v>787</v>
      </c>
      <c r="P8" s="90" t="s">
        <v>789</v>
      </c>
      <c r="Q8" s="93" t="s">
        <v>781</v>
      </c>
      <c r="R8" s="93" t="s">
        <v>782</v>
      </c>
      <c r="S8" s="93" t="s">
        <v>783</v>
      </c>
      <c r="T8" s="92" t="s">
        <v>784</v>
      </c>
      <c r="U8" s="54" t="s">
        <v>767</v>
      </c>
      <c r="V8" s="93" t="s">
        <v>768</v>
      </c>
      <c r="W8" s="92" t="s">
        <v>769</v>
      </c>
      <c r="X8" s="91" t="s">
        <v>770</v>
      </c>
      <c r="Y8" s="93" t="s">
        <v>771</v>
      </c>
      <c r="Z8" s="93" t="s">
        <v>772</v>
      </c>
      <c r="AA8" s="93" t="s">
        <v>773</v>
      </c>
      <c r="AB8" s="93" t="s">
        <v>774</v>
      </c>
      <c r="AC8" s="93" t="s">
        <v>775</v>
      </c>
      <c r="AD8" s="138" t="s">
        <v>791</v>
      </c>
      <c r="AE8" s="55" t="s">
        <v>776</v>
      </c>
      <c r="AF8" s="55" t="s">
        <v>777</v>
      </c>
      <c r="AG8" s="57" t="s">
        <v>778</v>
      </c>
      <c r="AH8" s="54" t="s">
        <v>793</v>
      </c>
      <c r="AI8" s="57" t="s">
        <v>794</v>
      </c>
      <c r="AJ8" s="58" t="s">
        <v>792</v>
      </c>
      <c r="AK8" s="55" t="s">
        <v>795</v>
      </c>
      <c r="AL8" s="55" t="s">
        <v>796</v>
      </c>
      <c r="AM8" s="56" t="s">
        <v>797</v>
      </c>
      <c r="AN8" s="54" t="s">
        <v>798</v>
      </c>
      <c r="AO8" s="57" t="s">
        <v>799</v>
      </c>
      <c r="AP8" s="59" t="s">
        <v>800</v>
      </c>
    </row>
    <row r="9" spans="1:43" s="7" customFormat="1" ht="14.25" thickTop="1">
      <c r="A9" s="28" t="s">
        <v>99</v>
      </c>
      <c r="B9" s="89"/>
      <c r="C9" s="104" t="s">
        <v>100</v>
      </c>
      <c r="D9" s="94" t="s">
        <v>59</v>
      </c>
      <c r="E9" s="95" t="s">
        <v>60</v>
      </c>
      <c r="F9" s="96" t="s">
        <v>61</v>
      </c>
      <c r="G9" s="36">
        <f>$H9*$I9/2</f>
        <v>30</v>
      </c>
      <c r="H9" s="121">
        <v>4</v>
      </c>
      <c r="I9" s="122">
        <v>15</v>
      </c>
      <c r="J9" s="144">
        <f>$H9/2</f>
        <v>2</v>
      </c>
      <c r="K9" s="145">
        <f>$I9/2</f>
        <v>7.5</v>
      </c>
      <c r="L9" s="76">
        <f>$G9/VLOOKUP($E9,Ore_Density[],2,FALSE)/Vanilla_COG_Divisor</f>
        <v>11.256664451905428</v>
      </c>
      <c r="M9" s="81" t="str">
        <f>IF(OR($E9="Layered Veins",$E9="Small Deposits",$E9="Geode"),"Motherlode",IF(OR($E9="Pipe Veins",$E9="Sparse Veins",$E9="Vertical Veins"),"No","ERROR"))</f>
        <v>No</v>
      </c>
      <c r="N9" s="85">
        <v>1</v>
      </c>
      <c r="O9" s="85">
        <v>1</v>
      </c>
      <c r="P9" s="81" t="str">
        <f>IF(OR($E9="Layered Veins",$E9="Pipe Veins",$E9="Sparse Veins"),"Branches",IF($E9="Vertical Veins","Vertical","none"))</f>
        <v>Branches</v>
      </c>
      <c r="Q9" s="150">
        <f>SQRT($L9)*$N9</f>
        <v>3.3550952969931314</v>
      </c>
      <c r="R9" s="150" t="str">
        <f>IF($M9="Motherlode",(($O9*SQRT($L9))^(1/2))^(1/3),"none")</f>
        <v>none</v>
      </c>
      <c r="S9" s="150">
        <f>IF($P9="Branches",SQRT($L9)^(1/2),IF($P9="Vertical","default",$P9))</f>
        <v>1.8316919219653538</v>
      </c>
      <c r="T9" s="151">
        <f>IF($P9="Branches",SQRT(SQRT($L9))^(1/2),IF($P9="Vertical",SQRT($L9)^(1/2),"none"))</f>
        <v>1.3534001337244481</v>
      </c>
      <c r="U9" s="76">
        <f>$G9/VLOOKUP($F9,Ore_Density[],2,FALSE)/Vanilla_COG_Divisor</f>
        <v>2.4489795918367347</v>
      </c>
      <c r="V9" s="157">
        <f>SQRT($U9)</f>
        <v>1.5649215928719031</v>
      </c>
      <c r="W9" s="145">
        <f>SQRT(SQRT($U9))</f>
        <v>1.2509682621361355</v>
      </c>
      <c r="X9" s="67">
        <f>$Y9+$AB9</f>
        <v>43</v>
      </c>
      <c r="Y9" s="68">
        <f>($AC9-$AB9)/2</f>
        <v>26</v>
      </c>
      <c r="Z9" s="68">
        <f>$AA9+$AB9</f>
        <v>47.75</v>
      </c>
      <c r="AA9" s="69">
        <f>($AG9-$AB9)/2</f>
        <v>30.75</v>
      </c>
      <c r="AB9" s="127">
        <v>17</v>
      </c>
      <c r="AC9" s="127">
        <v>69</v>
      </c>
      <c r="AD9" s="127"/>
      <c r="AE9" s="68">
        <f>IF($AD9="No",0,IF($AJ9="overworld",IF($X9&lt;64,64+($X9*3),0),0))</f>
        <v>193</v>
      </c>
      <c r="AF9" s="68">
        <f>IF($AD9="No",0,IF($AJ9="Overworld",IF($X9&lt;64,($Y9*3),0),0))</f>
        <v>78</v>
      </c>
      <c r="AG9" s="30">
        <f>IF($AC9&gt;64,64+(($AC9-64)*2.9),$AC9)</f>
        <v>78.5</v>
      </c>
      <c r="AH9" s="39" t="s">
        <v>101</v>
      </c>
      <c r="AI9" s="40"/>
      <c r="AJ9" s="130" t="s">
        <v>53</v>
      </c>
      <c r="AK9" s="29" t="str">
        <f>IF($X9&gt;64,"uniform",IF($AJ9="Overworld","normal","uniform"))</f>
        <v>normal</v>
      </c>
      <c r="AL9" s="107" t="s">
        <v>102</v>
      </c>
      <c r="AM9" s="108" t="s">
        <v>64</v>
      </c>
      <c r="AN9" s="115" t="s">
        <v>103</v>
      </c>
      <c r="AO9" s="116" t="s">
        <v>104</v>
      </c>
      <c r="AP9" s="45"/>
    </row>
    <row r="10" spans="1:43" s="7" customFormat="1" ht="13.5">
      <c r="A10" s="31" t="s">
        <v>105</v>
      </c>
      <c r="B10" s="18"/>
      <c r="C10" s="105" t="s">
        <v>112</v>
      </c>
      <c r="D10" s="97" t="s">
        <v>59</v>
      </c>
      <c r="E10" s="98" t="s">
        <v>60</v>
      </c>
      <c r="F10" s="99" t="s">
        <v>61</v>
      </c>
      <c r="G10" s="37">
        <f>$H10*$I10/2</f>
        <v>24</v>
      </c>
      <c r="H10" s="123">
        <v>6</v>
      </c>
      <c r="I10" s="124">
        <v>8</v>
      </c>
      <c r="J10" s="146">
        <f>$H10/2</f>
        <v>3</v>
      </c>
      <c r="K10" s="147">
        <f>$I10/2</f>
        <v>4</v>
      </c>
      <c r="L10" s="77">
        <f>$G10/VLOOKUP($E10,Ore_Density[],2,FALSE)/Vanilla_COG_Divisor</f>
        <v>9.0053315615243417</v>
      </c>
      <c r="M10" s="82" t="str">
        <f>IF(OR($E10="Layered Veins",$E10="Small Deposits",$E10="Geode"),"Motherlode",IF(OR($E10="Pipe Veins",$E10="Sparse Veins",$E10="Vertical Veins"),"No","ERROR"))</f>
        <v>No</v>
      </c>
      <c r="N10" s="86">
        <v>1</v>
      </c>
      <c r="O10" s="86">
        <v>1</v>
      </c>
      <c r="P10" s="82" t="str">
        <f>IF(OR($E10="Layered Veins",$E10="Pipe Veins",$E10="Sparse Veins"),"Branches",IF($E10="Vertical Veins","Vertical","none"))</f>
        <v>Branches</v>
      </c>
      <c r="Q10" s="152">
        <f>SQRT($L10)*$N10</f>
        <v>3.000888462026595</v>
      </c>
      <c r="R10" s="152" t="str">
        <f>IF($M10="Motherlode",(($O10*SQRT($L10))^(1/2))^(1/3),"none")</f>
        <v>none</v>
      </c>
      <c r="S10" s="152">
        <f>IF($P10="Branches",SQRT($L10)^(1/2),IF($P10="Vertical","default",$P10))</f>
        <v>1.7323072654776333</v>
      </c>
      <c r="T10" s="153">
        <f>IF($P10="Branches",SQRT(SQRT($L10))^(1/2),IF($P10="Vertical",SQRT($L10)^(1/2),"none"))</f>
        <v>1.3161714422816024</v>
      </c>
      <c r="U10" s="77">
        <f>$G10/VLOOKUP($F10,Ore_Density[],2,FALSE)/Vanilla_COG_Divisor</f>
        <v>1.9591836734693877</v>
      </c>
      <c r="V10" s="158">
        <f>SQRT($U10)</f>
        <v>1.3997084244475304</v>
      </c>
      <c r="W10" s="147">
        <f>SQRT(SQRT($U10))</f>
        <v>1.1830927370445354</v>
      </c>
      <c r="X10" s="70">
        <f>$Y10+$AB10</f>
        <v>45</v>
      </c>
      <c r="Y10" s="71">
        <f>($AC10-$AB10)/2</f>
        <v>35</v>
      </c>
      <c r="Z10" s="71">
        <f>$AA10+$AB10</f>
        <v>60.2</v>
      </c>
      <c r="AA10" s="72">
        <f>($AG10-$AB10)/2</f>
        <v>50.2</v>
      </c>
      <c r="AB10" s="128">
        <v>10</v>
      </c>
      <c r="AC10" s="128">
        <v>80</v>
      </c>
      <c r="AD10" s="128"/>
      <c r="AE10" s="71">
        <f>IF($AD10="No",0,IF($AJ10="overworld",IF($X10&lt;64,64+($X10*3),0),0))</f>
        <v>199</v>
      </c>
      <c r="AF10" s="71">
        <f>IF($AD10="No",0,IF($AJ10="Overworld",IF($X10&lt;64,($Y10*3),0),0))</f>
        <v>105</v>
      </c>
      <c r="AG10" s="32">
        <f>IF($AC10&gt;64,64+(($AC10-64)*2.9),$AC10)</f>
        <v>110.4</v>
      </c>
      <c r="AH10" s="41" t="s">
        <v>113</v>
      </c>
      <c r="AI10" s="42"/>
      <c r="AJ10" s="131" t="s">
        <v>53</v>
      </c>
      <c r="AK10" s="20" t="str">
        <f>IF($X10&gt;64,"uniform",IF($AJ10="Overworld","normal","uniform"))</f>
        <v>normal</v>
      </c>
      <c r="AL10" s="109" t="s">
        <v>114</v>
      </c>
      <c r="AM10" s="110" t="s">
        <v>64</v>
      </c>
      <c r="AN10" s="117"/>
      <c r="AO10" s="118" t="s">
        <v>56</v>
      </c>
      <c r="AP10" s="47"/>
    </row>
    <row r="11" spans="1:43" s="7" customFormat="1" ht="13.5">
      <c r="A11" s="31" t="s">
        <v>105</v>
      </c>
      <c r="B11" s="18"/>
      <c r="C11" s="105" t="s">
        <v>109</v>
      </c>
      <c r="D11" s="97" t="s">
        <v>59</v>
      </c>
      <c r="E11" s="98" t="s">
        <v>60</v>
      </c>
      <c r="F11" s="99" t="s">
        <v>61</v>
      </c>
      <c r="G11" s="37">
        <f>$H11*$I11/2</f>
        <v>24</v>
      </c>
      <c r="H11" s="123">
        <v>6</v>
      </c>
      <c r="I11" s="124">
        <v>8</v>
      </c>
      <c r="J11" s="146">
        <f>$H11/2</f>
        <v>3</v>
      </c>
      <c r="K11" s="147">
        <f>$I11/2</f>
        <v>4</v>
      </c>
      <c r="L11" s="77">
        <f>$G11/VLOOKUP($E11,Ore_Density[],2,FALSE)/Vanilla_COG_Divisor</f>
        <v>9.0053315615243417</v>
      </c>
      <c r="M11" s="82" t="str">
        <f>IF(OR($E11="Layered Veins",$E11="Small Deposits",$E11="Geode"),"Motherlode",IF(OR($E11="Pipe Veins",$E11="Sparse Veins",$E11="Vertical Veins"),"No","ERROR"))</f>
        <v>No</v>
      </c>
      <c r="N11" s="86">
        <v>1</v>
      </c>
      <c r="O11" s="86">
        <v>1</v>
      </c>
      <c r="P11" s="82" t="str">
        <f>IF(OR($E11="Layered Veins",$E11="Pipe Veins",$E11="Sparse Veins"),"Branches",IF($E11="Vertical Veins","Vertical","none"))</f>
        <v>Branches</v>
      </c>
      <c r="Q11" s="152">
        <f>SQRT($L11)*$N11</f>
        <v>3.000888462026595</v>
      </c>
      <c r="R11" s="152" t="str">
        <f>IF($M11="Motherlode",(($O11*SQRT($L11))^(1/2))^(1/3),"none")</f>
        <v>none</v>
      </c>
      <c r="S11" s="152">
        <f>IF($P11="Branches",SQRT($L11)^(1/2),IF($P11="Vertical","default",$P11))</f>
        <v>1.7323072654776333</v>
      </c>
      <c r="T11" s="153">
        <f>IF($P11="Branches",SQRT(SQRT($L11))^(1/2),IF($P11="Vertical",SQRT($L11)^(1/2),"none"))</f>
        <v>1.3161714422816024</v>
      </c>
      <c r="U11" s="77">
        <f>$G11/VLOOKUP($F11,Ore_Density[],2,FALSE)/Vanilla_COG_Divisor</f>
        <v>1.9591836734693877</v>
      </c>
      <c r="V11" s="158">
        <f>SQRT($U11)</f>
        <v>1.3997084244475304</v>
      </c>
      <c r="W11" s="147">
        <f>SQRT(SQRT($U11))</f>
        <v>1.1830927370445354</v>
      </c>
      <c r="X11" s="70">
        <f>$Y11+$AB11</f>
        <v>45</v>
      </c>
      <c r="Y11" s="71">
        <f>($AC11-$AB11)/2</f>
        <v>35</v>
      </c>
      <c r="Z11" s="71">
        <f>$AA11+$AB11</f>
        <v>60.2</v>
      </c>
      <c r="AA11" s="72">
        <f>($AG11-$AB11)/2</f>
        <v>50.2</v>
      </c>
      <c r="AB11" s="128">
        <v>10</v>
      </c>
      <c r="AC11" s="128">
        <v>80</v>
      </c>
      <c r="AD11" s="128"/>
      <c r="AE11" s="71">
        <f>IF($AD11="No",0,IF($AJ11="overworld",IF($X11&lt;64,64+($X11*3),0),0))</f>
        <v>199</v>
      </c>
      <c r="AF11" s="71">
        <f>IF($AD11="No",0,IF($AJ11="Overworld",IF($X11&lt;64,($Y11*3),0),0))</f>
        <v>105</v>
      </c>
      <c r="AG11" s="32">
        <f>IF($AC11&gt;64,64+(($AC11-64)*2.9),$AC11)</f>
        <v>110.4</v>
      </c>
      <c r="AH11" s="41" t="s">
        <v>110</v>
      </c>
      <c r="AI11" s="42"/>
      <c r="AJ11" s="131" t="s">
        <v>53</v>
      </c>
      <c r="AK11" s="20" t="str">
        <f>IF($X11&gt;64,"uniform",IF($AJ11="Overworld","normal","uniform"))</f>
        <v>normal</v>
      </c>
      <c r="AL11" s="109" t="s">
        <v>111</v>
      </c>
      <c r="AM11" s="110" t="s">
        <v>64</v>
      </c>
      <c r="AN11" s="117"/>
      <c r="AO11" s="118" t="s">
        <v>56</v>
      </c>
      <c r="AP11" s="46"/>
    </row>
    <row r="12" spans="1:43" s="7" customFormat="1" ht="13.5">
      <c r="A12" s="31" t="s">
        <v>105</v>
      </c>
      <c r="B12" s="18"/>
      <c r="C12" s="105" t="s">
        <v>106</v>
      </c>
      <c r="D12" s="97" t="s">
        <v>59</v>
      </c>
      <c r="E12" s="98" t="s">
        <v>60</v>
      </c>
      <c r="F12" s="99" t="s">
        <v>61</v>
      </c>
      <c r="G12" s="37">
        <f>$H12*$I12/2</f>
        <v>12</v>
      </c>
      <c r="H12" s="123">
        <v>4</v>
      </c>
      <c r="I12" s="124">
        <v>6</v>
      </c>
      <c r="J12" s="146">
        <f>$H12/2</f>
        <v>2</v>
      </c>
      <c r="K12" s="147">
        <f>$I12/2</f>
        <v>3</v>
      </c>
      <c r="L12" s="77">
        <f>$G12/VLOOKUP($E12,Ore_Density[],2,FALSE)/Vanilla_COG_Divisor</f>
        <v>4.5026657807621708</v>
      </c>
      <c r="M12" s="82" t="str">
        <f>IF(OR($E12="Layered Veins",$E12="Small Deposits",$E12="Geode"),"Motherlode",IF(OR($E12="Pipe Veins",$E12="Sparse Veins",$E12="Vertical Veins"),"No","ERROR"))</f>
        <v>No</v>
      </c>
      <c r="N12" s="86">
        <v>1</v>
      </c>
      <c r="O12" s="86">
        <v>1</v>
      </c>
      <c r="P12" s="82" t="str">
        <f>IF(OR($E12="Layered Veins",$E12="Pipe Veins",$E12="Sparse Veins"),"Branches",IF($E12="Vertical Veins","Vertical","none"))</f>
        <v>Branches</v>
      </c>
      <c r="Q12" s="152">
        <f>SQRT($L12)*$N12</f>
        <v>2.1219485810834744</v>
      </c>
      <c r="R12" s="152" t="str">
        <f>IF($M12="Motherlode",(($O12*SQRT($L12))^(1/2))^(1/3),"none")</f>
        <v>none</v>
      </c>
      <c r="S12" s="152">
        <f>IF($P12="Branches",SQRT($L12)^(1/2),IF($P12="Vertical","default",$P12))</f>
        <v>1.4566909696581065</v>
      </c>
      <c r="T12" s="153">
        <f>IF($P12="Branches",SQRT(SQRT($L12))^(1/2),IF($P12="Vertical",SQRT($L12)^(1/2),"none"))</f>
        <v>1.2069345341227529</v>
      </c>
      <c r="U12" s="77">
        <f>$G12/VLOOKUP($F12,Ore_Density[],2,FALSE)/Vanilla_COG_Divisor</f>
        <v>0.97959183673469385</v>
      </c>
      <c r="V12" s="158">
        <f>SQRT($U12)</f>
        <v>0.98974331861078702</v>
      </c>
      <c r="W12" s="147">
        <f>SQRT(SQRT($U12))</f>
        <v>0.99485844149345537</v>
      </c>
      <c r="X12" s="70">
        <f>$Y12+$AB12</f>
        <v>27.5</v>
      </c>
      <c r="Y12" s="71">
        <f>($AC12-$AB12)/2</f>
        <v>17.5</v>
      </c>
      <c r="Z12" s="71">
        <f>$AA12+$AB12</f>
        <v>27.5</v>
      </c>
      <c r="AA12" s="72">
        <f>($AG12-$AB12)/2</f>
        <v>17.5</v>
      </c>
      <c r="AB12" s="128">
        <v>10</v>
      </c>
      <c r="AC12" s="128">
        <v>45</v>
      </c>
      <c r="AD12" s="128"/>
      <c r="AE12" s="71">
        <f>IF($AD12="No",0,IF($AJ12="overworld",IF($X12&lt;64,64+($X12*3),0),0))</f>
        <v>146.5</v>
      </c>
      <c r="AF12" s="71">
        <f>IF($AD12="No",0,IF($AJ12="Overworld",IF($X12&lt;64,($Y12*3),0),0))</f>
        <v>52.5</v>
      </c>
      <c r="AG12" s="32">
        <f>IF($AC12&gt;64,64+(($AC12-64)*2.9),$AC12)</f>
        <v>45</v>
      </c>
      <c r="AH12" s="41" t="s">
        <v>107</v>
      </c>
      <c r="AI12" s="42"/>
      <c r="AJ12" s="131" t="s">
        <v>53</v>
      </c>
      <c r="AK12" s="20" t="str">
        <f>IF($X12&gt;64,"uniform",IF($AJ12="Overworld","normal","uniform"))</f>
        <v>normal</v>
      </c>
      <c r="AL12" s="109" t="s">
        <v>108</v>
      </c>
      <c r="AM12" s="110" t="s">
        <v>64</v>
      </c>
      <c r="AN12" s="117"/>
      <c r="AO12" s="118" t="s">
        <v>56</v>
      </c>
      <c r="AP12" s="46"/>
    </row>
    <row r="13" spans="1:43" s="7" customFormat="1" ht="13.5">
      <c r="A13" s="31" t="s">
        <v>115</v>
      </c>
      <c r="B13" s="18"/>
      <c r="C13" s="105" t="s">
        <v>151</v>
      </c>
      <c r="D13" s="97" t="s">
        <v>59</v>
      </c>
      <c r="E13" s="98" t="s">
        <v>79</v>
      </c>
      <c r="F13" s="99" t="s">
        <v>61</v>
      </c>
      <c r="G13" s="37">
        <f>$H13*$I13/2</f>
        <v>0.5</v>
      </c>
      <c r="H13" s="123">
        <v>1</v>
      </c>
      <c r="I13" s="124">
        <v>1</v>
      </c>
      <c r="J13" s="146">
        <f>$H13/2</f>
        <v>0.5</v>
      </c>
      <c r="K13" s="147">
        <f>$I13/2</f>
        <v>0.5</v>
      </c>
      <c r="L13" s="77">
        <f>$G13/VLOOKUP($E13,Ore_Density[],2,FALSE)/Vanilla_COG_Divisor</f>
        <v>7.2886178378251051E-2</v>
      </c>
      <c r="M13" s="82" t="str">
        <f>IF(OR($E13="Layered Veins",$E13="Small Deposits",$E13="Geode"),"Motherlode",IF(OR($E13="Pipe Veins",$E13="Sparse Veins",$E13="Vertical Veins"),"No","ERROR"))</f>
        <v>No</v>
      </c>
      <c r="N13" s="86">
        <v>1</v>
      </c>
      <c r="O13" s="86">
        <v>1</v>
      </c>
      <c r="P13" s="82" t="str">
        <f>IF(OR($E13="Layered Veins",$E13="Pipe Veins",$E13="Sparse Veins"),"Branches",IF($E13="Vertical Veins","Vertical","none"))</f>
        <v>Branches</v>
      </c>
      <c r="Q13" s="152">
        <f>SQRT($L13)*$N13</f>
        <v>0.26997440319084148</v>
      </c>
      <c r="R13" s="152" t="str">
        <f>IF($M13="Motherlode",(($O13*SQRT($L13))^(1/2))^(1/3),"none")</f>
        <v>none</v>
      </c>
      <c r="S13" s="152">
        <f>IF($P13="Branches",SQRT($L13)^(1/2),IF($P13="Vertical","default",$P13))</f>
        <v>0.51959061114577643</v>
      </c>
      <c r="T13" s="153">
        <f>IF($P13="Branches",SQRT(SQRT($L13))^(1/2),IF($P13="Vertical",SQRT($L13)^(1/2),"none"))</f>
        <v>0.72082633910379301</v>
      </c>
      <c r="U13" s="77">
        <f>$G13/VLOOKUP($F13,Ore_Density[],2,FALSE)/Vanilla_COG_Divisor</f>
        <v>4.0816326530612242E-2</v>
      </c>
      <c r="V13" s="158">
        <f>SQRT($U13)</f>
        <v>0.20203050891044214</v>
      </c>
      <c r="W13" s="147">
        <f>SQRT(SQRT($U13))</f>
        <v>0.4494780405208269</v>
      </c>
      <c r="X13" s="70">
        <f>$Y13+$AB13</f>
        <v>19</v>
      </c>
      <c r="Y13" s="71">
        <f>($AC13-$AB13)/2</f>
        <v>13</v>
      </c>
      <c r="Z13" s="71">
        <f>$AA13+$AB13</f>
        <v>19</v>
      </c>
      <c r="AA13" s="72">
        <f>($AG13-$AB13)/2</f>
        <v>13</v>
      </c>
      <c r="AB13" s="128">
        <v>6</v>
      </c>
      <c r="AC13" s="128">
        <v>32</v>
      </c>
      <c r="AD13" s="128" t="s">
        <v>790</v>
      </c>
      <c r="AE13" s="71">
        <f>IF($AD13="No",0,IF($AJ13="overworld",IF($X13&lt;64,64+($X13*3),0),0))</f>
        <v>0</v>
      </c>
      <c r="AF13" s="71">
        <f>IF($AD13="No",0,IF($AJ13="Overworld",IF($X13&lt;64,($Y13*3),0),0))</f>
        <v>0</v>
      </c>
      <c r="AG13" s="32">
        <f>IF($AC13&gt;64,64+(($AC13-64)*2.9),$AC13)</f>
        <v>32</v>
      </c>
      <c r="AH13" s="41" t="s">
        <v>152</v>
      </c>
      <c r="AI13" s="42" t="s">
        <v>153</v>
      </c>
      <c r="AJ13" s="131" t="s">
        <v>53</v>
      </c>
      <c r="AK13" s="20" t="str">
        <f>IF($X13&gt;64,"uniform",IF($AJ13="Overworld","normal","uniform"))</f>
        <v>normal</v>
      </c>
      <c r="AL13" s="109" t="s">
        <v>154</v>
      </c>
      <c r="AM13" s="110" t="s">
        <v>64</v>
      </c>
      <c r="AN13" s="117" t="s">
        <v>155</v>
      </c>
      <c r="AO13" s="118"/>
      <c r="AP13" s="46"/>
    </row>
    <row r="14" spans="1:43" s="7" customFormat="1" ht="13.5">
      <c r="A14" s="31" t="s">
        <v>115</v>
      </c>
      <c r="B14" s="18"/>
      <c r="C14" s="105" t="s">
        <v>116</v>
      </c>
      <c r="D14" s="97" t="s">
        <v>59</v>
      </c>
      <c r="E14" s="98" t="s">
        <v>79</v>
      </c>
      <c r="F14" s="99" t="s">
        <v>61</v>
      </c>
      <c r="G14" s="37">
        <f>$H14*$I14/2</f>
        <v>0.5</v>
      </c>
      <c r="H14" s="123">
        <v>1</v>
      </c>
      <c r="I14" s="124">
        <v>1</v>
      </c>
      <c r="J14" s="146">
        <f>$H14/2</f>
        <v>0.5</v>
      </c>
      <c r="K14" s="147">
        <f>$I14/2</f>
        <v>0.5</v>
      </c>
      <c r="L14" s="77">
        <f>$G14/VLOOKUP($E14,Ore_Density[],2,FALSE)/Vanilla_COG_Divisor</f>
        <v>7.2886178378251051E-2</v>
      </c>
      <c r="M14" s="82" t="str">
        <f>IF(OR($E14="Layered Veins",$E14="Small Deposits",$E14="Geode"),"Motherlode",IF(OR($E14="Pipe Veins",$E14="Sparse Veins",$E14="Vertical Veins"),"No","ERROR"))</f>
        <v>No</v>
      </c>
      <c r="N14" s="86">
        <v>1</v>
      </c>
      <c r="O14" s="86">
        <v>1</v>
      </c>
      <c r="P14" s="82" t="str">
        <f>IF(OR($E14="Layered Veins",$E14="Pipe Veins",$E14="Sparse Veins"),"Branches",IF($E14="Vertical Veins","Vertical","none"))</f>
        <v>Branches</v>
      </c>
      <c r="Q14" s="152">
        <f>SQRT($L14)*$N14</f>
        <v>0.26997440319084148</v>
      </c>
      <c r="R14" s="152" t="str">
        <f>IF($M14="Motherlode",(($O14*SQRT($L14))^(1/2))^(1/3),"none")</f>
        <v>none</v>
      </c>
      <c r="S14" s="152">
        <f>IF($P14="Branches",SQRT($L14)^(1/2),IF($P14="Vertical","default",$P14))</f>
        <v>0.51959061114577643</v>
      </c>
      <c r="T14" s="153">
        <f>IF($P14="Branches",SQRT(SQRT($L14))^(1/2),IF($P14="Vertical",SQRT($L14)^(1/2),"none"))</f>
        <v>0.72082633910379301</v>
      </c>
      <c r="U14" s="77">
        <f>$G14/VLOOKUP($F14,Ore_Density[],2,FALSE)/Vanilla_COG_Divisor</f>
        <v>4.0816326530612242E-2</v>
      </c>
      <c r="V14" s="158">
        <f>SQRT($U14)</f>
        <v>0.20203050891044214</v>
      </c>
      <c r="W14" s="147">
        <f>SQRT(SQRT($U14))</f>
        <v>0.4494780405208269</v>
      </c>
      <c r="X14" s="70">
        <f>$Y14+$AB14</f>
        <v>19</v>
      </c>
      <c r="Y14" s="71">
        <f>($AC14-$AB14)/2</f>
        <v>13</v>
      </c>
      <c r="Z14" s="71">
        <f>$AA14+$AB14</f>
        <v>19</v>
      </c>
      <c r="AA14" s="72">
        <f>($AG14-$AB14)/2</f>
        <v>13</v>
      </c>
      <c r="AB14" s="128">
        <v>6</v>
      </c>
      <c r="AC14" s="128">
        <v>32</v>
      </c>
      <c r="AD14" s="128"/>
      <c r="AE14" s="71">
        <f>IF($AD14="No",0,IF($AJ14="overworld",IF($X14&lt;64,64+($X14*3),0),0))</f>
        <v>0</v>
      </c>
      <c r="AF14" s="71">
        <f>IF($AD14="No",0,IF($AJ14="Overworld",IF($X14&lt;64,($Y14*3),0),0))</f>
        <v>0</v>
      </c>
      <c r="AG14" s="32">
        <f>IF($AC14&gt;64,64+(($AC14-64)*2.9),$AC14)</f>
        <v>32</v>
      </c>
      <c r="AH14" s="41" t="s">
        <v>117</v>
      </c>
      <c r="AI14" s="42" t="s">
        <v>118</v>
      </c>
      <c r="AJ14" s="131" t="s">
        <v>119</v>
      </c>
      <c r="AK14" s="20" t="str">
        <f>IF($X14&gt;64,"uniform",IF($AJ14="Overworld","normal","uniform"))</f>
        <v>uniform</v>
      </c>
      <c r="AL14" s="109" t="s">
        <v>120</v>
      </c>
      <c r="AM14" s="110" t="s">
        <v>121</v>
      </c>
      <c r="AN14" s="117"/>
      <c r="AO14" s="118" t="s">
        <v>56</v>
      </c>
      <c r="AP14" s="46"/>
    </row>
    <row r="15" spans="1:43" s="7" customFormat="1" ht="13.5">
      <c r="A15" s="31" t="s">
        <v>115</v>
      </c>
      <c r="B15" s="18"/>
      <c r="C15" s="105" t="s">
        <v>142</v>
      </c>
      <c r="D15" s="97" t="s">
        <v>59</v>
      </c>
      <c r="E15" s="98" t="s">
        <v>79</v>
      </c>
      <c r="F15" s="99" t="s">
        <v>61</v>
      </c>
      <c r="G15" s="37">
        <f>$H15*$I15/2</f>
        <v>0.5</v>
      </c>
      <c r="H15" s="123">
        <v>1</v>
      </c>
      <c r="I15" s="124">
        <v>1</v>
      </c>
      <c r="J15" s="146">
        <f>$H15/2</f>
        <v>0.5</v>
      </c>
      <c r="K15" s="147">
        <f>$I15/2</f>
        <v>0.5</v>
      </c>
      <c r="L15" s="77">
        <f>$G15/VLOOKUP($E15,Ore_Density[],2,FALSE)/Vanilla_COG_Divisor</f>
        <v>7.2886178378251051E-2</v>
      </c>
      <c r="M15" s="82" t="str">
        <f>IF(OR($E15="Layered Veins",$E15="Small Deposits",$E15="Geode"),"Motherlode",IF(OR($E15="Pipe Veins",$E15="Sparse Veins",$E15="Vertical Veins"),"No","ERROR"))</f>
        <v>No</v>
      </c>
      <c r="N15" s="86">
        <v>1</v>
      </c>
      <c r="O15" s="86">
        <v>1</v>
      </c>
      <c r="P15" s="82" t="str">
        <f>IF(OR($E15="Layered Veins",$E15="Pipe Veins",$E15="Sparse Veins"),"Branches",IF($E15="Vertical Veins","Vertical","none"))</f>
        <v>Branches</v>
      </c>
      <c r="Q15" s="152">
        <f>SQRT($L15)*$N15</f>
        <v>0.26997440319084148</v>
      </c>
      <c r="R15" s="152" t="str">
        <f>IF($M15="Motherlode",(($O15*SQRT($L15))^(1/2))^(1/3),"none")</f>
        <v>none</v>
      </c>
      <c r="S15" s="152">
        <f>IF($P15="Branches",SQRT($L15)^(1/2),IF($P15="Vertical","default",$P15))</f>
        <v>0.51959061114577643</v>
      </c>
      <c r="T15" s="153">
        <f>IF($P15="Branches",SQRT(SQRT($L15))^(1/2),IF($P15="Vertical",SQRT($L15)^(1/2),"none"))</f>
        <v>0.72082633910379301</v>
      </c>
      <c r="U15" s="77">
        <f>$G15/VLOOKUP($F15,Ore_Density[],2,FALSE)/Vanilla_COG_Divisor</f>
        <v>4.0816326530612242E-2</v>
      </c>
      <c r="V15" s="158">
        <f>SQRT($U15)</f>
        <v>0.20203050891044214</v>
      </c>
      <c r="W15" s="147">
        <f>SQRT(SQRT($U15))</f>
        <v>0.4494780405208269</v>
      </c>
      <c r="X15" s="70">
        <f>$Y15+$AB15</f>
        <v>19</v>
      </c>
      <c r="Y15" s="71">
        <f>($AC15-$AB15)/2</f>
        <v>13</v>
      </c>
      <c r="Z15" s="71">
        <f>$AA15+$AB15</f>
        <v>19</v>
      </c>
      <c r="AA15" s="72">
        <f>($AG15-$AB15)/2</f>
        <v>13</v>
      </c>
      <c r="AB15" s="128">
        <v>6</v>
      </c>
      <c r="AC15" s="128">
        <v>32</v>
      </c>
      <c r="AD15" s="128" t="s">
        <v>790</v>
      </c>
      <c r="AE15" s="71">
        <f>IF($AD15="No",0,IF($AJ15="overworld",IF($X15&lt;64,64+($X15*3),0),0))</f>
        <v>0</v>
      </c>
      <c r="AF15" s="71">
        <f>IF($AD15="No",0,IF($AJ15="Overworld",IF($X15&lt;64,($Y15*3),0),0))</f>
        <v>0</v>
      </c>
      <c r="AG15" s="32">
        <f>IF($AC15&gt;64,64+(($AC15-64)*2.9),$AC15)</f>
        <v>32</v>
      </c>
      <c r="AH15" s="41" t="s">
        <v>143</v>
      </c>
      <c r="AI15" s="42" t="s">
        <v>144</v>
      </c>
      <c r="AJ15" s="131" t="s">
        <v>53</v>
      </c>
      <c r="AK15" s="20" t="str">
        <f>IF($X15&gt;64,"uniform",IF($AJ15="Overworld","normal","uniform"))</f>
        <v>normal</v>
      </c>
      <c r="AL15" s="109" t="s">
        <v>145</v>
      </c>
      <c r="AM15" s="110" t="s">
        <v>64</v>
      </c>
      <c r="AN15" s="117" t="s">
        <v>146</v>
      </c>
      <c r="AO15" s="118"/>
      <c r="AP15" s="46"/>
    </row>
    <row r="16" spans="1:43" s="7" customFormat="1" ht="13.5">
      <c r="A16" s="31" t="s">
        <v>115</v>
      </c>
      <c r="B16" s="18"/>
      <c r="C16" s="105" t="s">
        <v>127</v>
      </c>
      <c r="D16" s="97" t="s">
        <v>59</v>
      </c>
      <c r="E16" s="98" t="s">
        <v>79</v>
      </c>
      <c r="F16" s="99" t="s">
        <v>61</v>
      </c>
      <c r="G16" s="37">
        <f>$H16*$I16/2</f>
        <v>0.5</v>
      </c>
      <c r="H16" s="123">
        <v>1</v>
      </c>
      <c r="I16" s="124">
        <v>1</v>
      </c>
      <c r="J16" s="146">
        <f>$H16/2</f>
        <v>0.5</v>
      </c>
      <c r="K16" s="147">
        <f>$I16/2</f>
        <v>0.5</v>
      </c>
      <c r="L16" s="77">
        <f>$G16/VLOOKUP($E16,Ore_Density[],2,FALSE)/Vanilla_COG_Divisor</f>
        <v>7.2886178378251051E-2</v>
      </c>
      <c r="M16" s="82" t="str">
        <f>IF(OR($E16="Layered Veins",$E16="Small Deposits",$E16="Geode"),"Motherlode",IF(OR($E16="Pipe Veins",$E16="Sparse Veins",$E16="Vertical Veins"),"No","ERROR"))</f>
        <v>No</v>
      </c>
      <c r="N16" s="86">
        <v>1</v>
      </c>
      <c r="O16" s="86">
        <v>1</v>
      </c>
      <c r="P16" s="82" t="str">
        <f>IF(OR($E16="Layered Veins",$E16="Pipe Veins",$E16="Sparse Veins"),"Branches",IF($E16="Vertical Veins","Vertical","none"))</f>
        <v>Branches</v>
      </c>
      <c r="Q16" s="152">
        <f>SQRT($L16)*$N16</f>
        <v>0.26997440319084148</v>
      </c>
      <c r="R16" s="152" t="str">
        <f>IF($M16="Motherlode",(($O16*SQRT($L16))^(1/2))^(1/3),"none")</f>
        <v>none</v>
      </c>
      <c r="S16" s="152">
        <f>IF($P16="Branches",SQRT($L16)^(1/2),IF($P16="Vertical","default",$P16))</f>
        <v>0.51959061114577643</v>
      </c>
      <c r="T16" s="153">
        <f>IF($P16="Branches",SQRT(SQRT($L16))^(1/2),IF($P16="Vertical",SQRT($L16)^(1/2),"none"))</f>
        <v>0.72082633910379301</v>
      </c>
      <c r="U16" s="77">
        <f>$G16/VLOOKUP($F16,Ore_Density[],2,FALSE)/Vanilla_COG_Divisor</f>
        <v>4.0816326530612242E-2</v>
      </c>
      <c r="V16" s="158">
        <f>SQRT($U16)</f>
        <v>0.20203050891044214</v>
      </c>
      <c r="W16" s="147">
        <f>SQRT(SQRT($U16))</f>
        <v>0.4494780405208269</v>
      </c>
      <c r="X16" s="70">
        <f>$Y16+$AB16</f>
        <v>19</v>
      </c>
      <c r="Y16" s="71">
        <f>($AC16-$AB16)/2</f>
        <v>13</v>
      </c>
      <c r="Z16" s="71">
        <f>$AA16+$AB16</f>
        <v>19</v>
      </c>
      <c r="AA16" s="72">
        <f>($AG16-$AB16)/2</f>
        <v>13</v>
      </c>
      <c r="AB16" s="128">
        <v>6</v>
      </c>
      <c r="AC16" s="128">
        <v>32</v>
      </c>
      <c r="AD16" s="128" t="s">
        <v>790</v>
      </c>
      <c r="AE16" s="71">
        <f>IF($AD16="No",0,IF($AJ16="overworld",IF($X16&lt;64,64+($X16*3),0),0))</f>
        <v>0</v>
      </c>
      <c r="AF16" s="71">
        <f>IF($AD16="No",0,IF($AJ16="Overworld",IF($X16&lt;64,($Y16*3),0),0))</f>
        <v>0</v>
      </c>
      <c r="AG16" s="32">
        <f>IF($AC16&gt;64,64+(($AC16-64)*2.9),$AC16)</f>
        <v>32</v>
      </c>
      <c r="AH16" s="41" t="s">
        <v>128</v>
      </c>
      <c r="AI16" s="42" t="s">
        <v>129</v>
      </c>
      <c r="AJ16" s="131" t="s">
        <v>53</v>
      </c>
      <c r="AK16" s="20" t="str">
        <f>IF($X16&gt;64,"uniform",IF($AJ16="Overworld","normal","uniform"))</f>
        <v>normal</v>
      </c>
      <c r="AL16" s="109" t="s">
        <v>130</v>
      </c>
      <c r="AM16" s="110" t="s">
        <v>64</v>
      </c>
      <c r="AN16" s="117" t="s">
        <v>131</v>
      </c>
      <c r="AO16" s="118"/>
      <c r="AP16" s="46"/>
    </row>
    <row r="17" spans="1:43" s="7" customFormat="1" ht="13.5">
      <c r="A17" s="31" t="s">
        <v>115</v>
      </c>
      <c r="B17" s="18"/>
      <c r="C17" s="105" t="s">
        <v>122</v>
      </c>
      <c r="D17" s="97" t="s">
        <v>59</v>
      </c>
      <c r="E17" s="98" t="s">
        <v>79</v>
      </c>
      <c r="F17" s="99" t="s">
        <v>61</v>
      </c>
      <c r="G17" s="37">
        <f>$H17*$I17/2</f>
        <v>0.5</v>
      </c>
      <c r="H17" s="123">
        <v>1</v>
      </c>
      <c r="I17" s="124">
        <v>1</v>
      </c>
      <c r="J17" s="146">
        <f>$H17/2</f>
        <v>0.5</v>
      </c>
      <c r="K17" s="147">
        <f>$I17/2</f>
        <v>0.5</v>
      </c>
      <c r="L17" s="77">
        <f>$G17/VLOOKUP($E17,Ore_Density[],2,FALSE)/Vanilla_COG_Divisor</f>
        <v>7.2886178378251051E-2</v>
      </c>
      <c r="M17" s="82" t="str">
        <f>IF(OR($E17="Layered Veins",$E17="Small Deposits",$E17="Geode"),"Motherlode",IF(OR($E17="Pipe Veins",$E17="Sparse Veins",$E17="Vertical Veins"),"No","ERROR"))</f>
        <v>No</v>
      </c>
      <c r="N17" s="86">
        <v>1</v>
      </c>
      <c r="O17" s="86">
        <v>1</v>
      </c>
      <c r="P17" s="82" t="str">
        <f>IF(OR($E17="Layered Veins",$E17="Pipe Veins",$E17="Sparse Veins"),"Branches",IF($E17="Vertical Veins","Vertical","none"))</f>
        <v>Branches</v>
      </c>
      <c r="Q17" s="152">
        <f>SQRT($L17)*$N17</f>
        <v>0.26997440319084148</v>
      </c>
      <c r="R17" s="152" t="str">
        <f>IF($M17="Motherlode",(($O17*SQRT($L17))^(1/2))^(1/3),"none")</f>
        <v>none</v>
      </c>
      <c r="S17" s="152">
        <f>IF($P17="Branches",SQRT($L17)^(1/2),IF($P17="Vertical","default",$P17))</f>
        <v>0.51959061114577643</v>
      </c>
      <c r="T17" s="153">
        <f>IF($P17="Branches",SQRT(SQRT($L17))^(1/2),IF($P17="Vertical",SQRT($L17)^(1/2),"none"))</f>
        <v>0.72082633910379301</v>
      </c>
      <c r="U17" s="77">
        <f>$G17/VLOOKUP($F17,Ore_Density[],2,FALSE)/Vanilla_COG_Divisor</f>
        <v>4.0816326530612242E-2</v>
      </c>
      <c r="V17" s="158">
        <f>SQRT($U17)</f>
        <v>0.20203050891044214</v>
      </c>
      <c r="W17" s="147">
        <f>SQRT(SQRT($U17))</f>
        <v>0.4494780405208269</v>
      </c>
      <c r="X17" s="70">
        <f>$Y17+$AB17</f>
        <v>19</v>
      </c>
      <c r="Y17" s="71">
        <f>($AC17-$AB17)/2</f>
        <v>13</v>
      </c>
      <c r="Z17" s="71">
        <f>$AA17+$AB17</f>
        <v>19</v>
      </c>
      <c r="AA17" s="72">
        <f>($AG17-$AB17)/2</f>
        <v>13</v>
      </c>
      <c r="AB17" s="128">
        <v>6</v>
      </c>
      <c r="AC17" s="128">
        <v>32</v>
      </c>
      <c r="AD17" s="128" t="s">
        <v>790</v>
      </c>
      <c r="AE17" s="71">
        <f>IF($AD17="No",0,IF($AJ17="overworld",IF($X17&lt;64,64+($X17*3),0),0))</f>
        <v>0</v>
      </c>
      <c r="AF17" s="71">
        <f>IF($AD17="No",0,IF($AJ17="Overworld",IF($X17&lt;64,($Y17*3),0),0))</f>
        <v>0</v>
      </c>
      <c r="AG17" s="32">
        <f>IF($AC17&gt;64,64+(($AC17-64)*2.9),$AC17)</f>
        <v>32</v>
      </c>
      <c r="AH17" s="41" t="s">
        <v>123</v>
      </c>
      <c r="AI17" s="42" t="s">
        <v>124</v>
      </c>
      <c r="AJ17" s="131" t="s">
        <v>53</v>
      </c>
      <c r="AK17" s="20" t="str">
        <f>IF($X17&gt;64,"uniform",IF($AJ17="Overworld","normal","uniform"))</f>
        <v>normal</v>
      </c>
      <c r="AL17" s="109" t="s">
        <v>125</v>
      </c>
      <c r="AM17" s="110" t="s">
        <v>64</v>
      </c>
      <c r="AN17" s="117" t="s">
        <v>126</v>
      </c>
      <c r="AO17" s="118"/>
      <c r="AP17" s="46"/>
    </row>
    <row r="18" spans="1:43" s="7" customFormat="1" ht="13.5">
      <c r="A18" s="31" t="s">
        <v>115</v>
      </c>
      <c r="B18" s="18"/>
      <c r="C18" s="105" t="s">
        <v>147</v>
      </c>
      <c r="D18" s="97" t="s">
        <v>59</v>
      </c>
      <c r="E18" s="98" t="s">
        <v>79</v>
      </c>
      <c r="F18" s="99" t="s">
        <v>61</v>
      </c>
      <c r="G18" s="37">
        <f>$H18*$I18/2</f>
        <v>0.5</v>
      </c>
      <c r="H18" s="123">
        <v>1</v>
      </c>
      <c r="I18" s="124">
        <v>1</v>
      </c>
      <c r="J18" s="146">
        <f>$H18/2</f>
        <v>0.5</v>
      </c>
      <c r="K18" s="147">
        <f>$I18/2</f>
        <v>0.5</v>
      </c>
      <c r="L18" s="77">
        <f>$G18/VLOOKUP($E18,Ore_Density[],2,FALSE)/Vanilla_COG_Divisor</f>
        <v>7.2886178378251051E-2</v>
      </c>
      <c r="M18" s="82" t="str">
        <f>IF(OR($E18="Layered Veins",$E18="Small Deposits",$E18="Geode"),"Motherlode",IF(OR($E18="Pipe Veins",$E18="Sparse Veins",$E18="Vertical Veins"),"No","ERROR"))</f>
        <v>No</v>
      </c>
      <c r="N18" s="86">
        <v>1</v>
      </c>
      <c r="O18" s="86">
        <v>1</v>
      </c>
      <c r="P18" s="82" t="str">
        <f>IF(OR($E18="Layered Veins",$E18="Pipe Veins",$E18="Sparse Veins"),"Branches",IF($E18="Vertical Veins","Vertical","none"))</f>
        <v>Branches</v>
      </c>
      <c r="Q18" s="152">
        <f>SQRT($L18)*$N18</f>
        <v>0.26997440319084148</v>
      </c>
      <c r="R18" s="152" t="str">
        <f>IF($M18="Motherlode",(($O18*SQRT($L18))^(1/2))^(1/3),"none")</f>
        <v>none</v>
      </c>
      <c r="S18" s="152">
        <f>IF($P18="Branches",SQRT($L18)^(1/2),IF($P18="Vertical","default",$P18))</f>
        <v>0.51959061114577643</v>
      </c>
      <c r="T18" s="153">
        <f>IF($P18="Branches",SQRT(SQRT($L18))^(1/2),IF($P18="Vertical",SQRT($L18)^(1/2),"none"))</f>
        <v>0.72082633910379301</v>
      </c>
      <c r="U18" s="77">
        <f>$G18/VLOOKUP($F18,Ore_Density[],2,FALSE)/Vanilla_COG_Divisor</f>
        <v>4.0816326530612242E-2</v>
      </c>
      <c r="V18" s="158">
        <f>SQRT($U18)</f>
        <v>0.20203050891044214</v>
      </c>
      <c r="W18" s="147">
        <f>SQRT(SQRT($U18))</f>
        <v>0.4494780405208269</v>
      </c>
      <c r="X18" s="70">
        <f>$Y18+$AB18</f>
        <v>19</v>
      </c>
      <c r="Y18" s="71">
        <f>($AC18-$AB18)/2</f>
        <v>13</v>
      </c>
      <c r="Z18" s="71">
        <f>$AA18+$AB18</f>
        <v>19</v>
      </c>
      <c r="AA18" s="72">
        <f>($AG18-$AB18)/2</f>
        <v>13</v>
      </c>
      <c r="AB18" s="128">
        <v>6</v>
      </c>
      <c r="AC18" s="128">
        <v>32</v>
      </c>
      <c r="AD18" s="128" t="s">
        <v>790</v>
      </c>
      <c r="AE18" s="71">
        <f>IF($AD18="No",0,IF($AJ18="overworld",IF($X18&lt;64,64+($X18*3),0),0))</f>
        <v>0</v>
      </c>
      <c r="AF18" s="71">
        <f>IF($AD18="No",0,IF($AJ18="Overworld",IF($X18&lt;64,($Y18*3),0),0))</f>
        <v>0</v>
      </c>
      <c r="AG18" s="32">
        <f>IF($AC18&gt;64,64+(($AC18-64)*2.9),$AC18)</f>
        <v>32</v>
      </c>
      <c r="AH18" s="41" t="s">
        <v>148</v>
      </c>
      <c r="AI18" s="42">
        <v>7474</v>
      </c>
      <c r="AJ18" s="131" t="s">
        <v>53</v>
      </c>
      <c r="AK18" s="20" t="str">
        <f>IF($X18&gt;64,"uniform",IF($AJ18="Overworld","normal","uniform"))</f>
        <v>normal</v>
      </c>
      <c r="AL18" s="109" t="s">
        <v>149</v>
      </c>
      <c r="AM18" s="110" t="s">
        <v>64</v>
      </c>
      <c r="AN18" s="117" t="s">
        <v>150</v>
      </c>
      <c r="AO18" s="118"/>
      <c r="AP18" s="46"/>
    </row>
    <row r="19" spans="1:43" s="7" customFormat="1" ht="13.5">
      <c r="A19" s="31" t="s">
        <v>115</v>
      </c>
      <c r="B19" s="18"/>
      <c r="C19" s="105" t="s">
        <v>137</v>
      </c>
      <c r="D19" s="97" t="s">
        <v>59</v>
      </c>
      <c r="E19" s="98" t="s">
        <v>79</v>
      </c>
      <c r="F19" s="99" t="s">
        <v>61</v>
      </c>
      <c r="G19" s="37">
        <f>$H19*$I19/2</f>
        <v>0.5</v>
      </c>
      <c r="H19" s="123">
        <v>1</v>
      </c>
      <c r="I19" s="124">
        <v>1</v>
      </c>
      <c r="J19" s="146">
        <f>$H19/2</f>
        <v>0.5</v>
      </c>
      <c r="K19" s="147">
        <f>$I19/2</f>
        <v>0.5</v>
      </c>
      <c r="L19" s="77">
        <f>$G19/VLOOKUP($E19,Ore_Density[],2,FALSE)/Vanilla_COG_Divisor</f>
        <v>7.2886178378251051E-2</v>
      </c>
      <c r="M19" s="82" t="str">
        <f>IF(OR($E19="Layered Veins",$E19="Small Deposits",$E19="Geode"),"Motherlode",IF(OR($E19="Pipe Veins",$E19="Sparse Veins",$E19="Vertical Veins"),"No","ERROR"))</f>
        <v>No</v>
      </c>
      <c r="N19" s="86">
        <v>1</v>
      </c>
      <c r="O19" s="86">
        <v>1</v>
      </c>
      <c r="P19" s="82" t="str">
        <f>IF(OR($E19="Layered Veins",$E19="Pipe Veins",$E19="Sparse Veins"),"Branches",IF($E19="Vertical Veins","Vertical","none"))</f>
        <v>Branches</v>
      </c>
      <c r="Q19" s="152">
        <f>SQRT($L19)*$N19</f>
        <v>0.26997440319084148</v>
      </c>
      <c r="R19" s="152" t="str">
        <f>IF($M19="Motherlode",(($O19*SQRT($L19))^(1/2))^(1/3),"none")</f>
        <v>none</v>
      </c>
      <c r="S19" s="152">
        <f>IF($P19="Branches",SQRT($L19)^(1/2),IF($P19="Vertical","default",$P19))</f>
        <v>0.51959061114577643</v>
      </c>
      <c r="T19" s="153">
        <f>IF($P19="Branches",SQRT(SQRT($L19))^(1/2),IF($P19="Vertical",SQRT($L19)^(1/2),"none"))</f>
        <v>0.72082633910379301</v>
      </c>
      <c r="U19" s="77">
        <f>$G19/VLOOKUP($F19,Ore_Density[],2,FALSE)/Vanilla_COG_Divisor</f>
        <v>4.0816326530612242E-2</v>
      </c>
      <c r="V19" s="158">
        <f>SQRT($U19)</f>
        <v>0.20203050891044214</v>
      </c>
      <c r="W19" s="147">
        <f>SQRT(SQRT($U19))</f>
        <v>0.4494780405208269</v>
      </c>
      <c r="X19" s="70">
        <f>$Y19+$AB19</f>
        <v>19</v>
      </c>
      <c r="Y19" s="71">
        <f>($AC19-$AB19)/2</f>
        <v>13</v>
      </c>
      <c r="Z19" s="71">
        <f>$AA19+$AB19</f>
        <v>19</v>
      </c>
      <c r="AA19" s="72">
        <f>($AG19-$AB19)/2</f>
        <v>13</v>
      </c>
      <c r="AB19" s="128">
        <v>6</v>
      </c>
      <c r="AC19" s="128">
        <v>32</v>
      </c>
      <c r="AD19" s="128" t="s">
        <v>790</v>
      </c>
      <c r="AE19" s="71">
        <f>IF($AD19="No",0,IF($AJ19="overworld",IF($X19&lt;64,64+($X19*3),0),0))</f>
        <v>0</v>
      </c>
      <c r="AF19" s="71">
        <f>IF($AD19="No",0,IF($AJ19="Overworld",IF($X19&lt;64,($Y19*3),0),0))</f>
        <v>0</v>
      </c>
      <c r="AG19" s="32">
        <f>IF($AC19&gt;64,64+(($AC19-64)*2.9),$AC19)</f>
        <v>32</v>
      </c>
      <c r="AH19" s="41" t="s">
        <v>138</v>
      </c>
      <c r="AI19" s="42" t="s">
        <v>139</v>
      </c>
      <c r="AJ19" s="131" t="s">
        <v>53</v>
      </c>
      <c r="AK19" s="20" t="str">
        <f>IF($X19&gt;64,"uniform",IF($AJ19="Overworld","normal","uniform"))</f>
        <v>normal</v>
      </c>
      <c r="AL19" s="109" t="s">
        <v>140</v>
      </c>
      <c r="AM19" s="110" t="s">
        <v>64</v>
      </c>
      <c r="AN19" s="117" t="s">
        <v>141</v>
      </c>
      <c r="AO19" s="118"/>
      <c r="AP19" s="46"/>
    </row>
    <row r="20" spans="1:43" s="7" customFormat="1" ht="13.5">
      <c r="A20" s="31" t="s">
        <v>115</v>
      </c>
      <c r="B20" s="18"/>
      <c r="C20" s="105" t="s">
        <v>132</v>
      </c>
      <c r="D20" s="97" t="s">
        <v>59</v>
      </c>
      <c r="E20" s="98" t="s">
        <v>79</v>
      </c>
      <c r="F20" s="99" t="s">
        <v>61</v>
      </c>
      <c r="G20" s="37">
        <f>$H20*$I20/2</f>
        <v>0.5</v>
      </c>
      <c r="H20" s="123">
        <v>1</v>
      </c>
      <c r="I20" s="124">
        <v>1</v>
      </c>
      <c r="J20" s="146">
        <f>$H20/2</f>
        <v>0.5</v>
      </c>
      <c r="K20" s="147">
        <f>$I20/2</f>
        <v>0.5</v>
      </c>
      <c r="L20" s="77">
        <f>$G20/VLOOKUP($E20,Ore_Density[],2,FALSE)/Vanilla_COG_Divisor</f>
        <v>7.2886178378251051E-2</v>
      </c>
      <c r="M20" s="82" t="str">
        <f>IF(OR($E20="Layered Veins",$E20="Small Deposits",$E20="Geode"),"Motherlode",IF(OR($E20="Pipe Veins",$E20="Sparse Veins",$E20="Vertical Veins"),"No","ERROR"))</f>
        <v>No</v>
      </c>
      <c r="N20" s="86">
        <v>1</v>
      </c>
      <c r="O20" s="86">
        <v>1</v>
      </c>
      <c r="P20" s="82" t="str">
        <f>IF(OR($E20="Layered Veins",$E20="Pipe Veins",$E20="Sparse Veins"),"Branches",IF($E20="Vertical Veins","Vertical","none"))</f>
        <v>Branches</v>
      </c>
      <c r="Q20" s="152">
        <f>SQRT($L20)*$N20</f>
        <v>0.26997440319084148</v>
      </c>
      <c r="R20" s="152" t="str">
        <f>IF($M20="Motherlode",(($O20*SQRT($L20))^(1/2))^(1/3),"none")</f>
        <v>none</v>
      </c>
      <c r="S20" s="152">
        <f>IF($P20="Branches",SQRT($L20)^(1/2),IF($P20="Vertical","default",$P20))</f>
        <v>0.51959061114577643</v>
      </c>
      <c r="T20" s="153">
        <f>IF($P20="Branches",SQRT(SQRT($L20))^(1/2),IF($P20="Vertical",SQRT($L20)^(1/2),"none"))</f>
        <v>0.72082633910379301</v>
      </c>
      <c r="U20" s="77">
        <f>$G20/VLOOKUP($F20,Ore_Density[],2,FALSE)/Vanilla_COG_Divisor</f>
        <v>4.0816326530612242E-2</v>
      </c>
      <c r="V20" s="158">
        <f>SQRT($U20)</f>
        <v>0.20203050891044214</v>
      </c>
      <c r="W20" s="147">
        <f>SQRT(SQRT($U20))</f>
        <v>0.4494780405208269</v>
      </c>
      <c r="X20" s="70">
        <f>$Y20+$AB20</f>
        <v>19</v>
      </c>
      <c r="Y20" s="71">
        <f>($AC20-$AB20)/2</f>
        <v>13</v>
      </c>
      <c r="Z20" s="71">
        <f>$AA20+$AB20</f>
        <v>19</v>
      </c>
      <c r="AA20" s="72">
        <f>($AG20-$AB20)/2</f>
        <v>13</v>
      </c>
      <c r="AB20" s="128">
        <v>6</v>
      </c>
      <c r="AC20" s="128">
        <v>32</v>
      </c>
      <c r="AD20" s="128" t="s">
        <v>790</v>
      </c>
      <c r="AE20" s="71">
        <f>IF($AD20="No",0,IF($AJ20="overworld",IF($X20&lt;64,64+($X20*3),0),0))</f>
        <v>0</v>
      </c>
      <c r="AF20" s="71">
        <f>IF($AD20="No",0,IF($AJ20="Overworld",IF($X20&lt;64,($Y20*3),0),0))</f>
        <v>0</v>
      </c>
      <c r="AG20" s="32">
        <f>IF($AC20&gt;64,64+(($AC20-64)*2.9),$AC20)</f>
        <v>32</v>
      </c>
      <c r="AH20" s="41" t="s">
        <v>133</v>
      </c>
      <c r="AI20" s="42" t="s">
        <v>134</v>
      </c>
      <c r="AJ20" s="131" t="s">
        <v>53</v>
      </c>
      <c r="AK20" s="20" t="str">
        <f>IF($X20&gt;64,"uniform",IF($AJ20="Overworld","normal","uniform"))</f>
        <v>normal</v>
      </c>
      <c r="AL20" s="109" t="s">
        <v>135</v>
      </c>
      <c r="AM20" s="110" t="s">
        <v>64</v>
      </c>
      <c r="AN20" s="117" t="s">
        <v>136</v>
      </c>
      <c r="AO20" s="118"/>
      <c r="AP20" s="46"/>
    </row>
    <row r="21" spans="1:43" s="7" customFormat="1" ht="13.5">
      <c r="A21" s="31" t="s">
        <v>156</v>
      </c>
      <c r="B21" s="18"/>
      <c r="C21" s="105" t="s">
        <v>157</v>
      </c>
      <c r="D21" s="97" t="s">
        <v>49</v>
      </c>
      <c r="E21" s="98" t="s">
        <v>66</v>
      </c>
      <c r="F21" s="99" t="s">
        <v>51</v>
      </c>
      <c r="G21" s="37">
        <f>$H21*$I21/2</f>
        <v>64</v>
      </c>
      <c r="H21" s="123">
        <v>16</v>
      </c>
      <c r="I21" s="124">
        <v>8</v>
      </c>
      <c r="J21" s="146">
        <f>$H21/2</f>
        <v>8</v>
      </c>
      <c r="K21" s="147">
        <f>$I21/2</f>
        <v>4</v>
      </c>
      <c r="L21" s="77">
        <f>$G21/VLOOKUP($E21,Ore_Density[],2,FALSE)/Vanilla_COG_Divisor</f>
        <v>4.0078277886497062</v>
      </c>
      <c r="M21" s="82" t="str">
        <f>IF(OR($E21="Layered Veins",$E21="Small Deposits",$E21="Geode"),"Motherlode",IF(OR($E21="Pipe Veins",$E21="Sparse Veins",$E21="Vertical Veins"),"No","ERROR"))</f>
        <v>Motherlode</v>
      </c>
      <c r="N21" s="86">
        <v>1</v>
      </c>
      <c r="O21" s="86">
        <v>1</v>
      </c>
      <c r="P21" s="82" t="str">
        <f>IF(OR($E21="Layered Veins",$E21="Pipe Veins",$E21="Sparse Veins"),"Branches",IF($E21="Vertical Veins","Vertical","none"))</f>
        <v>Branches</v>
      </c>
      <c r="Q21" s="152">
        <f>SQRT($L21)*$N21</f>
        <v>2.0019559906875339</v>
      </c>
      <c r="R21" s="152">
        <f>IF($M21="Motherlode",(($O21*SQRT($L21))^(1/2))^(1/3),"none")</f>
        <v>1.1226449342406764</v>
      </c>
      <c r="S21" s="152">
        <f>IF($P21="Branches",SQRT($L21)^(1/2),IF($P21="Vertical","default",$P21))</f>
        <v>1.4149049405128014</v>
      </c>
      <c r="T21" s="153">
        <f>IF($P21="Branches",SQRT(SQRT($L21))^(1/2),IF($P21="Vertical",SQRT($L21)^(1/2),"none"))</f>
        <v>1.1894977681831949</v>
      </c>
      <c r="U21" s="77">
        <f>$G21/VLOOKUP($F21,Ore_Density[],2,FALSE)/Vanilla_COG_Divisor</f>
        <v>1.7857142857142858</v>
      </c>
      <c r="V21" s="158">
        <f>SQRT($U21)</f>
        <v>1.3363062095621219</v>
      </c>
      <c r="W21" s="147">
        <f>SQRT(SQRT($U21))</f>
        <v>1.1559871147906977</v>
      </c>
      <c r="X21" s="70">
        <f>$Y21+$AB21</f>
        <v>67</v>
      </c>
      <c r="Y21" s="71">
        <f>($AC21-$AB21)/2</f>
        <v>61</v>
      </c>
      <c r="Z21" s="71">
        <f>$AA21+$AB21</f>
        <v>127.8</v>
      </c>
      <c r="AA21" s="72">
        <f>($AG21-$AB21)/2</f>
        <v>121.8</v>
      </c>
      <c r="AB21" s="128">
        <v>6</v>
      </c>
      <c r="AC21" s="128">
        <v>128</v>
      </c>
      <c r="AD21" s="128"/>
      <c r="AE21" s="71">
        <f>IF($AD21="No",0,IF($AJ21="overworld",IF($X21&lt;64,64+($X21*3),0),0))</f>
        <v>0</v>
      </c>
      <c r="AF21" s="71">
        <f>IF($AD21="No",0,IF($AJ21="Overworld",IF($X21&lt;64,($Y21*3),0),0))</f>
        <v>0</v>
      </c>
      <c r="AG21" s="32">
        <f>IF($AC21&gt;64,64+(($AC21-64)*2.9),$AC21)</f>
        <v>249.6</v>
      </c>
      <c r="AH21" s="41" t="s">
        <v>158</v>
      </c>
      <c r="AI21" s="42"/>
      <c r="AJ21" s="131" t="s">
        <v>53</v>
      </c>
      <c r="AK21" s="20" t="str">
        <f>IF($X21&gt;64,"uniform",IF($AJ21="Overworld","normal","uniform"))</f>
        <v>uniform</v>
      </c>
      <c r="AL21" s="109" t="s">
        <v>159</v>
      </c>
      <c r="AM21" s="110" t="s">
        <v>64</v>
      </c>
      <c r="AN21" s="117"/>
      <c r="AO21" s="118" t="s">
        <v>56</v>
      </c>
      <c r="AP21" s="46"/>
      <c r="AQ21" s="2"/>
    </row>
    <row r="22" spans="1:43" s="7" customFormat="1" ht="13.5">
      <c r="A22" s="31" t="s">
        <v>156</v>
      </c>
      <c r="B22" s="18"/>
      <c r="C22" s="105" t="s">
        <v>160</v>
      </c>
      <c r="D22" s="97" t="s">
        <v>49</v>
      </c>
      <c r="E22" s="98" t="s">
        <v>66</v>
      </c>
      <c r="F22" s="99" t="s">
        <v>51</v>
      </c>
      <c r="G22" s="37">
        <f>$H22*$I22/2</f>
        <v>64</v>
      </c>
      <c r="H22" s="123">
        <v>16</v>
      </c>
      <c r="I22" s="124">
        <v>8</v>
      </c>
      <c r="J22" s="146">
        <f>$H22/2</f>
        <v>8</v>
      </c>
      <c r="K22" s="147">
        <f>$I22/2</f>
        <v>4</v>
      </c>
      <c r="L22" s="77">
        <f>$G22/VLOOKUP($E22,Ore_Density[],2,FALSE)/Vanilla_COG_Divisor</f>
        <v>4.0078277886497062</v>
      </c>
      <c r="M22" s="82" t="str">
        <f>IF(OR($E22="Layered Veins",$E22="Small Deposits",$E22="Geode"),"Motherlode",IF(OR($E22="Pipe Veins",$E22="Sparse Veins",$E22="Vertical Veins"),"No","ERROR"))</f>
        <v>Motherlode</v>
      </c>
      <c r="N22" s="86">
        <v>1</v>
      </c>
      <c r="O22" s="86">
        <v>1</v>
      </c>
      <c r="P22" s="82" t="str">
        <f>IF(OR($E22="Layered Veins",$E22="Pipe Veins",$E22="Sparse Veins"),"Branches",IF($E22="Vertical Veins","Vertical","none"))</f>
        <v>Branches</v>
      </c>
      <c r="Q22" s="152">
        <f>SQRT($L22)*$N22</f>
        <v>2.0019559906875339</v>
      </c>
      <c r="R22" s="152">
        <f>IF($M22="Motherlode",(($O22*SQRT($L22))^(1/2))^(1/3),"none")</f>
        <v>1.1226449342406764</v>
      </c>
      <c r="S22" s="152">
        <f>IF($P22="Branches",SQRT($L22)^(1/2),IF($P22="Vertical","default",$P22))</f>
        <v>1.4149049405128014</v>
      </c>
      <c r="T22" s="153">
        <f>IF($P22="Branches",SQRT(SQRT($L22))^(1/2),IF($P22="Vertical",SQRT($L22)^(1/2),"none"))</f>
        <v>1.1894977681831949</v>
      </c>
      <c r="U22" s="77">
        <f>$G22/VLOOKUP($F22,Ore_Density[],2,FALSE)/Vanilla_COG_Divisor</f>
        <v>1.7857142857142858</v>
      </c>
      <c r="V22" s="158">
        <f>SQRT($U22)</f>
        <v>1.3363062095621219</v>
      </c>
      <c r="W22" s="147">
        <f>SQRT(SQRT($U22))</f>
        <v>1.1559871147906977</v>
      </c>
      <c r="X22" s="70">
        <f>$Y22+$AB22</f>
        <v>67</v>
      </c>
      <c r="Y22" s="71">
        <f>($AC22-$AB22)/2</f>
        <v>61</v>
      </c>
      <c r="Z22" s="71">
        <f>$AA22+$AB22</f>
        <v>127.8</v>
      </c>
      <c r="AA22" s="72">
        <f>($AG22-$AB22)/2</f>
        <v>121.8</v>
      </c>
      <c r="AB22" s="128">
        <v>6</v>
      </c>
      <c r="AC22" s="128">
        <v>128</v>
      </c>
      <c r="AD22" s="128"/>
      <c r="AE22" s="71">
        <f>IF($AD22="No",0,IF($AJ22="overworld",IF($X22&lt;64,64+($X22*3),0),0))</f>
        <v>0</v>
      </c>
      <c r="AF22" s="71">
        <f>IF($AD22="No",0,IF($AJ22="Overworld",IF($X22&lt;64,($Y22*3),0),0))</f>
        <v>0</v>
      </c>
      <c r="AG22" s="32">
        <f>IF($AC22&gt;64,64+(($AC22-64)*2.9),$AC22)</f>
        <v>249.6</v>
      </c>
      <c r="AH22" s="41" t="s">
        <v>161</v>
      </c>
      <c r="AI22" s="42"/>
      <c r="AJ22" s="131" t="s">
        <v>53</v>
      </c>
      <c r="AK22" s="20" t="str">
        <f>IF($X22&gt;64,"uniform",IF($AJ22="Overworld","normal","uniform"))</f>
        <v>uniform</v>
      </c>
      <c r="AL22" s="109" t="s">
        <v>162</v>
      </c>
      <c r="AM22" s="110" t="s">
        <v>64</v>
      </c>
      <c r="AN22" s="117"/>
      <c r="AO22" s="118" t="s">
        <v>56</v>
      </c>
      <c r="AP22" s="46"/>
    </row>
    <row r="23" spans="1:43" s="7" customFormat="1" ht="13.5">
      <c r="A23" s="31" t="s">
        <v>156</v>
      </c>
      <c r="B23" s="18"/>
      <c r="C23" s="105" t="s">
        <v>163</v>
      </c>
      <c r="D23" s="97" t="s">
        <v>49</v>
      </c>
      <c r="E23" s="98" t="s">
        <v>66</v>
      </c>
      <c r="F23" s="100" t="s">
        <v>51</v>
      </c>
      <c r="G23" s="37">
        <f>$H23*$I23/2</f>
        <v>64</v>
      </c>
      <c r="H23" s="123">
        <v>16</v>
      </c>
      <c r="I23" s="124">
        <v>8</v>
      </c>
      <c r="J23" s="146">
        <f>$H23/2</f>
        <v>8</v>
      </c>
      <c r="K23" s="147">
        <f>$I23/2</f>
        <v>4</v>
      </c>
      <c r="L23" s="77">
        <f>$G23/VLOOKUP($E23,Ore_Density[],2,FALSE)/Vanilla_COG_Divisor</f>
        <v>4.0078277886497062</v>
      </c>
      <c r="M23" s="82" t="str">
        <f>IF(OR($E23="Layered Veins",$E23="Small Deposits",$E23="Geode"),"Motherlode",IF(OR($E23="Pipe Veins",$E23="Sparse Veins",$E23="Vertical Veins"),"No","ERROR"))</f>
        <v>Motherlode</v>
      </c>
      <c r="N23" s="86">
        <v>1</v>
      </c>
      <c r="O23" s="86">
        <v>1</v>
      </c>
      <c r="P23" s="82" t="str">
        <f>IF(OR($E23="Layered Veins",$E23="Pipe Veins",$E23="Sparse Veins"),"Branches",IF($E23="Vertical Veins","Vertical","none"))</f>
        <v>Branches</v>
      </c>
      <c r="Q23" s="152">
        <f>SQRT($L23)*$N23</f>
        <v>2.0019559906875339</v>
      </c>
      <c r="R23" s="152">
        <f>IF($M23="Motherlode",(($O23*SQRT($L23))^(1/2))^(1/3),"none")</f>
        <v>1.1226449342406764</v>
      </c>
      <c r="S23" s="152">
        <f>IF($P23="Branches",SQRT($L23)^(1/2),IF($P23="Vertical","default",$P23))</f>
        <v>1.4149049405128014</v>
      </c>
      <c r="T23" s="153">
        <f>IF($P23="Branches",SQRT(SQRT($L23))^(1/2),IF($P23="Vertical",SQRT($L23)^(1/2),"none"))</f>
        <v>1.1894977681831949</v>
      </c>
      <c r="U23" s="77">
        <f>$G23/VLOOKUP($F23,Ore_Density[],2,FALSE)/Vanilla_COG_Divisor</f>
        <v>1.7857142857142858</v>
      </c>
      <c r="V23" s="158">
        <f>SQRT($U23)</f>
        <v>1.3363062095621219</v>
      </c>
      <c r="W23" s="147">
        <f>SQRT(SQRT($U23))</f>
        <v>1.1559871147906977</v>
      </c>
      <c r="X23" s="70">
        <f>$Y23+$AB23</f>
        <v>67</v>
      </c>
      <c r="Y23" s="71">
        <f>($AC23-$AB23)/2</f>
        <v>61</v>
      </c>
      <c r="Z23" s="71">
        <f>$AA23+$AB23</f>
        <v>127.8</v>
      </c>
      <c r="AA23" s="72">
        <f>($AG23-$AB23)/2</f>
        <v>121.8</v>
      </c>
      <c r="AB23" s="128">
        <v>6</v>
      </c>
      <c r="AC23" s="128">
        <v>128</v>
      </c>
      <c r="AD23" s="128"/>
      <c r="AE23" s="71">
        <f>IF($AD23="No",0,IF($AJ23="overworld",IF($X23&lt;64,64+($X23*3),0),0))</f>
        <v>0</v>
      </c>
      <c r="AF23" s="71">
        <f>IF($AD23="No",0,IF($AJ23="Overworld",IF($X23&lt;64,($Y23*3),0),0))</f>
        <v>0</v>
      </c>
      <c r="AG23" s="32">
        <f>IF($AC23&gt;64,64+(($AC23-64)*2.9),$AC23)</f>
        <v>249.6</v>
      </c>
      <c r="AH23" s="41" t="s">
        <v>164</v>
      </c>
      <c r="AI23" s="42"/>
      <c r="AJ23" s="131" t="s">
        <v>53</v>
      </c>
      <c r="AK23" s="20" t="str">
        <f>IF($X23&gt;64,"uniform",IF($AJ23="Overworld","normal","uniform"))</f>
        <v>uniform</v>
      </c>
      <c r="AL23" s="109" t="s">
        <v>165</v>
      </c>
      <c r="AM23" s="110" t="s">
        <v>64</v>
      </c>
      <c r="AN23" s="117"/>
      <c r="AO23" s="118" t="s">
        <v>56</v>
      </c>
      <c r="AP23" s="46"/>
    </row>
    <row r="24" spans="1:43" s="7" customFormat="1" ht="13.5">
      <c r="A24" s="31" t="s">
        <v>156</v>
      </c>
      <c r="B24" s="18"/>
      <c r="C24" s="105" t="s">
        <v>166</v>
      </c>
      <c r="D24" s="97" t="s">
        <v>49</v>
      </c>
      <c r="E24" s="98" t="s">
        <v>66</v>
      </c>
      <c r="F24" s="99" t="s">
        <v>51</v>
      </c>
      <c r="G24" s="37">
        <f>$H24*$I24/2</f>
        <v>88</v>
      </c>
      <c r="H24" s="123">
        <v>22</v>
      </c>
      <c r="I24" s="124">
        <v>8</v>
      </c>
      <c r="J24" s="146">
        <f>$H24/2</f>
        <v>11</v>
      </c>
      <c r="K24" s="147">
        <f>$I24/2</f>
        <v>4</v>
      </c>
      <c r="L24" s="77">
        <f>$G24/VLOOKUP($E24,Ore_Density[],2,FALSE)/Vanilla_COG_Divisor</f>
        <v>5.5107632093933461</v>
      </c>
      <c r="M24" s="82" t="str">
        <f>IF(OR($E24="Layered Veins",$E24="Small Deposits",$E24="Geode"),"Motherlode",IF(OR($E24="Pipe Veins",$E24="Sparse Veins",$E24="Vertical Veins"),"No","ERROR"))</f>
        <v>Motherlode</v>
      </c>
      <c r="N24" s="86">
        <v>1</v>
      </c>
      <c r="O24" s="86">
        <v>1</v>
      </c>
      <c r="P24" s="82" t="str">
        <f>IF(OR($E24="Layered Veins",$E24="Pipe Veins",$E24="Sparse Veins"),"Branches",IF($E24="Vertical Veins","Vertical","none"))</f>
        <v>Branches</v>
      </c>
      <c r="Q24" s="152">
        <f>SQRT($L24)*$N24</f>
        <v>2.3475014822984344</v>
      </c>
      <c r="R24" s="152">
        <f>IF($M24="Motherlode",(($O24*SQRT($L24))^(1/2))^(1/3),"none")</f>
        <v>1.1528363078767303</v>
      </c>
      <c r="S24" s="152">
        <f>IF($P24="Branches",SQRT($L24)^(1/2),IF($P24="Vertical","default",$P24))</f>
        <v>1.5321558283341921</v>
      </c>
      <c r="T24" s="153">
        <f>IF($P24="Branches",SQRT(SQRT($L24))^(1/2),IF($P24="Vertical",SQRT($L24)^(1/2),"none"))</f>
        <v>1.2378028228818159</v>
      </c>
      <c r="U24" s="77">
        <f>$G24/VLOOKUP($F24,Ore_Density[],2,FALSE)/Vanilla_COG_Divisor</f>
        <v>2.4553571428571428</v>
      </c>
      <c r="V24" s="158">
        <f>SQRT($U24)</f>
        <v>1.5669579263200217</v>
      </c>
      <c r="W24" s="147">
        <f>SQRT(SQRT($U24))</f>
        <v>1.2517819004603086</v>
      </c>
      <c r="X24" s="70">
        <f>$Y24+$AB24</f>
        <v>67</v>
      </c>
      <c r="Y24" s="71">
        <f>($AC24-$AB24)/2</f>
        <v>61</v>
      </c>
      <c r="Z24" s="71">
        <f>$AA24+$AB24</f>
        <v>127.8</v>
      </c>
      <c r="AA24" s="72">
        <f>($AG24-$AB24)/2</f>
        <v>121.8</v>
      </c>
      <c r="AB24" s="128">
        <v>6</v>
      </c>
      <c r="AC24" s="128">
        <v>128</v>
      </c>
      <c r="AD24" s="128"/>
      <c r="AE24" s="71">
        <f>IF($AD24="No",0,IF($AJ24="overworld",IF($X24&lt;64,64+($X24*3),0),0))</f>
        <v>0</v>
      </c>
      <c r="AF24" s="71">
        <f>IF($AD24="No",0,IF($AJ24="Overworld",IF($X24&lt;64,($Y24*3),0),0))</f>
        <v>0</v>
      </c>
      <c r="AG24" s="32">
        <f>IF($AC24&gt;64,64+(($AC24-64)*2.9),$AC24)</f>
        <v>249.6</v>
      </c>
      <c r="AH24" s="41" t="s">
        <v>167</v>
      </c>
      <c r="AI24" s="42"/>
      <c r="AJ24" s="131" t="s">
        <v>53</v>
      </c>
      <c r="AK24" s="20" t="str">
        <f>IF($X24&gt;64,"uniform",IF($AJ24="Overworld","normal","uniform"))</f>
        <v>uniform</v>
      </c>
      <c r="AL24" s="109" t="s">
        <v>168</v>
      </c>
      <c r="AM24" s="110" t="s">
        <v>64</v>
      </c>
      <c r="AN24" s="117"/>
      <c r="AO24" s="118" t="s">
        <v>56</v>
      </c>
      <c r="AP24" s="46"/>
    </row>
    <row r="25" spans="1:43" s="7" customFormat="1" ht="13.5">
      <c r="A25" s="31" t="s">
        <v>156</v>
      </c>
      <c r="B25" s="18"/>
      <c r="C25" s="105" t="s">
        <v>169</v>
      </c>
      <c r="D25" s="97" t="s">
        <v>49</v>
      </c>
      <c r="E25" s="98" t="s">
        <v>66</v>
      </c>
      <c r="F25" s="99" t="s">
        <v>51</v>
      </c>
      <c r="G25" s="37">
        <f>$H25*$I25/2</f>
        <v>77</v>
      </c>
      <c r="H25" s="123">
        <v>22</v>
      </c>
      <c r="I25" s="124">
        <v>7</v>
      </c>
      <c r="J25" s="146">
        <f>$H25/2</f>
        <v>11</v>
      </c>
      <c r="K25" s="147">
        <f>$I25/2</f>
        <v>3.5</v>
      </c>
      <c r="L25" s="77">
        <f>$G25/VLOOKUP($E25,Ore_Density[],2,FALSE)/Vanilla_COG_Divisor</f>
        <v>4.8219178082191778</v>
      </c>
      <c r="M25" s="82" t="str">
        <f>IF(OR($E25="Layered Veins",$E25="Small Deposits",$E25="Geode"),"Motherlode",IF(OR($E25="Pipe Veins",$E25="Sparse Veins",$E25="Vertical Veins"),"No","ERROR"))</f>
        <v>Motherlode</v>
      </c>
      <c r="N25" s="86">
        <v>1</v>
      </c>
      <c r="O25" s="86">
        <v>1</v>
      </c>
      <c r="P25" s="82" t="str">
        <f>IF(OR($E25="Layered Veins",$E25="Pipe Veins",$E25="Sparse Veins"),"Branches",IF($E25="Vertical Veins","Vertical","none"))</f>
        <v>Branches</v>
      </c>
      <c r="Q25" s="152">
        <f>SQRT($L25)*$N25</f>
        <v>2.1958865654261785</v>
      </c>
      <c r="R25" s="152">
        <f>IF($M25="Motherlode",(($O25*SQRT($L25))^(1/2))^(1/3),"none")</f>
        <v>1.1400790983733966</v>
      </c>
      <c r="S25" s="152">
        <f>IF($P25="Branches",SQRT($L25)^(1/2),IF($P25="Vertical","default",$P25))</f>
        <v>1.4818524101361035</v>
      </c>
      <c r="T25" s="153">
        <f>IF($P25="Branches",SQRT(SQRT($L25))^(1/2),IF($P25="Vertical",SQRT($L25)^(1/2),"none"))</f>
        <v>1.2173136038573229</v>
      </c>
      <c r="U25" s="77">
        <f>$G25/VLOOKUP($F25,Ore_Density[],2,FALSE)/Vanilla_COG_Divisor</f>
        <v>2.1484375</v>
      </c>
      <c r="V25" s="158">
        <f>SQRT($U25)</f>
        <v>1.4657549249448218</v>
      </c>
      <c r="W25" s="147">
        <f>SQRT(SQRT($U25))</f>
        <v>1.2106836601461266</v>
      </c>
      <c r="X25" s="70">
        <f>$Y25+$AB25</f>
        <v>67</v>
      </c>
      <c r="Y25" s="71">
        <f>($AC25-$AB25)/2</f>
        <v>61</v>
      </c>
      <c r="Z25" s="71">
        <f>$AA25+$AB25</f>
        <v>127.8</v>
      </c>
      <c r="AA25" s="72">
        <f>($AG25-$AB25)/2</f>
        <v>121.8</v>
      </c>
      <c r="AB25" s="128">
        <v>6</v>
      </c>
      <c r="AC25" s="128">
        <v>128</v>
      </c>
      <c r="AD25" s="128"/>
      <c r="AE25" s="71">
        <f>IF($AD25="No",0,IF($AJ25="overworld",IF($X25&lt;64,64+($X25*3),0),0))</f>
        <v>0</v>
      </c>
      <c r="AF25" s="71">
        <f>IF($AD25="No",0,IF($AJ25="Overworld",IF($X25&lt;64,($Y25*3),0),0))</f>
        <v>0</v>
      </c>
      <c r="AG25" s="32">
        <f>IF($AC25&gt;64,64+(($AC25-64)*2.9),$AC25)</f>
        <v>249.6</v>
      </c>
      <c r="AH25" s="41" t="s">
        <v>170</v>
      </c>
      <c r="AI25" s="42"/>
      <c r="AJ25" s="131" t="s">
        <v>53</v>
      </c>
      <c r="AK25" s="20" t="str">
        <f>IF($X25&gt;64,"uniform",IF($AJ25="Overworld","normal","uniform"))</f>
        <v>uniform</v>
      </c>
      <c r="AL25" s="109" t="s">
        <v>171</v>
      </c>
      <c r="AM25" s="110" t="s">
        <v>64</v>
      </c>
      <c r="AN25" s="117"/>
      <c r="AO25" s="118" t="s">
        <v>56</v>
      </c>
      <c r="AP25" s="46"/>
    </row>
    <row r="26" spans="1:43" s="7" customFormat="1" ht="13.5">
      <c r="A26" s="31" t="s">
        <v>172</v>
      </c>
      <c r="B26" s="18"/>
      <c r="C26" s="105" t="s">
        <v>185</v>
      </c>
      <c r="D26" s="97" t="s">
        <v>59</v>
      </c>
      <c r="E26" s="98" t="s">
        <v>66</v>
      </c>
      <c r="F26" s="99" t="s">
        <v>61</v>
      </c>
      <c r="G26" s="37">
        <f>$H26*$I26/2</f>
        <v>63</v>
      </c>
      <c r="H26" s="123">
        <v>7</v>
      </c>
      <c r="I26" s="124">
        <v>18</v>
      </c>
      <c r="J26" s="146">
        <f>$H26/2</f>
        <v>3.5</v>
      </c>
      <c r="K26" s="147">
        <f>$I26/2</f>
        <v>9</v>
      </c>
      <c r="L26" s="77">
        <f>$G26/VLOOKUP($E26,Ore_Density[],2,FALSE)/Vanilla_COG_Divisor</f>
        <v>3.945205479452055</v>
      </c>
      <c r="M26" s="82" t="str">
        <f>IF(OR($E26="Layered Veins",$E26="Small Deposits",$E26="Geode"),"Motherlode",IF(OR($E26="Pipe Veins",$E26="Sparse Veins",$E26="Vertical Veins"),"No","ERROR"))</f>
        <v>Motherlode</v>
      </c>
      <c r="N26" s="86">
        <v>1</v>
      </c>
      <c r="O26" s="86">
        <v>1</v>
      </c>
      <c r="P26" s="82" t="str">
        <f>IF(OR($E26="Layered Veins",$E26="Pipe Veins",$E26="Sparse Veins"),"Branches",IF($E26="Vertical Veins","Vertical","none"))</f>
        <v>Branches</v>
      </c>
      <c r="Q26" s="152">
        <f>SQRT($L26)*$N26</f>
        <v>1.9862541326456831</v>
      </c>
      <c r="R26" s="152">
        <f>IF($M26="Motherlode",(($O26*SQRT($L26))^(1/2))^(1/3),"none")</f>
        <v>1.1211725828174122</v>
      </c>
      <c r="S26" s="152">
        <f>IF($P26="Branches",SQRT($L26)^(1/2),IF($P26="Vertical","default",$P26))</f>
        <v>1.4093452851042867</v>
      </c>
      <c r="T26" s="153">
        <f>IF($P26="Branches",SQRT(SQRT($L26))^(1/2),IF($P26="Vertical",SQRT($L26)^(1/2),"none"))</f>
        <v>1.187158491990133</v>
      </c>
      <c r="U26" s="78">
        <f>$G26/Stratum_Clouds_Ores_Per_Chunk/Vanilla_COG_Divisor</f>
        <v>1.7578125</v>
      </c>
      <c r="V26" s="158">
        <f>SQRT($U26)</f>
        <v>1.3258252147247767</v>
      </c>
      <c r="W26" s="147">
        <f>SQRT(SQRT($U26))</f>
        <v>1.1514448378992268</v>
      </c>
      <c r="X26" s="70">
        <f>$Y26+$AB26</f>
        <v>25</v>
      </c>
      <c r="Y26" s="71">
        <f>($AC26-$AB26)/2</f>
        <v>20</v>
      </c>
      <c r="Z26" s="71">
        <f>$AA26+$AB26</f>
        <v>25</v>
      </c>
      <c r="AA26" s="72">
        <f>($AG26-$AB26)/2</f>
        <v>20</v>
      </c>
      <c r="AB26" s="128">
        <v>5</v>
      </c>
      <c r="AC26" s="128">
        <v>45</v>
      </c>
      <c r="AD26" s="128"/>
      <c r="AE26" s="71">
        <f>IF($AD26="No",0,IF($AJ26="overworld",IF($X26&lt;64,64+($X26*3),0),0))</f>
        <v>139</v>
      </c>
      <c r="AF26" s="71">
        <f>IF($AD26="No",0,IF($AJ26="Overworld",IF($X26&lt;64,($Y26*3),0),0))</f>
        <v>60</v>
      </c>
      <c r="AG26" s="32">
        <f>IF($AC26&gt;64,64+(($AC26-64)*2.9),$AC26)</f>
        <v>45</v>
      </c>
      <c r="AH26" s="41" t="s">
        <v>186</v>
      </c>
      <c r="AI26" s="42"/>
      <c r="AJ26" s="131" t="s">
        <v>53</v>
      </c>
      <c r="AK26" s="20" t="str">
        <f>IF($X26&gt;64,"uniform",IF($AJ26="Overworld","normal","uniform"))</f>
        <v>normal</v>
      </c>
      <c r="AL26" s="109" t="s">
        <v>187</v>
      </c>
      <c r="AM26" s="110" t="s">
        <v>64</v>
      </c>
      <c r="AN26" s="117"/>
      <c r="AO26" s="118" t="s">
        <v>56</v>
      </c>
      <c r="AP26" s="46"/>
    </row>
    <row r="27" spans="1:43" s="7" customFormat="1" ht="13.5">
      <c r="A27" s="31" t="s">
        <v>172</v>
      </c>
      <c r="B27" s="18"/>
      <c r="C27" s="105" t="s">
        <v>176</v>
      </c>
      <c r="D27" s="97" t="s">
        <v>59</v>
      </c>
      <c r="E27" s="98" t="s">
        <v>66</v>
      </c>
      <c r="F27" s="99" t="s">
        <v>61</v>
      </c>
      <c r="G27" s="37">
        <f>$H27*$I27/2</f>
        <v>84</v>
      </c>
      <c r="H27" s="123">
        <v>7</v>
      </c>
      <c r="I27" s="124">
        <v>24</v>
      </c>
      <c r="J27" s="146">
        <f>$H27/2</f>
        <v>3.5</v>
      </c>
      <c r="K27" s="147">
        <f>$I27/2</f>
        <v>12</v>
      </c>
      <c r="L27" s="77">
        <f>$G27/VLOOKUP($E27,Ore_Density[],2,FALSE)/Vanilla_COG_Divisor</f>
        <v>5.2602739726027394</v>
      </c>
      <c r="M27" s="82" t="str">
        <f>IF(OR($E27="Layered Veins",$E27="Small Deposits",$E27="Geode"),"Motherlode",IF(OR($E27="Pipe Veins",$E27="Sparse Veins",$E27="Vertical Veins"),"No","ERROR"))</f>
        <v>Motherlode</v>
      </c>
      <c r="N27" s="86">
        <v>1</v>
      </c>
      <c r="O27" s="86">
        <v>1</v>
      </c>
      <c r="P27" s="82" t="str">
        <f>IF(OR($E27="Layered Veins",$E27="Pipe Veins",$E27="Sparse Veins"),"Branches",IF($E27="Vertical Veins","Vertical","none"))</f>
        <v>Branches</v>
      </c>
      <c r="Q27" s="152">
        <f>SQRT($L27)*$N27</f>
        <v>2.2935287163239835</v>
      </c>
      <c r="R27" s="152">
        <f>IF($M27="Motherlode",(($O27*SQRT($L27))^(1/2))^(1/3),"none")</f>
        <v>1.1483757958361527</v>
      </c>
      <c r="S27" s="152">
        <f>IF($P27="Branches",SQRT($L27)^(1/2),IF($P27="Vertical","default",$P27))</f>
        <v>1.5144400669303435</v>
      </c>
      <c r="T27" s="153">
        <f>IF($P27="Branches",SQRT(SQRT($L27))^(1/2),IF($P27="Vertical",SQRT($L27)^(1/2),"none"))</f>
        <v>1.2306258842273485</v>
      </c>
      <c r="U27" s="78">
        <f>$G27/Stratum_Clouds_Ores_Per_Chunk/Vanilla_COG_Divisor</f>
        <v>2.34375</v>
      </c>
      <c r="V27" s="158">
        <f>SQRT($U27)</f>
        <v>1.5309310892394863</v>
      </c>
      <c r="W27" s="147">
        <f>SQRT(SQRT($U27))</f>
        <v>1.2373080009599413</v>
      </c>
      <c r="X27" s="70">
        <f>$Y27+$AB27</f>
        <v>40</v>
      </c>
      <c r="Y27" s="71">
        <f>($AC27-$AB27)/2</f>
        <v>35</v>
      </c>
      <c r="Z27" s="71">
        <f>$AA27+$AB27</f>
        <v>50.45</v>
      </c>
      <c r="AA27" s="72">
        <f>($AG27-$AB27)/2</f>
        <v>45.45</v>
      </c>
      <c r="AB27" s="128">
        <v>5</v>
      </c>
      <c r="AC27" s="128">
        <v>75</v>
      </c>
      <c r="AD27" s="128"/>
      <c r="AE27" s="71">
        <f>IF($AD27="No",0,IF($AJ27="overworld",IF($X27&lt;64,64+($X27*3),0),0))</f>
        <v>184</v>
      </c>
      <c r="AF27" s="71">
        <f>IF($AD27="No",0,IF($AJ27="Overworld",IF($X27&lt;64,($Y27*3),0),0))</f>
        <v>105</v>
      </c>
      <c r="AG27" s="32">
        <f>IF($AC27&gt;64,64+(($AC27-64)*2.9),$AC27)</f>
        <v>95.9</v>
      </c>
      <c r="AH27" s="41" t="s">
        <v>177</v>
      </c>
      <c r="AI27" s="42"/>
      <c r="AJ27" s="131" t="s">
        <v>53</v>
      </c>
      <c r="AK27" s="20" t="str">
        <f>IF($X27&gt;64,"uniform",IF($AJ27="Overworld","normal","uniform"))</f>
        <v>normal</v>
      </c>
      <c r="AL27" s="109" t="s">
        <v>178</v>
      </c>
      <c r="AM27" s="110" t="s">
        <v>64</v>
      </c>
      <c r="AN27" s="117"/>
      <c r="AO27" s="118" t="s">
        <v>56</v>
      </c>
      <c r="AP27" s="46"/>
    </row>
    <row r="28" spans="1:43" s="7" customFormat="1" ht="13.5">
      <c r="A28" s="31" t="s">
        <v>172</v>
      </c>
      <c r="B28" s="18"/>
      <c r="C28" s="105" t="s">
        <v>188</v>
      </c>
      <c r="D28" s="97" t="s">
        <v>59</v>
      </c>
      <c r="E28" s="98" t="s">
        <v>66</v>
      </c>
      <c r="F28" s="99" t="s">
        <v>61</v>
      </c>
      <c r="G28" s="37">
        <f>$H28*$I28/2</f>
        <v>32</v>
      </c>
      <c r="H28" s="123">
        <v>8</v>
      </c>
      <c r="I28" s="124">
        <v>8</v>
      </c>
      <c r="J28" s="146">
        <f>$H28/2</f>
        <v>4</v>
      </c>
      <c r="K28" s="147">
        <f>$I28/2</f>
        <v>4</v>
      </c>
      <c r="L28" s="77">
        <f>$G28/VLOOKUP($E28,Ore_Density[],2,FALSE)/Vanilla_COG_Divisor</f>
        <v>2.0039138943248531</v>
      </c>
      <c r="M28" s="82" t="str">
        <f>IF(OR($E28="Layered Veins",$E28="Small Deposits",$E28="Geode"),"Motherlode",IF(OR($E28="Pipe Veins",$E28="Sparse Veins",$E28="Vertical Veins"),"No","ERROR"))</f>
        <v>Motherlode</v>
      </c>
      <c r="N28" s="86">
        <v>1</v>
      </c>
      <c r="O28" s="86">
        <v>1</v>
      </c>
      <c r="P28" s="82" t="str">
        <f>IF(OR($E28="Layered Veins",$E28="Pipe Veins",$E28="Sparse Veins"),"Branches",IF($E28="Vertical Veins","Vertical","none"))</f>
        <v>Branches</v>
      </c>
      <c r="Q28" s="152">
        <f>SQRT($L28)*$N28</f>
        <v>1.4155966566521883</v>
      </c>
      <c r="R28" s="152">
        <f>IF($M28="Motherlode",(($O28*SQRT($L28))^(1/2))^(1/3),"none")</f>
        <v>1.0596357156920035</v>
      </c>
      <c r="S28" s="152">
        <f>IF($P28="Branches",SQRT($L28)^(1/2),IF($P28="Vertical","default",$P28))</f>
        <v>1.189788492401985</v>
      </c>
      <c r="T28" s="153">
        <f>IF($P28="Branches",SQRT(SQRT($L28))^(1/2),IF($P28="Vertical",SQRT($L28)^(1/2),"none"))</f>
        <v>1.0907742628069224</v>
      </c>
      <c r="U28" s="78">
        <f>$G28/Stratum_Clouds_Ores_Per_Chunk/Vanilla_COG_Divisor</f>
        <v>0.8928571428571429</v>
      </c>
      <c r="V28" s="158">
        <f>SQRT($U28)</f>
        <v>0.94491118252306805</v>
      </c>
      <c r="W28" s="147">
        <f>SQRT(SQRT($U28))</f>
        <v>0.972065420906982</v>
      </c>
      <c r="X28" s="70">
        <f>$Y28+$AB28</f>
        <v>23</v>
      </c>
      <c r="Y28" s="71">
        <f>($AC28-$AB28)/2</f>
        <v>12</v>
      </c>
      <c r="Z28" s="71">
        <f>$AA28+$AB28</f>
        <v>23</v>
      </c>
      <c r="AA28" s="72">
        <f>($AG28-$AB28)/2</f>
        <v>12</v>
      </c>
      <c r="AB28" s="128">
        <v>11</v>
      </c>
      <c r="AC28" s="128">
        <v>35</v>
      </c>
      <c r="AD28" s="128"/>
      <c r="AE28" s="71">
        <f>IF($AD28="No",0,IF($AJ28="overworld",IF($X28&lt;64,64+($X28*3),0),0))</f>
        <v>133</v>
      </c>
      <c r="AF28" s="71">
        <f>IF($AD28="No",0,IF($AJ28="Overworld",IF($X28&lt;64,($Y28*3),0),0))</f>
        <v>36</v>
      </c>
      <c r="AG28" s="32">
        <f>IF($AC28&gt;64,64+(($AC28-64)*2.9),$AC28)</f>
        <v>35</v>
      </c>
      <c r="AH28" s="41" t="s">
        <v>189</v>
      </c>
      <c r="AI28" s="42"/>
      <c r="AJ28" s="131" t="s">
        <v>53</v>
      </c>
      <c r="AK28" s="20" t="str">
        <f>IF($X28&gt;64,"uniform",IF($AJ28="Overworld","normal","uniform"))</f>
        <v>normal</v>
      </c>
      <c r="AL28" s="109" t="s">
        <v>190</v>
      </c>
      <c r="AM28" s="110" t="s">
        <v>64</v>
      </c>
      <c r="AN28" s="117"/>
      <c r="AO28" s="118" t="s">
        <v>56</v>
      </c>
      <c r="AP28" s="46"/>
    </row>
    <row r="29" spans="1:43" s="7" customFormat="1" ht="13.5">
      <c r="A29" s="31" t="s">
        <v>172</v>
      </c>
      <c r="B29" s="18"/>
      <c r="C29" s="105" t="s">
        <v>191</v>
      </c>
      <c r="D29" s="97" t="s">
        <v>59</v>
      </c>
      <c r="E29" s="98" t="s">
        <v>66</v>
      </c>
      <c r="F29" s="99" t="s">
        <v>61</v>
      </c>
      <c r="G29" s="37">
        <f>$H29*$I29/2</f>
        <v>24</v>
      </c>
      <c r="H29" s="123">
        <v>8</v>
      </c>
      <c r="I29" s="124">
        <v>6</v>
      </c>
      <c r="J29" s="146">
        <f>$H29/2</f>
        <v>4</v>
      </c>
      <c r="K29" s="147">
        <f>$I29/2</f>
        <v>3</v>
      </c>
      <c r="L29" s="77">
        <f>$G29/VLOOKUP($E29,Ore_Density[],2,FALSE)/Vanilla_COG_Divisor</f>
        <v>1.5029354207436398</v>
      </c>
      <c r="M29" s="82" t="str">
        <f>IF(OR($E29="Layered Veins",$E29="Small Deposits",$E29="Geode"),"Motherlode",IF(OR($E29="Pipe Veins",$E29="Sparse Veins",$E29="Vertical Veins"),"No","ERROR"))</f>
        <v>Motherlode</v>
      </c>
      <c r="N29" s="86">
        <v>1</v>
      </c>
      <c r="O29" s="86">
        <v>1</v>
      </c>
      <c r="P29" s="82" t="str">
        <f>IF(OR($E29="Layered Veins",$E29="Pipe Veins",$E29="Sparse Veins"),"Branches",IF($E29="Vertical Veins","Vertical","none"))</f>
        <v>Branches</v>
      </c>
      <c r="Q29" s="152">
        <f>SQRT($L29)*$N29</f>
        <v>1.2259426661731125</v>
      </c>
      <c r="R29" s="152">
        <f>IF($M29="Motherlode",(($O29*SQRT($L29))^(1/2))^(1/3),"none")</f>
        <v>1.0345346153372657</v>
      </c>
      <c r="S29" s="152">
        <f>IF($P29="Branches",SQRT($L29)^(1/2),IF($P29="Vertical","default",$P29))</f>
        <v>1.1072229523330486</v>
      </c>
      <c r="T29" s="153">
        <f>IF($P29="Branches",SQRT(SQRT($L29))^(1/2),IF($P29="Vertical",SQRT($L29)^(1/2),"none"))</f>
        <v>1.0522466214405484</v>
      </c>
      <c r="U29" s="78">
        <f>$G29/Stratum_Clouds_Ores_Per_Chunk/Vanilla_COG_Divisor</f>
        <v>0.6696428571428571</v>
      </c>
      <c r="V29" s="158">
        <f>SQRT($U29)</f>
        <v>0.81831708838497141</v>
      </c>
      <c r="W29" s="147">
        <f>SQRT(SQRT($U29))</f>
        <v>0.90460880406116506</v>
      </c>
      <c r="X29" s="70">
        <f>$Y29+$AB29</f>
        <v>32</v>
      </c>
      <c r="Y29" s="71">
        <f>($AC29-$AB29)/2</f>
        <v>16</v>
      </c>
      <c r="Z29" s="71">
        <f>$AA29+$AB29</f>
        <v>32</v>
      </c>
      <c r="AA29" s="72">
        <f>($AG29-$AB29)/2</f>
        <v>16</v>
      </c>
      <c r="AB29" s="128">
        <v>16</v>
      </c>
      <c r="AC29" s="128">
        <v>48</v>
      </c>
      <c r="AD29" s="128"/>
      <c r="AE29" s="71">
        <f>IF($AD29="No",0,IF($AJ29="overworld",IF($X29&lt;64,64+($X29*3),0),0))</f>
        <v>160</v>
      </c>
      <c r="AF29" s="71">
        <f>IF($AD29="No",0,IF($AJ29="Overworld",IF($X29&lt;64,($Y29*3),0),0))</f>
        <v>48</v>
      </c>
      <c r="AG29" s="32">
        <f>IF($AC29&gt;64,64+(($AC29-64)*2.9),$AC29)</f>
        <v>48</v>
      </c>
      <c r="AH29" s="41" t="s">
        <v>192</v>
      </c>
      <c r="AI29" s="42"/>
      <c r="AJ29" s="131" t="s">
        <v>53</v>
      </c>
      <c r="AK29" s="20" t="str">
        <f>IF($X29&gt;64,"uniform",IF($AJ29="Overworld","normal","uniform"))</f>
        <v>normal</v>
      </c>
      <c r="AL29" s="109" t="s">
        <v>193</v>
      </c>
      <c r="AM29" s="110" t="s">
        <v>64</v>
      </c>
      <c r="AN29" s="117"/>
      <c r="AO29" s="118" t="s">
        <v>56</v>
      </c>
      <c r="AP29" s="46"/>
    </row>
    <row r="30" spans="1:43" s="7" customFormat="1" ht="13.5">
      <c r="A30" s="31" t="s">
        <v>172</v>
      </c>
      <c r="B30" s="18"/>
      <c r="C30" s="105" t="s">
        <v>182</v>
      </c>
      <c r="D30" s="97" t="s">
        <v>59</v>
      </c>
      <c r="E30" s="98" t="s">
        <v>66</v>
      </c>
      <c r="F30" s="99" t="s">
        <v>61</v>
      </c>
      <c r="G30" s="37">
        <f>$H30*$I30/2</f>
        <v>4</v>
      </c>
      <c r="H30" s="123">
        <v>4</v>
      </c>
      <c r="I30" s="124">
        <v>2</v>
      </c>
      <c r="J30" s="146">
        <f>$H30/2</f>
        <v>2</v>
      </c>
      <c r="K30" s="147">
        <f>$I30/2</f>
        <v>1</v>
      </c>
      <c r="L30" s="77">
        <f>$G30/VLOOKUP($E30,Ore_Density[],2,FALSE)/Vanilla_COG_Divisor</f>
        <v>0.25048923679060664</v>
      </c>
      <c r="M30" s="82" t="str">
        <f>IF(OR($E30="Layered Veins",$E30="Small Deposits",$E30="Geode"),"Motherlode",IF(OR($E30="Pipe Veins",$E30="Sparse Veins",$E30="Vertical Veins"),"No","ERROR"))</f>
        <v>Motherlode</v>
      </c>
      <c r="N30" s="86">
        <v>1</v>
      </c>
      <c r="O30" s="86">
        <v>1</v>
      </c>
      <c r="P30" s="82" t="str">
        <f>IF(OR($E30="Layered Veins",$E30="Pipe Veins",$E30="Sparse Veins"),"Branches",IF($E30="Vertical Veins","Vertical","none"))</f>
        <v>Branches</v>
      </c>
      <c r="Q30" s="152">
        <f>SQRT($L30)*$N30</f>
        <v>0.50048899767188348</v>
      </c>
      <c r="R30" s="152">
        <f>IF($M30="Motherlode",(($O30*SQRT($L30))^(1/2))^(1/3),"none")</f>
        <v>0.89104387480020986</v>
      </c>
      <c r="S30" s="152">
        <f>IF($P30="Branches",SQRT($L30)^(1/2),IF($P30="Vertical","default",$P30))</f>
        <v>0.70745247025640068</v>
      </c>
      <c r="T30" s="153">
        <f>IF($P30="Branches",SQRT(SQRT($L30))^(1/2),IF($P30="Vertical",SQRT($L30)^(1/2),"none"))</f>
        <v>0.8411019380886009</v>
      </c>
      <c r="U30" s="78">
        <f>$G30/Stratum_Clouds_Ores_Per_Chunk/Vanilla_COG_Divisor</f>
        <v>0.11160714285714286</v>
      </c>
      <c r="V30" s="158">
        <f>SQRT($U30)</f>
        <v>0.33407655239053047</v>
      </c>
      <c r="W30" s="147">
        <f>SQRT(SQRT($U30))</f>
        <v>0.57799355739534886</v>
      </c>
      <c r="X30" s="70">
        <f>$Y30+$AB30</f>
        <v>11</v>
      </c>
      <c r="Y30" s="71">
        <f>($AC30-$AB30)/2</f>
        <v>5</v>
      </c>
      <c r="Z30" s="71">
        <f>$AA30+$AB30</f>
        <v>11</v>
      </c>
      <c r="AA30" s="72">
        <f>($AG30-$AB30)/2</f>
        <v>5</v>
      </c>
      <c r="AB30" s="128">
        <v>6</v>
      </c>
      <c r="AC30" s="128">
        <v>16</v>
      </c>
      <c r="AD30" s="128"/>
      <c r="AE30" s="71">
        <f>IF($AD30="No",0,IF($AJ30="overworld",IF($X30&lt;64,64+($X30*3),0),0))</f>
        <v>97</v>
      </c>
      <c r="AF30" s="71">
        <f>IF($AD30="No",0,IF($AJ30="Overworld",IF($X30&lt;64,($Y30*3),0),0))</f>
        <v>15</v>
      </c>
      <c r="AG30" s="32">
        <f>IF($AC30&gt;64,64+(($AC30-64)*2.9),$AC30)</f>
        <v>16</v>
      </c>
      <c r="AH30" s="41" t="s">
        <v>183</v>
      </c>
      <c r="AI30" s="42"/>
      <c r="AJ30" s="131" t="s">
        <v>53</v>
      </c>
      <c r="AK30" s="20" t="str">
        <f>IF($X30&gt;64,"uniform",IF($AJ30="Overworld","normal","uniform"))</f>
        <v>normal</v>
      </c>
      <c r="AL30" s="109" t="s">
        <v>184</v>
      </c>
      <c r="AM30" s="110" t="s">
        <v>64</v>
      </c>
      <c r="AN30" s="117"/>
      <c r="AO30" s="118" t="s">
        <v>56</v>
      </c>
      <c r="AP30" s="46"/>
    </row>
    <row r="31" spans="1:43" s="7" customFormat="1" ht="13.5">
      <c r="A31" s="31" t="s">
        <v>172</v>
      </c>
      <c r="B31" s="18"/>
      <c r="C31" s="105" t="s">
        <v>173</v>
      </c>
      <c r="D31" s="97" t="s">
        <v>59</v>
      </c>
      <c r="E31" s="98" t="s">
        <v>66</v>
      </c>
      <c r="F31" s="99" t="s">
        <v>61</v>
      </c>
      <c r="G31" s="37">
        <f>$H31*$I31/2</f>
        <v>16</v>
      </c>
      <c r="H31" s="123">
        <v>8</v>
      </c>
      <c r="I31" s="124">
        <v>4</v>
      </c>
      <c r="J31" s="146">
        <f>$H31/2</f>
        <v>4</v>
      </c>
      <c r="K31" s="147">
        <f>$I31/2</f>
        <v>2</v>
      </c>
      <c r="L31" s="77">
        <f>$G31/VLOOKUP($E31,Ore_Density[],2,FALSE)/Vanilla_COG_Divisor</f>
        <v>1.0019569471624266</v>
      </c>
      <c r="M31" s="82" t="str">
        <f>IF(OR($E31="Layered Veins",$E31="Small Deposits",$E31="Geode"),"Motherlode",IF(OR($E31="Pipe Veins",$E31="Sparse Veins",$E31="Vertical Veins"),"No","ERROR"))</f>
        <v>Motherlode</v>
      </c>
      <c r="N31" s="86">
        <v>1</v>
      </c>
      <c r="O31" s="86">
        <v>1</v>
      </c>
      <c r="P31" s="82" t="str">
        <f>IF(OR($E31="Layered Veins",$E31="Pipe Veins",$E31="Sparse Veins"),"Branches",IF($E31="Vertical Veins","Vertical","none"))</f>
        <v>Branches</v>
      </c>
      <c r="Q31" s="152">
        <f>SQRT($L31)*$N31</f>
        <v>1.000977995343767</v>
      </c>
      <c r="R31" s="152">
        <f>IF($M31="Motherlode",(($O31*SQRT($L31))^(1/2))^(1/3),"none")</f>
        <v>1.0001629328417641</v>
      </c>
      <c r="S31" s="152">
        <f>IF($P31="Branches",SQRT($L31)^(1/2),IF($P31="Vertical","default",$P31))</f>
        <v>1.0004888781709504</v>
      </c>
      <c r="T31" s="153">
        <f>IF($P31="Branches",SQRT(SQRT($L31))^(1/2),IF($P31="Vertical",SQRT($L31)^(1/2),"none"))</f>
        <v>1.0002444092175424</v>
      </c>
      <c r="U31" s="78">
        <f>$G31/Stratum_Clouds_Ores_Per_Chunk/Vanilla_COG_Divisor</f>
        <v>0.44642857142857145</v>
      </c>
      <c r="V31" s="158">
        <f>SQRT($U31)</f>
        <v>0.66815310478106094</v>
      </c>
      <c r="W31" s="147">
        <f>SQRT(SQRT($U31))</f>
        <v>0.81740632783277434</v>
      </c>
      <c r="X31" s="70">
        <f>$Y31+$AB31</f>
        <v>24</v>
      </c>
      <c r="Y31" s="71">
        <f>($AC31-$AB31)/2</f>
        <v>16</v>
      </c>
      <c r="Z31" s="71">
        <f>$AA31+$AB31</f>
        <v>24</v>
      </c>
      <c r="AA31" s="72">
        <f>($AG31-$AB31)/2</f>
        <v>16</v>
      </c>
      <c r="AB31" s="128">
        <v>8</v>
      </c>
      <c r="AC31" s="128">
        <v>40</v>
      </c>
      <c r="AD31" s="128"/>
      <c r="AE31" s="71">
        <f>IF($AD31="No",0,IF($AJ31="overworld",IF($X31&lt;64,64+($X31*3),0),0))</f>
        <v>136</v>
      </c>
      <c r="AF31" s="71">
        <f>IF($AD31="No",0,IF($AJ31="Overworld",IF($X31&lt;64,($Y31*3),0),0))</f>
        <v>48</v>
      </c>
      <c r="AG31" s="32">
        <f>IF($AC31&gt;64,64+(($AC31-64)*2.9),$AC31)</f>
        <v>40</v>
      </c>
      <c r="AH31" s="41" t="s">
        <v>174</v>
      </c>
      <c r="AI31" s="42"/>
      <c r="AJ31" s="131" t="s">
        <v>53</v>
      </c>
      <c r="AK31" s="20" t="str">
        <f>IF($X31&gt;64,"uniform",IF($AJ31="Overworld","normal","uniform"))</f>
        <v>normal</v>
      </c>
      <c r="AL31" s="109" t="s">
        <v>175</v>
      </c>
      <c r="AM31" s="110" t="s">
        <v>64</v>
      </c>
      <c r="AN31" s="117"/>
      <c r="AO31" s="118" t="s">
        <v>56</v>
      </c>
      <c r="AP31" s="46"/>
    </row>
    <row r="32" spans="1:43" s="7" customFormat="1" ht="13.5">
      <c r="A32" s="31" t="s">
        <v>172</v>
      </c>
      <c r="B32" s="18"/>
      <c r="C32" s="105" t="s">
        <v>179</v>
      </c>
      <c r="D32" s="97" t="s">
        <v>59</v>
      </c>
      <c r="E32" s="98" t="s">
        <v>66</v>
      </c>
      <c r="F32" s="99" t="s">
        <v>61</v>
      </c>
      <c r="G32" s="37">
        <f>$H32*$I32/2</f>
        <v>77</v>
      </c>
      <c r="H32" s="123">
        <v>7</v>
      </c>
      <c r="I32" s="124">
        <v>22</v>
      </c>
      <c r="J32" s="146">
        <f>$H32/2</f>
        <v>3.5</v>
      </c>
      <c r="K32" s="147">
        <f>$I32/2</f>
        <v>11</v>
      </c>
      <c r="L32" s="77">
        <f>$G32/VLOOKUP($E32,Ore_Density[],2,FALSE)/Vanilla_COG_Divisor</f>
        <v>4.8219178082191778</v>
      </c>
      <c r="M32" s="82" t="str">
        <f>IF(OR($E32="Layered Veins",$E32="Small Deposits",$E32="Geode"),"Motherlode",IF(OR($E32="Pipe Veins",$E32="Sparse Veins",$E32="Vertical Veins"),"No","ERROR"))</f>
        <v>Motherlode</v>
      </c>
      <c r="N32" s="86">
        <v>1</v>
      </c>
      <c r="O32" s="86">
        <v>1</v>
      </c>
      <c r="P32" s="82" t="str">
        <f>IF(OR($E32="Layered Veins",$E32="Pipe Veins",$E32="Sparse Veins"),"Branches",IF($E32="Vertical Veins","Vertical","none"))</f>
        <v>Branches</v>
      </c>
      <c r="Q32" s="152">
        <f>SQRT($L32)*$N32</f>
        <v>2.1958865654261785</v>
      </c>
      <c r="R32" s="152">
        <f>IF($M32="Motherlode",(($O32*SQRT($L32))^(1/2))^(1/3),"none")</f>
        <v>1.1400790983733966</v>
      </c>
      <c r="S32" s="152">
        <f>IF($P32="Branches",SQRT($L32)^(1/2),IF($P32="Vertical","default",$P32))</f>
        <v>1.4818524101361035</v>
      </c>
      <c r="T32" s="153">
        <f>IF($P32="Branches",SQRT(SQRT($L32))^(1/2),IF($P32="Vertical",SQRT($L32)^(1/2),"none"))</f>
        <v>1.2173136038573229</v>
      </c>
      <c r="U32" s="78">
        <f>$G32/Stratum_Clouds_Ores_Per_Chunk/Vanilla_COG_Divisor</f>
        <v>2.1484375</v>
      </c>
      <c r="V32" s="158">
        <f>SQRT($U32)</f>
        <v>1.4657549249448218</v>
      </c>
      <c r="W32" s="147">
        <f>SQRT(SQRT($U32))</f>
        <v>1.2106836601461266</v>
      </c>
      <c r="X32" s="70">
        <f>$Y32+$AB32</f>
        <v>33</v>
      </c>
      <c r="Y32" s="71">
        <f>($AC32-$AB32)/2</f>
        <v>27</v>
      </c>
      <c r="Z32" s="71">
        <f>$AA32+$AB32</f>
        <v>33</v>
      </c>
      <c r="AA32" s="72">
        <f>($AG32-$AB32)/2</f>
        <v>27</v>
      </c>
      <c r="AB32" s="128">
        <v>6</v>
      </c>
      <c r="AC32" s="128">
        <v>60</v>
      </c>
      <c r="AD32" s="128"/>
      <c r="AE32" s="71">
        <f>IF($AD32="No",0,IF($AJ32="overworld",IF($X32&lt;64,64+($X32*3),0),0))</f>
        <v>163</v>
      </c>
      <c r="AF32" s="71">
        <f>IF($AD32="No",0,IF($AJ32="Overworld",IF($X32&lt;64,($Y32*3),0),0))</f>
        <v>81</v>
      </c>
      <c r="AG32" s="32">
        <f>IF($AC32&gt;64,64+(($AC32-64)*2.9),$AC32)</f>
        <v>60</v>
      </c>
      <c r="AH32" s="41" t="s">
        <v>180</v>
      </c>
      <c r="AI32" s="42"/>
      <c r="AJ32" s="131" t="s">
        <v>53</v>
      </c>
      <c r="AK32" s="20" t="str">
        <f>IF($X32&gt;64,"uniform",IF($AJ32="Overworld","normal","uniform"))</f>
        <v>normal</v>
      </c>
      <c r="AL32" s="109" t="s">
        <v>181</v>
      </c>
      <c r="AM32" s="110" t="s">
        <v>64</v>
      </c>
      <c r="AN32" s="117"/>
      <c r="AO32" s="118" t="s">
        <v>56</v>
      </c>
      <c r="AP32" s="46"/>
    </row>
    <row r="33" spans="1:42" s="7" customFormat="1" ht="13.5">
      <c r="A33" s="31" t="s">
        <v>194</v>
      </c>
      <c r="B33" s="18"/>
      <c r="C33" s="105" t="s">
        <v>58</v>
      </c>
      <c r="D33" s="97" t="s">
        <v>59</v>
      </c>
      <c r="E33" s="98" t="s">
        <v>60</v>
      </c>
      <c r="F33" s="99" t="s">
        <v>61</v>
      </c>
      <c r="G33" s="37">
        <f>$H33*$I33/2</f>
        <v>160</v>
      </c>
      <c r="H33" s="123">
        <v>16</v>
      </c>
      <c r="I33" s="124">
        <v>20</v>
      </c>
      <c r="J33" s="146">
        <f>$H33/2</f>
        <v>8</v>
      </c>
      <c r="K33" s="147">
        <f>$I33/2</f>
        <v>10</v>
      </c>
      <c r="L33" s="77">
        <f>$G33/VLOOKUP($E33,Ore_Density[],2,FALSE)/Vanilla_COG_Divisor</f>
        <v>60.035543743495616</v>
      </c>
      <c r="M33" s="82" t="str">
        <f>IF(OR($E33="Layered Veins",$E33="Small Deposits",$E33="Geode"),"Motherlode",IF(OR($E33="Pipe Veins",$E33="Sparse Veins",$E33="Vertical Veins"),"No","ERROR"))</f>
        <v>No</v>
      </c>
      <c r="N33" s="86">
        <v>1</v>
      </c>
      <c r="O33" s="86">
        <v>1</v>
      </c>
      <c r="P33" s="82" t="str">
        <f>IF(OR($E33="Layered Veins",$E33="Pipe Veins",$E33="Sparse Veins"),"Branches",IF($E33="Vertical Veins","Vertical","none"))</f>
        <v>Branches</v>
      </c>
      <c r="Q33" s="152">
        <f>SQRT($L33)*$N33</f>
        <v>7.7482606915033267</v>
      </c>
      <c r="R33" s="152" t="str">
        <f>IF($M33="Motherlode",(($O33*SQRT($L33))^(1/2))^(1/3),"none")</f>
        <v>none</v>
      </c>
      <c r="S33" s="152">
        <f>IF($P33="Branches",SQRT($L33)^(1/2),IF($P33="Vertical","default",$P33))</f>
        <v>2.7835697748580555</v>
      </c>
      <c r="T33" s="153">
        <f>IF($P33="Branches",SQRT(SQRT($L33))^(1/2),IF($P33="Vertical",SQRT($L33)^(1/2),"none"))</f>
        <v>1.6684033609586308</v>
      </c>
      <c r="U33" s="77">
        <f>$G33/VLOOKUP($F33,Ore_Density[],2,FALSE)/Vanilla_COG_Divisor</f>
        <v>13.061224489795919</v>
      </c>
      <c r="V33" s="158">
        <f>SQRT($U33)</f>
        <v>3.6140316116210052</v>
      </c>
      <c r="W33" s="147">
        <f>SQRT(SQRT($U33))</f>
        <v>1.9010606543771835</v>
      </c>
      <c r="X33" s="70">
        <f>$Y33+$AB33</f>
        <v>64</v>
      </c>
      <c r="Y33" s="71">
        <f>($AC33-$AB33)/2</f>
        <v>64</v>
      </c>
      <c r="Z33" s="71">
        <f>$AA33+$AB33</f>
        <v>124.8</v>
      </c>
      <c r="AA33" s="72">
        <f>($AG33-$AB33)/2</f>
        <v>124.8</v>
      </c>
      <c r="AB33" s="128">
        <v>0</v>
      </c>
      <c r="AC33" s="128">
        <v>128</v>
      </c>
      <c r="AD33" s="128"/>
      <c r="AE33" s="71">
        <f>IF($AD33="No",0,IF($AJ33="overworld",IF($X33&lt;64,64+($X33*3),0),0))</f>
        <v>0</v>
      </c>
      <c r="AF33" s="71">
        <f>IF($AD33="No",0,IF($AJ33="Overworld",IF($X33&lt;64,($Y33*3),0),0))</f>
        <v>0</v>
      </c>
      <c r="AG33" s="32">
        <f>IF($AC33&gt;64,64+(($AC33-64)*2.9),$AC33)</f>
        <v>249.6</v>
      </c>
      <c r="AH33" s="41" t="s">
        <v>62</v>
      </c>
      <c r="AI33" s="42"/>
      <c r="AJ33" s="131" t="s">
        <v>53</v>
      </c>
      <c r="AK33" s="20" t="str">
        <f>IF($X33&gt;64,"uniform",IF($AJ33="Overworld","normal","uniform"))</f>
        <v>normal</v>
      </c>
      <c r="AL33" s="109" t="s">
        <v>195</v>
      </c>
      <c r="AM33" s="110" t="s">
        <v>64</v>
      </c>
      <c r="AN33" s="117" t="s">
        <v>196</v>
      </c>
      <c r="AO33" s="118" t="s">
        <v>197</v>
      </c>
      <c r="AP33" s="46"/>
    </row>
    <row r="34" spans="1:42" s="7" customFormat="1" ht="13.5">
      <c r="A34" s="31" t="s">
        <v>194</v>
      </c>
      <c r="B34" s="18"/>
      <c r="C34" s="105" t="s">
        <v>78</v>
      </c>
      <c r="D34" s="97" t="s">
        <v>59</v>
      </c>
      <c r="E34" s="98" t="s">
        <v>79</v>
      </c>
      <c r="F34" s="99" t="s">
        <v>61</v>
      </c>
      <c r="G34" s="37">
        <f>$H34*$I34/2</f>
        <v>3.5</v>
      </c>
      <c r="H34" s="123">
        <v>7</v>
      </c>
      <c r="I34" s="124">
        <v>1</v>
      </c>
      <c r="J34" s="146">
        <f>$H34/2</f>
        <v>3.5</v>
      </c>
      <c r="K34" s="147">
        <f>$I34/2</f>
        <v>0.5</v>
      </c>
      <c r="L34" s="77">
        <f>$G34/VLOOKUP($E34,Ore_Density[],2,FALSE)/Vanilla_COG_Divisor</f>
        <v>0.51020324864775735</v>
      </c>
      <c r="M34" s="82" t="str">
        <f>IF(OR($E34="Layered Veins",$E34="Small Deposits",$E34="Geode"),"Motherlode",IF(OR($E34="Pipe Veins",$E34="Sparse Veins",$E34="Vertical Veins"),"No","ERROR"))</f>
        <v>No</v>
      </c>
      <c r="N34" s="86">
        <v>1</v>
      </c>
      <c r="O34" s="86">
        <v>1</v>
      </c>
      <c r="P34" s="82" t="str">
        <f>IF(OR($E34="Layered Veins",$E34="Pipe Veins",$E34="Sparse Veins"),"Branches",IF($E34="Vertical Veins","Vertical","none"))</f>
        <v>Branches</v>
      </c>
      <c r="Q34" s="152">
        <f>SQRT($L34)*$N34</f>
        <v>0.71428513119604931</v>
      </c>
      <c r="R34" s="152" t="str">
        <f>IF($M34="Motherlode",(($O34*SQRT($L34))^(1/2))^(1/3),"none")</f>
        <v>none</v>
      </c>
      <c r="S34" s="152">
        <f>IF($P34="Branches",SQRT($L34)^(1/2),IF($P34="Vertical","default",$P34))</f>
        <v>0.84515390976794835</v>
      </c>
      <c r="T34" s="153">
        <f>IF($P34="Branches",SQRT(SQRT($L34))^(1/2),IF($P34="Vertical",SQRT($L34)^(1/2),"none"))</f>
        <v>0.9193225276082102</v>
      </c>
      <c r="U34" s="77">
        <f>$G34/VLOOKUP($F34,Ore_Density[],2,FALSE)/Vanilla_COG_Divisor</f>
        <v>0.2857142857142857</v>
      </c>
      <c r="V34" s="158">
        <f>SQRT($U34)</f>
        <v>0.53452248382484879</v>
      </c>
      <c r="W34" s="147">
        <f>SQRT(SQRT($U34))</f>
        <v>0.73111044570902473</v>
      </c>
      <c r="X34" s="70">
        <f>$Y34+$AB34</f>
        <v>8</v>
      </c>
      <c r="Y34" s="71">
        <f>($AC34-$AB34)/2</f>
        <v>8</v>
      </c>
      <c r="Z34" s="71">
        <f>$AA34+$AB34</f>
        <v>8</v>
      </c>
      <c r="AA34" s="72">
        <f>($AG34-$AB34)/2</f>
        <v>8</v>
      </c>
      <c r="AB34" s="128">
        <v>0</v>
      </c>
      <c r="AC34" s="128">
        <v>16</v>
      </c>
      <c r="AD34" s="128" t="s">
        <v>790</v>
      </c>
      <c r="AE34" s="71">
        <f>IF($AD34="No",0,IF($AJ34="overworld",IF($X34&lt;64,64+($X34*3),0),0))</f>
        <v>0</v>
      </c>
      <c r="AF34" s="71">
        <f>IF($AD34="No",0,IF($AJ34="Overworld",IF($X34&lt;64,($Y34*3),0),0))</f>
        <v>0</v>
      </c>
      <c r="AG34" s="32">
        <f>IF($AC34&gt;64,64+(($AC34-64)*2.9),$AC34)</f>
        <v>16</v>
      </c>
      <c r="AH34" s="41" t="s">
        <v>80</v>
      </c>
      <c r="AI34" s="42" t="s">
        <v>81</v>
      </c>
      <c r="AJ34" s="131" t="s">
        <v>53</v>
      </c>
      <c r="AK34" s="20" t="str">
        <f>IF($X34&gt;64,"uniform",IF($AJ34="Overworld","normal","uniform"))</f>
        <v>normal</v>
      </c>
      <c r="AL34" s="109" t="s">
        <v>203</v>
      </c>
      <c r="AM34" s="110" t="s">
        <v>64</v>
      </c>
      <c r="AN34" s="117" t="s">
        <v>204</v>
      </c>
      <c r="AO34" s="118" t="s">
        <v>205</v>
      </c>
      <c r="AP34" s="46"/>
    </row>
    <row r="35" spans="1:42" s="7" customFormat="1" ht="13.5">
      <c r="A35" s="31" t="s">
        <v>194</v>
      </c>
      <c r="B35" s="18"/>
      <c r="C35" s="105" t="s">
        <v>88</v>
      </c>
      <c r="D35" s="97" t="s">
        <v>59</v>
      </c>
      <c r="E35" s="98" t="s">
        <v>79</v>
      </c>
      <c r="F35" s="99" t="s">
        <v>61</v>
      </c>
      <c r="G35" s="37">
        <f>$H35*$I35/2</f>
        <v>9</v>
      </c>
      <c r="H35" s="123">
        <v>2</v>
      </c>
      <c r="I35" s="124">
        <v>9</v>
      </c>
      <c r="J35" s="146">
        <f>$H35/2</f>
        <v>1</v>
      </c>
      <c r="K35" s="147">
        <f>$I35/2</f>
        <v>4.5</v>
      </c>
      <c r="L35" s="77">
        <f>$G35/VLOOKUP($E35,Ore_Density[],2,FALSE)/Vanilla_COG_Divisor</f>
        <v>1.311951210808519</v>
      </c>
      <c r="M35" s="82" t="str">
        <f>IF(OR($E35="Layered Veins",$E35="Small Deposits",$E35="Geode"),"Motherlode",IF(OR($E35="Pipe Veins",$E35="Sparse Veins",$E35="Vertical Veins"),"No","ERROR"))</f>
        <v>No</v>
      </c>
      <c r="N35" s="86">
        <v>1</v>
      </c>
      <c r="O35" s="86">
        <v>1</v>
      </c>
      <c r="P35" s="82" t="str">
        <f>IF(OR($E35="Layered Veins",$E35="Pipe Veins",$E35="Sparse Veins"),"Branches",IF($E35="Vertical Veins","Vertical","none"))</f>
        <v>Branches</v>
      </c>
      <c r="Q35" s="152">
        <f>SQRT($L35)*$N35</f>
        <v>1.1454043874582107</v>
      </c>
      <c r="R35" s="152" t="str">
        <f>IF($M35="Motherlode",(($O35*SQRT($L35))^(1/2))^(1/3),"none")</f>
        <v>none</v>
      </c>
      <c r="S35" s="152">
        <f>IF($P35="Branches",SQRT($L35)^(1/2),IF($P35="Vertical","default",$P35))</f>
        <v>1.0702356691206898</v>
      </c>
      <c r="T35" s="153">
        <f>IF($P35="Branches",SQRT(SQRT($L35))^(1/2),IF($P35="Vertical",SQRT($L35)^(1/2),"none"))</f>
        <v>1.0345219519762205</v>
      </c>
      <c r="U35" s="77">
        <f>$G35/VLOOKUP($F35,Ore_Density[],2,FALSE)/Vanilla_COG_Divisor</f>
        <v>0.73469387755102045</v>
      </c>
      <c r="V35" s="158">
        <f>SQRT($U35)</f>
        <v>0.85714285714285721</v>
      </c>
      <c r="W35" s="147">
        <f>SQRT(SQRT($U35))</f>
        <v>0.92582009977255153</v>
      </c>
      <c r="X35" s="70">
        <f>$Y35+$AB35</f>
        <v>16</v>
      </c>
      <c r="Y35" s="71">
        <f>($AC35-$AB35)/2</f>
        <v>12</v>
      </c>
      <c r="Z35" s="71">
        <f>$AA35+$AB35</f>
        <v>16</v>
      </c>
      <c r="AA35" s="72">
        <f>($AG35-$AB35)/2</f>
        <v>12</v>
      </c>
      <c r="AB35" s="128">
        <v>4</v>
      </c>
      <c r="AC35" s="128">
        <v>28</v>
      </c>
      <c r="AD35" s="128" t="s">
        <v>790</v>
      </c>
      <c r="AE35" s="71">
        <f>IF($AD35="No",0,IF($AJ35="overworld",IF($X35&lt;64,64+($X35*3),0),0))</f>
        <v>0</v>
      </c>
      <c r="AF35" s="71">
        <f>IF($AD35="No",0,IF($AJ35="Overworld",IF($X35&lt;64,($Y35*3),0),0))</f>
        <v>0</v>
      </c>
      <c r="AG35" s="32">
        <f>IF($AC35&gt;64,64+(($AC35-64)*2.9),$AC35)</f>
        <v>28</v>
      </c>
      <c r="AH35" s="41" t="s">
        <v>89</v>
      </c>
      <c r="AI35" s="42" t="s">
        <v>90</v>
      </c>
      <c r="AJ35" s="131" t="s">
        <v>53</v>
      </c>
      <c r="AK35" s="20" t="str">
        <f>IF($X35&gt;64,"uniform",IF($AJ35="Overworld","normal","uniform"))</f>
        <v>normal</v>
      </c>
      <c r="AL35" s="109" t="s">
        <v>207</v>
      </c>
      <c r="AM35" s="110" t="s">
        <v>64</v>
      </c>
      <c r="AN35" s="117" t="s">
        <v>208</v>
      </c>
      <c r="AO35" s="118" t="s">
        <v>208</v>
      </c>
      <c r="AP35" s="46" t="s">
        <v>93</v>
      </c>
    </row>
    <row r="36" spans="1:42" s="7" customFormat="1" ht="13.5">
      <c r="A36" s="31" t="s">
        <v>194</v>
      </c>
      <c r="B36" s="18"/>
      <c r="C36" s="105" t="s">
        <v>69</v>
      </c>
      <c r="D36" s="97" t="s">
        <v>59</v>
      </c>
      <c r="E36" s="98" t="s">
        <v>66</v>
      </c>
      <c r="F36" s="99" t="s">
        <v>61</v>
      </c>
      <c r="G36" s="37">
        <f>$H36*$I36/2</f>
        <v>8</v>
      </c>
      <c r="H36" s="123">
        <v>8</v>
      </c>
      <c r="I36" s="124">
        <v>2</v>
      </c>
      <c r="J36" s="146">
        <f>$H36/2</f>
        <v>4</v>
      </c>
      <c r="K36" s="147">
        <f>$I36/2</f>
        <v>1</v>
      </c>
      <c r="L36" s="77">
        <f>$G36/VLOOKUP($E36,Ore_Density[],2,FALSE)/Vanilla_COG_Divisor</f>
        <v>0.50097847358121328</v>
      </c>
      <c r="M36" s="82" t="str">
        <f>IF(OR($E36="Layered Veins",$E36="Small Deposits",$E36="Geode"),"Motherlode",IF(OR($E36="Pipe Veins",$E36="Sparse Veins",$E36="Vertical Veins"),"No","ERROR"))</f>
        <v>Motherlode</v>
      </c>
      <c r="N36" s="86">
        <v>1</v>
      </c>
      <c r="O36" s="86">
        <v>1</v>
      </c>
      <c r="P36" s="82" t="str">
        <f>IF(OR($E36="Layered Veins",$E36="Pipe Veins",$E36="Sparse Veins"),"Branches",IF($E36="Vertical Veins","Vertical","none"))</f>
        <v>Branches</v>
      </c>
      <c r="Q36" s="152">
        <f>SQRT($L36)*$N36</f>
        <v>0.70779832832609413</v>
      </c>
      <c r="R36" s="152">
        <f>IF($M36="Motherlode",(($O36*SQRT($L36))^(1/2))^(1/3),"none")</f>
        <v>0.94402810080572686</v>
      </c>
      <c r="S36" s="152">
        <f>IF($P36="Branches",SQRT($L36)^(1/2),IF($P36="Vertical","default",$P36))</f>
        <v>0.84130751115516267</v>
      </c>
      <c r="T36" s="153">
        <f>IF($P36="Branches",SQRT(SQRT($L36))^(1/2),IF($P36="Vertical",SQRT($L36)^(1/2),"none"))</f>
        <v>0.91722816744535418</v>
      </c>
      <c r="U36" s="77">
        <f>$G36/VLOOKUP($F36,Ore_Density[],2,FALSE)/Vanilla_COG_Divisor</f>
        <v>0.65306122448979587</v>
      </c>
      <c r="V36" s="158">
        <f>SQRT($U36)</f>
        <v>0.80812203564176854</v>
      </c>
      <c r="W36" s="147">
        <f>SQRT(SQRT($U36))</f>
        <v>0.89895608104165381</v>
      </c>
      <c r="X36" s="70">
        <f>$Y36+$AB36</f>
        <v>16</v>
      </c>
      <c r="Y36" s="71">
        <f>($AC36-$AB36)/2</f>
        <v>16</v>
      </c>
      <c r="Z36" s="71">
        <f>$AA36+$AB36</f>
        <v>16</v>
      </c>
      <c r="AA36" s="72">
        <f>($AG36-$AB36)/2</f>
        <v>16</v>
      </c>
      <c r="AB36" s="128">
        <v>0</v>
      </c>
      <c r="AC36" s="128">
        <v>32</v>
      </c>
      <c r="AD36" s="128"/>
      <c r="AE36" s="71">
        <f>IF($AD36="No",0,IF($AJ36="overworld",IF($X36&lt;64,64+($X36*3),0),0))</f>
        <v>112</v>
      </c>
      <c r="AF36" s="71">
        <f>IF($AD36="No",0,IF($AJ36="Overworld",IF($X36&lt;64,($Y36*3),0),0))</f>
        <v>48</v>
      </c>
      <c r="AG36" s="32">
        <f>IF($AC36&gt;64,64+(($AC36-64)*2.9),$AC36)</f>
        <v>32</v>
      </c>
      <c r="AH36" s="41" t="s">
        <v>70</v>
      </c>
      <c r="AI36" s="42"/>
      <c r="AJ36" s="131" t="s">
        <v>53</v>
      </c>
      <c r="AK36" s="20" t="str">
        <f>IF($X36&gt;64,"uniform",IF($AJ36="Overworld","normal","uniform"))</f>
        <v>normal</v>
      </c>
      <c r="AL36" s="109" t="s">
        <v>199</v>
      </c>
      <c r="AM36" s="110" t="s">
        <v>64</v>
      </c>
      <c r="AN36" s="117" t="s">
        <v>196</v>
      </c>
      <c r="AO36" s="118" t="s">
        <v>197</v>
      </c>
      <c r="AP36" s="46"/>
    </row>
    <row r="37" spans="1:42" s="7" customFormat="1" ht="13.5">
      <c r="A37" s="31" t="s">
        <v>194</v>
      </c>
      <c r="B37" s="18"/>
      <c r="C37" s="105" t="s">
        <v>65</v>
      </c>
      <c r="D37" s="97" t="s">
        <v>59</v>
      </c>
      <c r="E37" s="98" t="s">
        <v>66</v>
      </c>
      <c r="F37" s="99" t="s">
        <v>61</v>
      </c>
      <c r="G37" s="37">
        <f>$H37*$I37/2</f>
        <v>80</v>
      </c>
      <c r="H37" s="123">
        <v>8</v>
      </c>
      <c r="I37" s="124">
        <v>20</v>
      </c>
      <c r="J37" s="146">
        <f>$H37/2</f>
        <v>4</v>
      </c>
      <c r="K37" s="147">
        <f>$I37/2</f>
        <v>10</v>
      </c>
      <c r="L37" s="77">
        <f>$G37/VLOOKUP($E37,Ore_Density[],2,FALSE)/Vanilla_COG_Divisor</f>
        <v>5.0097847358121328</v>
      </c>
      <c r="M37" s="82" t="str">
        <f>IF(OR($E37="Layered Veins",$E37="Small Deposits",$E37="Geode"),"Motherlode",IF(OR($E37="Pipe Veins",$E37="Sparse Veins",$E37="Vertical Veins"),"No","ERROR"))</f>
        <v>Motherlode</v>
      </c>
      <c r="N37" s="86">
        <v>1</v>
      </c>
      <c r="O37" s="86">
        <v>1</v>
      </c>
      <c r="P37" s="82" t="str">
        <f>IF(OR($E37="Layered Veins",$E37="Pipe Veins",$E37="Sparse Veins"),"Branches",IF($E37="Vertical Veins","Vertical","none"))</f>
        <v>Branches</v>
      </c>
      <c r="Q37" s="152">
        <f>SQRT($L37)*$N37</f>
        <v>2.2382548415701313</v>
      </c>
      <c r="R37" s="152">
        <f>IF($M37="Motherlode",(($O37*SQRT($L37))^(1/2))^(1/3),"none")</f>
        <v>1.1437161546487553</v>
      </c>
      <c r="S37" s="152">
        <f>IF($P37="Branches",SQRT($L37)^(1/2),IF($P37="Vertical","default",$P37))</f>
        <v>1.4960798245983171</v>
      </c>
      <c r="T37" s="153">
        <f>IF($P37="Branches",SQRT(SQRT($L37))^(1/2),IF($P37="Vertical",SQRT($L37)^(1/2),"none"))</f>
        <v>1.2231434194722699</v>
      </c>
      <c r="U37" s="77">
        <f>$G37/VLOOKUP($F37,Ore_Density[],2,FALSE)/Vanilla_COG_Divisor</f>
        <v>6.5306122448979593</v>
      </c>
      <c r="V37" s="158">
        <f>SQRT($U37)</f>
        <v>2.5555062599997598</v>
      </c>
      <c r="W37" s="147">
        <f>SQRT(SQRT($U37))</f>
        <v>1.5985950894456544</v>
      </c>
      <c r="X37" s="70">
        <f>$Y37+$AB37</f>
        <v>32</v>
      </c>
      <c r="Y37" s="71">
        <f>($AC37-$AB37)/2</f>
        <v>32</v>
      </c>
      <c r="Z37" s="71">
        <f>$AA37+$AB37</f>
        <v>32</v>
      </c>
      <c r="AA37" s="72">
        <f>($AG37-$AB37)/2</f>
        <v>32</v>
      </c>
      <c r="AB37" s="128">
        <v>0</v>
      </c>
      <c r="AC37" s="128">
        <v>64</v>
      </c>
      <c r="AD37" s="128"/>
      <c r="AE37" s="71">
        <f>IF($AD37="No",0,IF($AJ37="overworld",IF($X37&lt;64,64+($X37*3),0),0))</f>
        <v>160</v>
      </c>
      <c r="AF37" s="71">
        <f>IF($AD37="No",0,IF($AJ37="Overworld",IF($X37&lt;64,($Y37*3),0),0))</f>
        <v>96</v>
      </c>
      <c r="AG37" s="32">
        <f>IF($AC37&gt;64,64+(($AC37-64)*2.9),$AC37)</f>
        <v>64</v>
      </c>
      <c r="AH37" s="41" t="s">
        <v>67</v>
      </c>
      <c r="AI37" s="42"/>
      <c r="AJ37" s="131" t="s">
        <v>53</v>
      </c>
      <c r="AK37" s="20" t="str">
        <f>IF($X37&gt;64,"uniform",IF($AJ37="Overworld","normal","uniform"))</f>
        <v>normal</v>
      </c>
      <c r="AL37" s="109" t="s">
        <v>198</v>
      </c>
      <c r="AM37" s="110" t="s">
        <v>64</v>
      </c>
      <c r="AN37" s="117" t="s">
        <v>196</v>
      </c>
      <c r="AO37" s="118" t="s">
        <v>197</v>
      </c>
      <c r="AP37" s="46"/>
    </row>
    <row r="38" spans="1:42" s="7" customFormat="1" ht="13.5">
      <c r="A38" s="31" t="s">
        <v>194</v>
      </c>
      <c r="B38" s="18"/>
      <c r="C38" s="105" t="s">
        <v>85</v>
      </c>
      <c r="D38" s="97" t="s">
        <v>59</v>
      </c>
      <c r="E38" s="98" t="s">
        <v>73</v>
      </c>
      <c r="F38" s="99" t="s">
        <v>61</v>
      </c>
      <c r="G38" s="37">
        <f>$H38*$I38/2</f>
        <v>3</v>
      </c>
      <c r="H38" s="123">
        <v>6</v>
      </c>
      <c r="I38" s="124">
        <v>1</v>
      </c>
      <c r="J38" s="146">
        <f>$H38/2</f>
        <v>3</v>
      </c>
      <c r="K38" s="147">
        <f>$I38/2</f>
        <v>0.5</v>
      </c>
      <c r="L38" s="77">
        <f>$G38/VLOOKUP($E38,Ore_Density[],2,FALSE)/Vanilla_COG_Divisor</f>
        <v>0.62003968253968256</v>
      </c>
      <c r="M38" s="82" t="str">
        <f>IF(OR($E38="Layered Veins",$E38="Small Deposits",$E38="Geode"),"Motherlode",IF(OR($E38="Pipe Veins",$E38="Sparse Veins",$E38="Vertical Veins"),"No","ERROR"))</f>
        <v>No</v>
      </c>
      <c r="N38" s="86">
        <v>1</v>
      </c>
      <c r="O38" s="86">
        <v>1</v>
      </c>
      <c r="P38" s="82" t="str">
        <f>IF(OR($E38="Layered Veins",$E38="Pipe Veins",$E38="Sparse Veins"),"Branches",IF($E38="Vertical Veins","Vertical","none"))</f>
        <v>Vertical</v>
      </c>
      <c r="Q38" s="152">
        <f>SQRT($L38)*$N38</f>
        <v>0.78742598543589004</v>
      </c>
      <c r="R38" s="152" t="str">
        <f>IF($M38="Motherlode",(($O38*SQRT($L38))^(1/2))^(1/3),"none")</f>
        <v>none</v>
      </c>
      <c r="S38" s="152" t="str">
        <f>IF($P38="Branches",SQRT($L38)^(1/2),IF($P38="Vertical","default",$P38))</f>
        <v>default</v>
      </c>
      <c r="T38" s="153">
        <f>IF($P38="Branches",SQRT(SQRT($L38))^(1/2),IF($P38="Vertical",SQRT($L38)^(1/2),"none"))</f>
        <v>0.88737026400251329</v>
      </c>
      <c r="U38" s="77">
        <f>$G38/VLOOKUP($F38,Ore_Density[],2,FALSE)/Vanilla_COG_Divisor</f>
        <v>0.24489795918367346</v>
      </c>
      <c r="V38" s="158">
        <f>SQRT($U38)</f>
        <v>0.49487165930539351</v>
      </c>
      <c r="W38" s="147">
        <f>SQRT(SQRT($U38))</f>
        <v>0.70347115030070251</v>
      </c>
      <c r="X38" s="70">
        <f>$Y38+$AB38</f>
        <v>16</v>
      </c>
      <c r="Y38" s="71">
        <f>($AC38-$AB38)/2</f>
        <v>0</v>
      </c>
      <c r="Z38" s="71">
        <f>$AA38+$AB38</f>
        <v>16</v>
      </c>
      <c r="AA38" s="72">
        <f>($AG38-$AB38)/2</f>
        <v>0</v>
      </c>
      <c r="AB38" s="128">
        <v>16</v>
      </c>
      <c r="AC38" s="128">
        <v>16</v>
      </c>
      <c r="AD38" s="128"/>
      <c r="AE38" s="71">
        <f>IF($AD38="No",0,IF($AJ38="overworld",IF($X38&lt;64,64+($X38*3),0),0))</f>
        <v>112</v>
      </c>
      <c r="AF38" s="71">
        <f>IF($AD38="No",0,IF($AJ38="Overworld",IF($X38&lt;64,($Y38*3),0),0))</f>
        <v>0</v>
      </c>
      <c r="AG38" s="32">
        <f>IF($AC38&gt;64,64+(($AC38-64)*2.9),$AC38)</f>
        <v>16</v>
      </c>
      <c r="AH38" s="41" t="s">
        <v>86</v>
      </c>
      <c r="AI38" s="42"/>
      <c r="AJ38" s="131" t="s">
        <v>53</v>
      </c>
      <c r="AK38" s="20" t="str">
        <f>IF($X38&gt;64,"uniform",IF($AJ38="Overworld","normal","uniform"))</f>
        <v>normal</v>
      </c>
      <c r="AL38" s="109" t="s">
        <v>206</v>
      </c>
      <c r="AM38" s="110" t="s">
        <v>64</v>
      </c>
      <c r="AN38" s="117" t="s">
        <v>201</v>
      </c>
      <c r="AO38" s="118" t="s">
        <v>202</v>
      </c>
      <c r="AP38" s="46"/>
    </row>
    <row r="39" spans="1:42" s="7" customFormat="1" ht="13.5">
      <c r="A39" s="31" t="s">
        <v>194</v>
      </c>
      <c r="B39" s="18"/>
      <c r="C39" s="105" t="s">
        <v>94</v>
      </c>
      <c r="D39" s="97" t="s">
        <v>59</v>
      </c>
      <c r="E39" s="98" t="s">
        <v>60</v>
      </c>
      <c r="F39" s="99" t="s">
        <v>61</v>
      </c>
      <c r="G39" s="37">
        <f>$H39*$I39/2</f>
        <v>104</v>
      </c>
      <c r="H39" s="123">
        <v>16</v>
      </c>
      <c r="I39" s="124">
        <v>13</v>
      </c>
      <c r="J39" s="146">
        <f>$H39/2</f>
        <v>8</v>
      </c>
      <c r="K39" s="147">
        <f>$I39/2</f>
        <v>6.5</v>
      </c>
      <c r="L39" s="77">
        <f>$G39/VLOOKUP($E39,Ore_Density[],2,FALSE)/Vanilla_COG_Divisor</f>
        <v>39.023103433272148</v>
      </c>
      <c r="M39" s="82" t="str">
        <f>IF(OR($E39="Layered Veins",$E39="Small Deposits",$E39="Geode"),"Motherlode",IF(OR($E39="Pipe Veins",$E39="Sparse Veins",$E39="Vertical Veins"),"No","ERROR"))</f>
        <v>No</v>
      </c>
      <c r="N39" s="86">
        <v>1</v>
      </c>
      <c r="O39" s="86">
        <v>1</v>
      </c>
      <c r="P39" s="82" t="str">
        <f>IF(OR($E39="Layered Veins",$E39="Pipe Veins",$E39="Sparse Veins"),"Branches",IF($E39="Vertical Veins","Vertical","none"))</f>
        <v>Branches</v>
      </c>
      <c r="Q39" s="152">
        <f>SQRT($L39)*$N39</f>
        <v>6.2468474795909774</v>
      </c>
      <c r="R39" s="152" t="str">
        <f>IF($M39="Motherlode",(($O39*SQRT($L39))^(1/2))^(1/3),"none")</f>
        <v>none</v>
      </c>
      <c r="S39" s="152">
        <f>IF($P39="Branches",SQRT($L39)^(1/2),IF($P39="Vertical","default",$P39))</f>
        <v>2.4993694163910578</v>
      </c>
      <c r="T39" s="153">
        <f>IF($P39="Branches",SQRT(SQRT($L39))^(1/2),IF($P39="Vertical",SQRT($L39)^(1/2),"none"))</f>
        <v>1.5809394094623164</v>
      </c>
      <c r="U39" s="77">
        <f>$G39/VLOOKUP($F39,Ore_Density[],2,FALSE)/Vanilla_COG_Divisor</f>
        <v>8.4897959183673475</v>
      </c>
      <c r="V39" s="158">
        <f>SQRT($U39)</f>
        <v>2.9137254363387344</v>
      </c>
      <c r="W39" s="147">
        <f>SQRT(SQRT($U39))</f>
        <v>1.706963806393895</v>
      </c>
      <c r="X39" s="70">
        <f>$Y39+$AB39</f>
        <v>59</v>
      </c>
      <c r="Y39" s="71">
        <f>($AC39-$AB39)/2</f>
        <v>49</v>
      </c>
      <c r="Z39" s="71">
        <f>$AA39+$AB39</f>
        <v>100.8</v>
      </c>
      <c r="AA39" s="72">
        <f>($AG39-$AB39)/2</f>
        <v>90.8</v>
      </c>
      <c r="AB39" s="128">
        <v>10</v>
      </c>
      <c r="AC39" s="128">
        <v>108</v>
      </c>
      <c r="AD39" s="128"/>
      <c r="AE39" s="71">
        <f>IF($AD39="No",0,IF($AJ39="overworld",IF($X39&lt;64,64+($X39*3),0),0))</f>
        <v>0</v>
      </c>
      <c r="AF39" s="71">
        <f>IF($AD39="No",0,IF($AJ39="Overworld",IF($X39&lt;64,($Y39*3),0),0))</f>
        <v>0</v>
      </c>
      <c r="AG39" s="32">
        <f>IF($AC39&gt;64,64+(($AC39-64)*2.9),$AC39)</f>
        <v>191.6</v>
      </c>
      <c r="AH39" s="41" t="s">
        <v>95</v>
      </c>
      <c r="AI39" s="42"/>
      <c r="AJ39" s="131" t="s">
        <v>96</v>
      </c>
      <c r="AK39" s="20" t="str">
        <f>IF($X39&gt;64,"uniform",IF($AJ39="Overworld","normal","uniform"))</f>
        <v>uniform</v>
      </c>
      <c r="AL39" s="109" t="s">
        <v>209</v>
      </c>
      <c r="AM39" s="110" t="s">
        <v>98</v>
      </c>
      <c r="AN39" s="117" t="s">
        <v>196</v>
      </c>
      <c r="AO39" s="118" t="s">
        <v>197</v>
      </c>
      <c r="AP39" s="46"/>
    </row>
    <row r="40" spans="1:42" s="7" customFormat="1" ht="13.5">
      <c r="A40" s="31" t="s">
        <v>194</v>
      </c>
      <c r="B40" s="18"/>
      <c r="C40" s="105" t="s">
        <v>72</v>
      </c>
      <c r="D40" s="97" t="s">
        <v>59</v>
      </c>
      <c r="E40" s="98" t="s">
        <v>73</v>
      </c>
      <c r="F40" s="99" t="s">
        <v>61</v>
      </c>
      <c r="G40" s="37">
        <f>$H40*$I40/2</f>
        <v>28</v>
      </c>
      <c r="H40" s="123">
        <v>7</v>
      </c>
      <c r="I40" s="124">
        <v>8</v>
      </c>
      <c r="J40" s="146">
        <f>$H40/2</f>
        <v>3.5</v>
      </c>
      <c r="K40" s="147">
        <f>$I40/2</f>
        <v>4</v>
      </c>
      <c r="L40" s="77">
        <f>$G40/VLOOKUP($E40,Ore_Density[],2,FALSE)/Vanilla_COG_Divisor</f>
        <v>5.7870370370370372</v>
      </c>
      <c r="M40" s="82" t="str">
        <f>IF(OR($E40="Layered Veins",$E40="Small Deposits",$E40="Geode"),"Motherlode",IF(OR($E40="Pipe Veins",$E40="Sparse Veins",$E40="Vertical Veins"),"No","ERROR"))</f>
        <v>No</v>
      </c>
      <c r="N40" s="86">
        <v>1</v>
      </c>
      <c r="O40" s="86">
        <v>1</v>
      </c>
      <c r="P40" s="82" t="str">
        <f>IF(OR($E40="Layered Veins",$E40="Pipe Veins",$E40="Sparse Veins"),"Branches",IF($E40="Vertical Veins","Vertical","none"))</f>
        <v>Vertical</v>
      </c>
      <c r="Q40" s="152">
        <f>SQRT($L40)*$N40</f>
        <v>2.4056261216234409</v>
      </c>
      <c r="R40" s="152" t="str">
        <f>IF($M40="Motherlode",(($O40*SQRT($L40))^(1/2))^(1/3),"none")</f>
        <v>none</v>
      </c>
      <c r="S40" s="152" t="str">
        <f>IF($P40="Branches",SQRT($L40)^(1/2),IF($P40="Vertical","default",$P40))</f>
        <v>default</v>
      </c>
      <c r="T40" s="153">
        <f>IF($P40="Branches",SQRT(SQRT($L40))^(1/2),IF($P40="Vertical",SQRT($L40)^(1/2),"none"))</f>
        <v>1.5510080985034993</v>
      </c>
      <c r="U40" s="77">
        <f>$G40/VLOOKUP($F40,Ore_Density[],2,FALSE)/Vanilla_COG_Divisor</f>
        <v>2.2857142857142856</v>
      </c>
      <c r="V40" s="158">
        <f>SQRT($U40)</f>
        <v>1.5118578920369088</v>
      </c>
      <c r="W40" s="147">
        <f>SQRT(SQRT($U40))</f>
        <v>1.2295763059025286</v>
      </c>
      <c r="X40" s="70">
        <f>$Y40+$AB40</f>
        <v>8</v>
      </c>
      <c r="Y40" s="71">
        <f>($AC40-$AB40)/2</f>
        <v>8</v>
      </c>
      <c r="Z40" s="71">
        <f>$AA40+$AB40</f>
        <v>8</v>
      </c>
      <c r="AA40" s="72">
        <f>($AG40-$AB40)/2</f>
        <v>8</v>
      </c>
      <c r="AB40" s="128">
        <v>0</v>
      </c>
      <c r="AC40" s="128">
        <v>16</v>
      </c>
      <c r="AD40" s="128"/>
      <c r="AE40" s="71">
        <f>IF($AD40="No",0,IF($AJ40="overworld",IF($X40&lt;64,64+($X40*3),0),0))</f>
        <v>88</v>
      </c>
      <c r="AF40" s="71">
        <f>IF($AD40="No",0,IF($AJ40="Overworld",IF($X40&lt;64,($Y40*3),0),0))</f>
        <v>24</v>
      </c>
      <c r="AG40" s="32">
        <f>IF($AC40&gt;64,64+(($AC40-64)*2.9),$AC40)</f>
        <v>16</v>
      </c>
      <c r="AH40" s="41" t="s">
        <v>74</v>
      </c>
      <c r="AI40" s="42"/>
      <c r="AJ40" s="131" t="s">
        <v>53</v>
      </c>
      <c r="AK40" s="20" t="str">
        <f>IF($X40&gt;64,"uniform",IF($AJ40="Overworld","normal","uniform"))</f>
        <v>normal</v>
      </c>
      <c r="AL40" s="109" t="s">
        <v>200</v>
      </c>
      <c r="AM40" s="110" t="s">
        <v>64</v>
      </c>
      <c r="AN40" s="117" t="s">
        <v>201</v>
      </c>
      <c r="AO40" s="118" t="s">
        <v>202</v>
      </c>
      <c r="AP40" s="46"/>
    </row>
    <row r="41" spans="1:42" s="7" customFormat="1" ht="13.5">
      <c r="A41" s="31" t="s">
        <v>210</v>
      </c>
      <c r="B41" s="18"/>
      <c r="C41" s="105" t="s">
        <v>185</v>
      </c>
      <c r="D41" s="97" t="s">
        <v>59</v>
      </c>
      <c r="E41" s="98" t="s">
        <v>66</v>
      </c>
      <c r="F41" s="99" t="s">
        <v>61</v>
      </c>
      <c r="G41" s="37">
        <f>$H41*$I41/2</f>
        <v>40</v>
      </c>
      <c r="H41" s="123">
        <v>8</v>
      </c>
      <c r="I41" s="124">
        <v>10</v>
      </c>
      <c r="J41" s="146">
        <f>$H41/2</f>
        <v>4</v>
      </c>
      <c r="K41" s="147">
        <f>$I41/2</f>
        <v>5</v>
      </c>
      <c r="L41" s="77">
        <f>$G41/VLOOKUP($E41,Ore_Density[],2,FALSE)/Vanilla_COG_Divisor</f>
        <v>2.5048923679060664</v>
      </c>
      <c r="M41" s="82" t="str">
        <f>IF(OR($E41="Layered Veins",$E41="Small Deposits",$E41="Geode"),"Motherlode",IF(OR($E41="Pipe Veins",$E41="Sparse Veins",$E41="Vertical Veins"),"No","ERROR"))</f>
        <v>Motherlode</v>
      </c>
      <c r="N41" s="86">
        <v>1</v>
      </c>
      <c r="O41" s="86">
        <v>1</v>
      </c>
      <c r="P41" s="82" t="str">
        <f>IF(OR($E41="Layered Veins",$E41="Pipe Veins",$E41="Sparse Veins"),"Branches",IF($E41="Vertical Veins","Vertical","none"))</f>
        <v>Branches</v>
      </c>
      <c r="Q41" s="152">
        <f>SQRT($L41)*$N41</f>
        <v>1.5826851764978613</v>
      </c>
      <c r="R41" s="152">
        <f>IF($M41="Motherlode",(($O41*SQRT($L41))^(1/2))^(1/3),"none")</f>
        <v>1.0795242993720435</v>
      </c>
      <c r="S41" s="152">
        <f>IF($P41="Branches",SQRT($L41)^(1/2),IF($P41="Vertical","default",$P41))</f>
        <v>1.2580481614381309</v>
      </c>
      <c r="T41" s="153">
        <f>IF($P41="Branches",SQRT(SQRT($L41))^(1/2),IF($P41="Vertical",SQRT($L41)^(1/2),"none"))</f>
        <v>1.1216274610752586</v>
      </c>
      <c r="U41" s="77">
        <f>$G41/VLOOKUP($F41,Ore_Density[],2,FALSE)/Vanilla_COG_Divisor</f>
        <v>3.2653061224489797</v>
      </c>
      <c r="V41" s="158">
        <f>SQRT($U41)</f>
        <v>1.8070158058105026</v>
      </c>
      <c r="W41" s="147">
        <f>SQRT(SQRT($U41))</f>
        <v>1.3442528801570419</v>
      </c>
      <c r="X41" s="70">
        <f>$Y41+$AB41</f>
        <v>94</v>
      </c>
      <c r="Y41" s="71">
        <f>($AC41-$AB41)/2</f>
        <v>34</v>
      </c>
      <c r="Z41" s="71">
        <f>$AA41+$AB41</f>
        <v>154.80000000000001</v>
      </c>
      <c r="AA41" s="72">
        <f>($AG41-$AB41)/2</f>
        <v>94.8</v>
      </c>
      <c r="AB41" s="128">
        <v>60</v>
      </c>
      <c r="AC41" s="128">
        <v>128</v>
      </c>
      <c r="AD41" s="128"/>
      <c r="AE41" s="71">
        <f>IF($AD41="No",0,IF($AJ41="overworld",IF($X41&lt;64,64+($X41*3),0),0))</f>
        <v>0</v>
      </c>
      <c r="AF41" s="71">
        <f>IF($AD41="No",0,IF($AJ41="Overworld",IF($X41&lt;64,($Y41*3),0),0))</f>
        <v>0</v>
      </c>
      <c r="AG41" s="32">
        <f>IF($AC41&gt;64,64+(($AC41-64)*2.9),$AC41)</f>
        <v>249.6</v>
      </c>
      <c r="AH41" s="41" t="s">
        <v>218</v>
      </c>
      <c r="AI41" s="42"/>
      <c r="AJ41" s="131" t="s">
        <v>53</v>
      </c>
      <c r="AK41" s="20" t="str">
        <f>IF($X41&gt;64,"uniform",IF($AJ41="Overworld","normal","uniform"))</f>
        <v>uniform</v>
      </c>
      <c r="AL41" s="109" t="s">
        <v>219</v>
      </c>
      <c r="AM41" s="110" t="s">
        <v>64</v>
      </c>
      <c r="AN41" s="117"/>
      <c r="AO41" s="118" t="s">
        <v>56</v>
      </c>
      <c r="AP41" s="46"/>
    </row>
    <row r="42" spans="1:42" s="7" customFormat="1" ht="13.5">
      <c r="A42" s="31" t="s">
        <v>210</v>
      </c>
      <c r="B42" s="18"/>
      <c r="C42" s="105" t="s">
        <v>176</v>
      </c>
      <c r="D42" s="97" t="s">
        <v>59</v>
      </c>
      <c r="E42" s="98" t="s">
        <v>66</v>
      </c>
      <c r="F42" s="99" t="s">
        <v>61</v>
      </c>
      <c r="G42" s="37">
        <f>$H42*$I42/2</f>
        <v>24</v>
      </c>
      <c r="H42" s="123">
        <v>6</v>
      </c>
      <c r="I42" s="124">
        <v>8</v>
      </c>
      <c r="J42" s="146">
        <f>$H42/2</f>
        <v>3</v>
      </c>
      <c r="K42" s="147">
        <f>$I42/2</f>
        <v>4</v>
      </c>
      <c r="L42" s="77">
        <f>$G42/VLOOKUP($E42,Ore_Density[],2,FALSE)/Vanilla_COG_Divisor</f>
        <v>1.5029354207436398</v>
      </c>
      <c r="M42" s="82" t="str">
        <f>IF(OR($E42="Layered Veins",$E42="Small Deposits",$E42="Geode"),"Motherlode",IF(OR($E42="Pipe Veins",$E42="Sparse Veins",$E42="Vertical Veins"),"No","ERROR"))</f>
        <v>Motherlode</v>
      </c>
      <c r="N42" s="86">
        <v>1</v>
      </c>
      <c r="O42" s="86">
        <v>1</v>
      </c>
      <c r="P42" s="82" t="str">
        <f>IF(OR($E42="Layered Veins",$E42="Pipe Veins",$E42="Sparse Veins"),"Branches",IF($E42="Vertical Veins","Vertical","none"))</f>
        <v>Branches</v>
      </c>
      <c r="Q42" s="152">
        <f>SQRT($L42)*$N42</f>
        <v>1.2259426661731125</v>
      </c>
      <c r="R42" s="152">
        <f>IF($M42="Motherlode",(($O42*SQRT($L42))^(1/2))^(1/3),"none")</f>
        <v>1.0345346153372657</v>
      </c>
      <c r="S42" s="152">
        <f>IF($P42="Branches",SQRT($L42)^(1/2),IF($P42="Vertical","default",$P42))</f>
        <v>1.1072229523330486</v>
      </c>
      <c r="T42" s="153">
        <f>IF($P42="Branches",SQRT(SQRT($L42))^(1/2),IF($P42="Vertical",SQRT($L42)^(1/2),"none"))</f>
        <v>1.0522466214405484</v>
      </c>
      <c r="U42" s="77">
        <f>$G42/VLOOKUP($F42,Ore_Density[],2,FALSE)/Vanilla_COG_Divisor</f>
        <v>1.9591836734693877</v>
      </c>
      <c r="V42" s="158">
        <f>SQRT($U42)</f>
        <v>1.3997084244475304</v>
      </c>
      <c r="W42" s="147">
        <f>SQRT(SQRT($U42))</f>
        <v>1.1830927370445354</v>
      </c>
      <c r="X42" s="70">
        <f>$Y42+$AB42</f>
        <v>48</v>
      </c>
      <c r="Y42" s="71">
        <f>($AC42-$AB42)/2</f>
        <v>16</v>
      </c>
      <c r="Z42" s="71">
        <f>$AA42+$AB42</f>
        <v>48</v>
      </c>
      <c r="AA42" s="72">
        <f>($AG42-$AB42)/2</f>
        <v>16</v>
      </c>
      <c r="AB42" s="128">
        <v>32</v>
      </c>
      <c r="AC42" s="128">
        <v>64</v>
      </c>
      <c r="AD42" s="128"/>
      <c r="AE42" s="71">
        <f>IF($AD42="No",0,IF($AJ42="overworld",IF($X42&lt;64,64+($X42*3),0),0))</f>
        <v>208</v>
      </c>
      <c r="AF42" s="71">
        <f>IF($AD42="No",0,IF($AJ42="Overworld",IF($X42&lt;64,($Y42*3),0),0))</f>
        <v>48</v>
      </c>
      <c r="AG42" s="32">
        <f>IF($AC42&gt;64,64+(($AC42-64)*2.9),$AC42)</f>
        <v>64</v>
      </c>
      <c r="AH42" s="41" t="s">
        <v>211</v>
      </c>
      <c r="AI42" s="42"/>
      <c r="AJ42" s="131" t="s">
        <v>53</v>
      </c>
      <c r="AK42" s="20" t="str">
        <f>IF($X42&gt;64,"uniform",IF($AJ42="Overworld","normal","uniform"))</f>
        <v>normal</v>
      </c>
      <c r="AL42" s="109" t="s">
        <v>212</v>
      </c>
      <c r="AM42" s="110" t="s">
        <v>64</v>
      </c>
      <c r="AN42" s="117"/>
      <c r="AO42" s="118" t="s">
        <v>56</v>
      </c>
      <c r="AP42" s="46"/>
    </row>
    <row r="43" spans="1:42" s="7" customFormat="1" ht="13.5">
      <c r="A43" s="31" t="s">
        <v>210</v>
      </c>
      <c r="B43" s="18"/>
      <c r="C43" s="105" t="s">
        <v>191</v>
      </c>
      <c r="D43" s="97" t="s">
        <v>59</v>
      </c>
      <c r="E43" s="98" t="s">
        <v>66</v>
      </c>
      <c r="F43" s="99" t="s">
        <v>61</v>
      </c>
      <c r="G43" s="37">
        <f>$H43*$I43/2</f>
        <v>24</v>
      </c>
      <c r="H43" s="123">
        <v>8</v>
      </c>
      <c r="I43" s="124">
        <v>6</v>
      </c>
      <c r="J43" s="146">
        <f>$H43/2</f>
        <v>4</v>
      </c>
      <c r="K43" s="147">
        <f>$I43/2</f>
        <v>3</v>
      </c>
      <c r="L43" s="77">
        <f>$G43/VLOOKUP($E43,Ore_Density[],2,FALSE)/Vanilla_COG_Divisor</f>
        <v>1.5029354207436398</v>
      </c>
      <c r="M43" s="82" t="str">
        <f>IF(OR($E43="Layered Veins",$E43="Small Deposits",$E43="Geode"),"Motherlode",IF(OR($E43="Pipe Veins",$E43="Sparse Veins",$E43="Vertical Veins"),"No","ERROR"))</f>
        <v>Motherlode</v>
      </c>
      <c r="N43" s="86">
        <v>1</v>
      </c>
      <c r="O43" s="86">
        <v>1</v>
      </c>
      <c r="P43" s="82" t="str">
        <f>IF(OR($E43="Layered Veins",$E43="Pipe Veins",$E43="Sparse Veins"),"Branches",IF($E43="Vertical Veins","Vertical","none"))</f>
        <v>Branches</v>
      </c>
      <c r="Q43" s="152">
        <f>SQRT($L43)*$N43</f>
        <v>1.2259426661731125</v>
      </c>
      <c r="R43" s="152">
        <f>IF($M43="Motherlode",(($O43*SQRT($L43))^(1/2))^(1/3),"none")</f>
        <v>1.0345346153372657</v>
      </c>
      <c r="S43" s="152">
        <f>IF($P43="Branches",SQRT($L43)^(1/2),IF($P43="Vertical","default",$P43))</f>
        <v>1.1072229523330486</v>
      </c>
      <c r="T43" s="153">
        <f>IF($P43="Branches",SQRT(SQRT($L43))^(1/2),IF($P43="Vertical",SQRT($L43)^(1/2),"none"))</f>
        <v>1.0522466214405484</v>
      </c>
      <c r="U43" s="77">
        <f>$G43/VLOOKUP($F43,Ore_Density[],2,FALSE)/Vanilla_COG_Divisor</f>
        <v>1.9591836734693877</v>
      </c>
      <c r="V43" s="158">
        <f>SQRT($U43)</f>
        <v>1.3997084244475304</v>
      </c>
      <c r="W43" s="147">
        <f>SQRT(SQRT($U43))</f>
        <v>1.1830927370445354</v>
      </c>
      <c r="X43" s="70">
        <f>$Y43+$AB43</f>
        <v>32</v>
      </c>
      <c r="Y43" s="71">
        <f>($AC43-$AB43)/2</f>
        <v>16</v>
      </c>
      <c r="Z43" s="71">
        <f>$AA43+$AB43</f>
        <v>32</v>
      </c>
      <c r="AA43" s="72">
        <f>($AG43-$AB43)/2</f>
        <v>16</v>
      </c>
      <c r="AB43" s="128">
        <v>16</v>
      </c>
      <c r="AC43" s="128">
        <v>48</v>
      </c>
      <c r="AD43" s="128"/>
      <c r="AE43" s="71">
        <f>IF($AD43="No",0,IF($AJ43="overworld",IF($X43&lt;64,64+($X43*3),0),0))</f>
        <v>160</v>
      </c>
      <c r="AF43" s="71">
        <f>IF($AD43="No",0,IF($AJ43="Overworld",IF($X43&lt;64,($Y43*3),0),0))</f>
        <v>48</v>
      </c>
      <c r="AG43" s="32">
        <f>IF($AC43&gt;64,64+(($AC43-64)*2.9),$AC43)</f>
        <v>48</v>
      </c>
      <c r="AH43" s="41" t="s">
        <v>192</v>
      </c>
      <c r="AI43" s="42"/>
      <c r="AJ43" s="131" t="s">
        <v>53</v>
      </c>
      <c r="AK43" s="20" t="str">
        <f>IF($X43&gt;64,"uniform",IF($AJ43="Overworld","normal","uniform"))</f>
        <v>normal</v>
      </c>
      <c r="AL43" s="109" t="s">
        <v>217</v>
      </c>
      <c r="AM43" s="110" t="s">
        <v>64</v>
      </c>
      <c r="AN43" s="117"/>
      <c r="AO43" s="118" t="s">
        <v>56</v>
      </c>
      <c r="AP43" s="46"/>
    </row>
    <row r="44" spans="1:42" s="7" customFormat="1" ht="13.5">
      <c r="A44" s="31" t="s">
        <v>210</v>
      </c>
      <c r="B44" s="18"/>
      <c r="C44" s="105" t="s">
        <v>182</v>
      </c>
      <c r="D44" s="97" t="s">
        <v>59</v>
      </c>
      <c r="E44" s="98" t="s">
        <v>66</v>
      </c>
      <c r="F44" s="99" t="s">
        <v>61</v>
      </c>
      <c r="G44" s="37">
        <f>$H44*$I44/2</f>
        <v>4</v>
      </c>
      <c r="H44" s="123">
        <v>4</v>
      </c>
      <c r="I44" s="124">
        <v>2</v>
      </c>
      <c r="J44" s="146">
        <f>$H44/2</f>
        <v>2</v>
      </c>
      <c r="K44" s="147">
        <f>$I44/2</f>
        <v>1</v>
      </c>
      <c r="L44" s="77">
        <f>$G44/VLOOKUP($E44,Ore_Density[],2,FALSE)/Vanilla_COG_Divisor</f>
        <v>0.25048923679060664</v>
      </c>
      <c r="M44" s="82" t="str">
        <f>IF(OR($E44="Layered Veins",$E44="Small Deposits",$E44="Geode"),"Motherlode",IF(OR($E44="Pipe Veins",$E44="Sparse Veins",$E44="Vertical Veins"),"No","ERROR"))</f>
        <v>Motherlode</v>
      </c>
      <c r="N44" s="86">
        <v>1</v>
      </c>
      <c r="O44" s="86">
        <v>1</v>
      </c>
      <c r="P44" s="82" t="str">
        <f>IF(OR($E44="Layered Veins",$E44="Pipe Veins",$E44="Sparse Veins"),"Branches",IF($E44="Vertical Veins","Vertical","none"))</f>
        <v>Branches</v>
      </c>
      <c r="Q44" s="152">
        <f>SQRT($L44)*$N44</f>
        <v>0.50048899767188348</v>
      </c>
      <c r="R44" s="152">
        <f>IF($M44="Motherlode",(($O44*SQRT($L44))^(1/2))^(1/3),"none")</f>
        <v>0.89104387480020986</v>
      </c>
      <c r="S44" s="152">
        <f>IF($P44="Branches",SQRT($L44)^(1/2),IF($P44="Vertical","default",$P44))</f>
        <v>0.70745247025640068</v>
      </c>
      <c r="T44" s="153">
        <f>IF($P44="Branches",SQRT(SQRT($L44))^(1/2),IF($P44="Vertical",SQRT($L44)^(1/2),"none"))</f>
        <v>0.8411019380886009</v>
      </c>
      <c r="U44" s="77">
        <f>$G44/VLOOKUP($F44,Ore_Density[],2,FALSE)/Vanilla_COG_Divisor</f>
        <v>0.32653061224489793</v>
      </c>
      <c r="V44" s="158">
        <f>SQRT($U44)</f>
        <v>0.5714285714285714</v>
      </c>
      <c r="W44" s="147">
        <f>SQRT(SQRT($U44))</f>
        <v>0.7559289460184544</v>
      </c>
      <c r="X44" s="70">
        <f>$Y44+$AB44</f>
        <v>11</v>
      </c>
      <c r="Y44" s="71">
        <f>($AC44-$AB44)/2</f>
        <v>5</v>
      </c>
      <c r="Z44" s="71">
        <f>$AA44+$AB44</f>
        <v>11</v>
      </c>
      <c r="AA44" s="72">
        <f>($AG44-$AB44)/2</f>
        <v>5</v>
      </c>
      <c r="AB44" s="128">
        <v>6</v>
      </c>
      <c r="AC44" s="128">
        <v>16</v>
      </c>
      <c r="AD44" s="128"/>
      <c r="AE44" s="71">
        <f>IF($AD44="No",0,IF($AJ44="overworld",IF($X44&lt;64,64+($X44*3),0),0))</f>
        <v>97</v>
      </c>
      <c r="AF44" s="71">
        <f>IF($AD44="No",0,IF($AJ44="Overworld",IF($X44&lt;64,($Y44*3),0),0))</f>
        <v>15</v>
      </c>
      <c r="AG44" s="32">
        <f>IF($AC44&gt;64,64+(($AC44-64)*2.9),$AC44)</f>
        <v>16</v>
      </c>
      <c r="AH44" s="41" t="s">
        <v>183</v>
      </c>
      <c r="AI44" s="42"/>
      <c r="AJ44" s="131" t="s">
        <v>53</v>
      </c>
      <c r="AK44" s="20" t="str">
        <f>IF($X44&gt;64,"uniform",IF($AJ44="Overworld","normal","uniform"))</f>
        <v>normal</v>
      </c>
      <c r="AL44" s="109" t="s">
        <v>220</v>
      </c>
      <c r="AM44" s="110" t="s">
        <v>64</v>
      </c>
      <c r="AN44" s="117"/>
      <c r="AO44" s="118" t="s">
        <v>56</v>
      </c>
      <c r="AP44" s="46"/>
    </row>
    <row r="45" spans="1:42" s="7" customFormat="1" ht="13.5">
      <c r="A45" s="31" t="s">
        <v>210</v>
      </c>
      <c r="B45" s="18"/>
      <c r="C45" s="105" t="s">
        <v>173</v>
      </c>
      <c r="D45" s="97" t="s">
        <v>59</v>
      </c>
      <c r="E45" s="98" t="s">
        <v>66</v>
      </c>
      <c r="F45" s="99" t="s">
        <v>61</v>
      </c>
      <c r="G45" s="37">
        <f>$H45*$I45/2</f>
        <v>12</v>
      </c>
      <c r="H45" s="123">
        <v>6</v>
      </c>
      <c r="I45" s="124">
        <v>4</v>
      </c>
      <c r="J45" s="146">
        <f>$H45/2</f>
        <v>3</v>
      </c>
      <c r="K45" s="147">
        <f>$I45/2</f>
        <v>2</v>
      </c>
      <c r="L45" s="77">
        <f>$G45/VLOOKUP($E45,Ore_Density[],2,FALSE)/Vanilla_COG_Divisor</f>
        <v>0.75146771037181992</v>
      </c>
      <c r="M45" s="82" t="str">
        <f>IF(OR($E45="Layered Veins",$E45="Small Deposits",$E45="Geode"),"Motherlode",IF(OR($E45="Pipe Veins",$E45="Sparse Veins",$E45="Vertical Veins"),"No","ERROR"))</f>
        <v>Motherlode</v>
      </c>
      <c r="N45" s="86">
        <v>1</v>
      </c>
      <c r="O45" s="86">
        <v>1</v>
      </c>
      <c r="P45" s="82" t="str">
        <f>IF(OR($E45="Layered Veins",$E45="Pipe Veins",$E45="Sparse Veins"),"Branches",IF($E45="Vertical Veins","Vertical","none"))</f>
        <v>Branches</v>
      </c>
      <c r="Q45" s="152">
        <f>SQRT($L45)*$N45</f>
        <v>0.86687237259692385</v>
      </c>
      <c r="R45" s="152">
        <f>IF($M45="Motherlode",(($O45*SQRT($L45))^(1/2))^(1/3),"none")</f>
        <v>0.97647064899688185</v>
      </c>
      <c r="S45" s="152">
        <f>IF($P45="Branches",SQRT($L45)^(1/2),IF($P45="Vertical","default",$P45))</f>
        <v>0.93105981150349515</v>
      </c>
      <c r="T45" s="153">
        <f>IF($P45="Branches",SQRT(SQRT($L45))^(1/2),IF($P45="Vertical",SQRT($L45)^(1/2),"none"))</f>
        <v>0.96491440630943792</v>
      </c>
      <c r="U45" s="77">
        <f>$G45/VLOOKUP($F45,Ore_Density[],2,FALSE)/Vanilla_COG_Divisor</f>
        <v>0.97959183673469385</v>
      </c>
      <c r="V45" s="158">
        <f>SQRT($U45)</f>
        <v>0.98974331861078702</v>
      </c>
      <c r="W45" s="147">
        <f>SQRT(SQRT($U45))</f>
        <v>0.99485844149345537</v>
      </c>
      <c r="X45" s="70">
        <f>$Y45+$AB45</f>
        <v>19</v>
      </c>
      <c r="Y45" s="71">
        <f>($AC45-$AB45)/2</f>
        <v>13</v>
      </c>
      <c r="Z45" s="71">
        <f>$AA45+$AB45</f>
        <v>19</v>
      </c>
      <c r="AA45" s="72">
        <f>($AG45-$AB45)/2</f>
        <v>13</v>
      </c>
      <c r="AB45" s="128">
        <v>6</v>
      </c>
      <c r="AC45" s="128">
        <v>32</v>
      </c>
      <c r="AD45" s="128"/>
      <c r="AE45" s="71">
        <f>IF($AD45="No",0,IF($AJ45="overworld",IF($X45&lt;64,64+($X45*3),0),0))</f>
        <v>121</v>
      </c>
      <c r="AF45" s="71">
        <f>IF($AD45="No",0,IF($AJ45="Overworld",IF($X45&lt;64,($Y45*3),0),0))</f>
        <v>39</v>
      </c>
      <c r="AG45" s="32">
        <f>IF($AC45&gt;64,64+(($AC45-64)*2.9),$AC45)</f>
        <v>32</v>
      </c>
      <c r="AH45" s="41" t="s">
        <v>215</v>
      </c>
      <c r="AI45" s="42"/>
      <c r="AJ45" s="131" t="s">
        <v>53</v>
      </c>
      <c r="AK45" s="20" t="str">
        <f>IF($X45&gt;64,"uniform",IF($AJ45="Overworld","normal","uniform"))</f>
        <v>normal</v>
      </c>
      <c r="AL45" s="109" t="s">
        <v>216</v>
      </c>
      <c r="AM45" s="110" t="s">
        <v>64</v>
      </c>
      <c r="AN45" s="117"/>
      <c r="AO45" s="118" t="s">
        <v>56</v>
      </c>
      <c r="AP45" s="46"/>
    </row>
    <row r="46" spans="1:42" s="7" customFormat="1" ht="13.5">
      <c r="A46" s="31" t="s">
        <v>210</v>
      </c>
      <c r="B46" s="18"/>
      <c r="C46" s="105" t="s">
        <v>179</v>
      </c>
      <c r="D46" s="97" t="s">
        <v>59</v>
      </c>
      <c r="E46" s="98" t="s">
        <v>66</v>
      </c>
      <c r="F46" s="99" t="s">
        <v>61</v>
      </c>
      <c r="G46" s="37">
        <f>$H46*$I46/2</f>
        <v>32</v>
      </c>
      <c r="H46" s="123">
        <v>8</v>
      </c>
      <c r="I46" s="124">
        <v>8</v>
      </c>
      <c r="J46" s="146">
        <f>$H46/2</f>
        <v>4</v>
      </c>
      <c r="K46" s="147">
        <f>$I46/2</f>
        <v>4</v>
      </c>
      <c r="L46" s="77">
        <f>$G46/VLOOKUP($E46,Ore_Density[],2,FALSE)/Vanilla_COG_Divisor</f>
        <v>2.0039138943248531</v>
      </c>
      <c r="M46" s="82" t="str">
        <f>IF(OR($E46="Layered Veins",$E46="Small Deposits",$E46="Geode"),"Motherlode",IF(OR($E46="Pipe Veins",$E46="Sparse Veins",$E46="Vertical Veins"),"No","ERROR"))</f>
        <v>Motherlode</v>
      </c>
      <c r="N46" s="86">
        <v>1</v>
      </c>
      <c r="O46" s="86">
        <v>1</v>
      </c>
      <c r="P46" s="82" t="str">
        <f>IF(OR($E46="Layered Veins",$E46="Pipe Veins",$E46="Sparse Veins"),"Branches",IF($E46="Vertical Veins","Vertical","none"))</f>
        <v>Branches</v>
      </c>
      <c r="Q46" s="152">
        <f>SQRT($L46)*$N46</f>
        <v>1.4155966566521883</v>
      </c>
      <c r="R46" s="152">
        <f>IF($M46="Motherlode",(($O46*SQRT($L46))^(1/2))^(1/3),"none")</f>
        <v>1.0596357156920035</v>
      </c>
      <c r="S46" s="152">
        <f>IF($P46="Branches",SQRT($L46)^(1/2),IF($P46="Vertical","default",$P46))</f>
        <v>1.189788492401985</v>
      </c>
      <c r="T46" s="153">
        <f>IF($P46="Branches",SQRT(SQRT($L46))^(1/2),IF($P46="Vertical",SQRT($L46)^(1/2),"none"))</f>
        <v>1.0907742628069224</v>
      </c>
      <c r="U46" s="77">
        <f>$G46/VLOOKUP($F46,Ore_Density[],2,FALSE)/Vanilla_COG_Divisor</f>
        <v>2.6122448979591835</v>
      </c>
      <c r="V46" s="158">
        <f>SQRT($U46)</f>
        <v>1.6162440712835371</v>
      </c>
      <c r="W46" s="147">
        <f>SQRT(SQRT($U46))</f>
        <v>1.2713158817868739</v>
      </c>
      <c r="X46" s="70">
        <f>$Y46+$AB46</f>
        <v>60</v>
      </c>
      <c r="Y46" s="71">
        <f>($AC46-$AB46)/2</f>
        <v>12</v>
      </c>
      <c r="Z46" s="71">
        <f>$AA46+$AB46</f>
        <v>67.599999999999994</v>
      </c>
      <c r="AA46" s="72">
        <f>($AG46-$AB46)/2</f>
        <v>19.600000000000001</v>
      </c>
      <c r="AB46" s="128">
        <v>48</v>
      </c>
      <c r="AC46" s="128">
        <v>72</v>
      </c>
      <c r="AD46" s="128"/>
      <c r="AE46" s="71">
        <f>IF($AD46="No",0,IF($AJ46="overworld",IF($X46&lt;64,64+($X46*3),0),0))</f>
        <v>244</v>
      </c>
      <c r="AF46" s="71">
        <f>IF($AD46="No",0,IF($AJ46="Overworld",IF($X46&lt;64,($Y46*3),0),0))</f>
        <v>36</v>
      </c>
      <c r="AG46" s="32">
        <f>IF($AC46&gt;64,64+(($AC46-64)*2.9),$AC46)</f>
        <v>87.2</v>
      </c>
      <c r="AH46" s="41" t="s">
        <v>213</v>
      </c>
      <c r="AI46" s="42"/>
      <c r="AJ46" s="131" t="s">
        <v>53</v>
      </c>
      <c r="AK46" s="20" t="str">
        <f>IF($X46&gt;64,"uniform",IF($AJ46="Overworld","normal","uniform"))</f>
        <v>normal</v>
      </c>
      <c r="AL46" s="109" t="s">
        <v>214</v>
      </c>
      <c r="AM46" s="110" t="s">
        <v>64</v>
      </c>
      <c r="AN46" s="117"/>
      <c r="AO46" s="118" t="s">
        <v>56</v>
      </c>
      <c r="AP46" s="46"/>
    </row>
    <row r="47" spans="1:42" s="7" customFormat="1" ht="13.5">
      <c r="A47" s="31" t="s">
        <v>221</v>
      </c>
      <c r="B47" s="18"/>
      <c r="C47" s="105" t="s">
        <v>157</v>
      </c>
      <c r="D47" s="97" t="s">
        <v>49</v>
      </c>
      <c r="E47" s="98" t="s">
        <v>66</v>
      </c>
      <c r="F47" s="99" t="s">
        <v>51</v>
      </c>
      <c r="G47" s="37">
        <f>$H47*$I47/2</f>
        <v>165</v>
      </c>
      <c r="H47" s="123">
        <v>33</v>
      </c>
      <c r="I47" s="124">
        <v>10</v>
      </c>
      <c r="J47" s="146">
        <f>$H47/2</f>
        <v>16.5</v>
      </c>
      <c r="K47" s="147">
        <f>$I47/2</f>
        <v>5</v>
      </c>
      <c r="L47" s="77">
        <f>$G47/VLOOKUP($E47,Ore_Density[],2,FALSE)/Vanilla_COG_Divisor</f>
        <v>10.332681017612526</v>
      </c>
      <c r="M47" s="82" t="str">
        <f>IF(OR($E47="Layered Veins",$E47="Small Deposits",$E47="Geode"),"Motherlode",IF(OR($E47="Pipe Veins",$E47="Sparse Veins",$E47="Vertical Veins"),"No","ERROR"))</f>
        <v>Motherlode</v>
      </c>
      <c r="N47" s="86">
        <v>1</v>
      </c>
      <c r="O47" s="86">
        <v>1</v>
      </c>
      <c r="P47" s="82" t="str">
        <f>IF(OR($E47="Layered Veins",$E47="Pipe Veins",$E47="Sparse Veins"),"Branches",IF($E47="Vertical Veins","Vertical","none"))</f>
        <v>Branches</v>
      </c>
      <c r="Q47" s="152">
        <f>SQRT($L47)*$N47</f>
        <v>3.2144487890791673</v>
      </c>
      <c r="R47" s="152">
        <f>IF($M47="Motherlode",(($O47*SQRT($L47))^(1/2))^(1/3),"none")</f>
        <v>1.2148362761119449</v>
      </c>
      <c r="S47" s="152">
        <f>IF($P47="Branches",SQRT($L47)^(1/2),IF($P47="Vertical","default",$P47))</f>
        <v>1.7928883928117687</v>
      </c>
      <c r="T47" s="153">
        <f>IF($P47="Branches",SQRT(SQRT($L47))^(1/2),IF($P47="Vertical",SQRT($L47)^(1/2),"none"))</f>
        <v>1.3389878239968311</v>
      </c>
      <c r="U47" s="77">
        <f>$G47/VLOOKUP($F47,Ore_Density[],2,FALSE)/Vanilla_COG_Divisor</f>
        <v>4.6037946428571432</v>
      </c>
      <c r="V47" s="158">
        <f>SQRT($U47)</f>
        <v>2.1456455072674849</v>
      </c>
      <c r="W47" s="147">
        <f>SQRT(SQRT($U47))</f>
        <v>1.4648022075582372</v>
      </c>
      <c r="X47" s="70">
        <f>$Y47+$AB47</f>
        <v>40</v>
      </c>
      <c r="Y47" s="71">
        <f>($AC47-$AB47)/2</f>
        <v>40</v>
      </c>
      <c r="Z47" s="71">
        <f>$AA47+$AB47</f>
        <v>55.2</v>
      </c>
      <c r="AA47" s="72">
        <f>($AG47-$AB47)/2</f>
        <v>55.2</v>
      </c>
      <c r="AB47" s="128">
        <v>0</v>
      </c>
      <c r="AC47" s="128">
        <v>80</v>
      </c>
      <c r="AD47" s="128"/>
      <c r="AE47" s="71">
        <f>IF($AD47="No",0,IF($AJ47="overworld",IF($X47&lt;64,64+($X47*3),0),0))</f>
        <v>184</v>
      </c>
      <c r="AF47" s="71">
        <f>IF($AD47="No",0,IF($AJ47="Overworld",IF($X47&lt;64,($Y47*3),0),0))</f>
        <v>120</v>
      </c>
      <c r="AG47" s="32">
        <f>IF($AC47&gt;64,64+(($AC47-64)*2.9),$AC47)</f>
        <v>110.4</v>
      </c>
      <c r="AH47" s="41" t="s">
        <v>226</v>
      </c>
      <c r="AI47" s="42"/>
      <c r="AJ47" s="131" t="s">
        <v>53</v>
      </c>
      <c r="AK47" s="20" t="str">
        <f>IF($X47&gt;64,"uniform",IF($AJ47="Overworld","normal","uniform"))</f>
        <v>normal</v>
      </c>
      <c r="AL47" s="109" t="s">
        <v>227</v>
      </c>
      <c r="AM47" s="110" t="s">
        <v>64</v>
      </c>
      <c r="AN47" s="117"/>
      <c r="AO47" s="118" t="s">
        <v>56</v>
      </c>
      <c r="AP47" s="46"/>
    </row>
    <row r="48" spans="1:42" s="7" customFormat="1" ht="13.5">
      <c r="A48" s="31" t="s">
        <v>221</v>
      </c>
      <c r="B48" s="18"/>
      <c r="C48" s="105" t="s">
        <v>160</v>
      </c>
      <c r="D48" s="97" t="s">
        <v>49</v>
      </c>
      <c r="E48" s="98" t="s">
        <v>66</v>
      </c>
      <c r="F48" s="99" t="s">
        <v>51</v>
      </c>
      <c r="G48" s="37">
        <f>$H48*$I48/2</f>
        <v>165</v>
      </c>
      <c r="H48" s="123">
        <v>33</v>
      </c>
      <c r="I48" s="124">
        <v>10</v>
      </c>
      <c r="J48" s="146">
        <f>$H48/2</f>
        <v>16.5</v>
      </c>
      <c r="K48" s="147">
        <f>$I48/2</f>
        <v>5</v>
      </c>
      <c r="L48" s="77">
        <f>$G48/VLOOKUP($E48,Ore_Density[],2,FALSE)/Vanilla_COG_Divisor</f>
        <v>10.332681017612526</v>
      </c>
      <c r="M48" s="82" t="str">
        <f>IF(OR($E48="Layered Veins",$E48="Small Deposits",$E48="Geode"),"Motherlode",IF(OR($E48="Pipe Veins",$E48="Sparse Veins",$E48="Vertical Veins"),"No","ERROR"))</f>
        <v>Motherlode</v>
      </c>
      <c r="N48" s="86">
        <v>1</v>
      </c>
      <c r="O48" s="86">
        <v>1</v>
      </c>
      <c r="P48" s="82" t="str">
        <f>IF(OR($E48="Layered Veins",$E48="Pipe Veins",$E48="Sparse Veins"),"Branches",IF($E48="Vertical Veins","Vertical","none"))</f>
        <v>Branches</v>
      </c>
      <c r="Q48" s="152">
        <f>SQRT($L48)*$N48</f>
        <v>3.2144487890791673</v>
      </c>
      <c r="R48" s="152">
        <f>IF($M48="Motherlode",(($O48*SQRT($L48))^(1/2))^(1/3),"none")</f>
        <v>1.2148362761119449</v>
      </c>
      <c r="S48" s="152">
        <f>IF($P48="Branches",SQRT($L48)^(1/2),IF($P48="Vertical","default",$P48))</f>
        <v>1.7928883928117687</v>
      </c>
      <c r="T48" s="153">
        <f>IF($P48="Branches",SQRT(SQRT($L48))^(1/2),IF($P48="Vertical",SQRT($L48)^(1/2),"none"))</f>
        <v>1.3389878239968311</v>
      </c>
      <c r="U48" s="77">
        <f>$G48/VLOOKUP($F48,Ore_Density[],2,FALSE)/Vanilla_COG_Divisor</f>
        <v>4.6037946428571432</v>
      </c>
      <c r="V48" s="158">
        <f>SQRT($U48)</f>
        <v>2.1456455072674849</v>
      </c>
      <c r="W48" s="147">
        <f>SQRT(SQRT($U48))</f>
        <v>1.4648022075582372</v>
      </c>
      <c r="X48" s="70">
        <f>$Y48+$AB48</f>
        <v>40</v>
      </c>
      <c r="Y48" s="71">
        <f>($AC48-$AB48)/2</f>
        <v>40</v>
      </c>
      <c r="Z48" s="71">
        <f>$AA48+$AB48</f>
        <v>55.2</v>
      </c>
      <c r="AA48" s="72">
        <f>($AG48-$AB48)/2</f>
        <v>55.2</v>
      </c>
      <c r="AB48" s="128">
        <v>0</v>
      </c>
      <c r="AC48" s="128">
        <v>80</v>
      </c>
      <c r="AD48" s="128"/>
      <c r="AE48" s="71">
        <f>IF($AD48="No",0,IF($AJ48="overworld",IF($X48&lt;64,64+($X48*3),0),0))</f>
        <v>184</v>
      </c>
      <c r="AF48" s="71">
        <f>IF($AD48="No",0,IF($AJ48="Overworld",IF($X48&lt;64,($Y48*3),0),0))</f>
        <v>120</v>
      </c>
      <c r="AG48" s="32">
        <f>IF($AC48&gt;64,64+(($AC48-64)*2.9),$AC48)</f>
        <v>110.4</v>
      </c>
      <c r="AH48" s="41" t="s">
        <v>224</v>
      </c>
      <c r="AI48" s="42"/>
      <c r="AJ48" s="131" t="s">
        <v>53</v>
      </c>
      <c r="AK48" s="20" t="str">
        <f>IF($X48&gt;64,"uniform",IF($AJ48="Overworld","normal","uniform"))</f>
        <v>normal</v>
      </c>
      <c r="AL48" s="109" t="s">
        <v>225</v>
      </c>
      <c r="AM48" s="110" t="s">
        <v>64</v>
      </c>
      <c r="AN48" s="117"/>
      <c r="AO48" s="118" t="s">
        <v>56</v>
      </c>
      <c r="AP48" s="46"/>
    </row>
    <row r="49" spans="1:42" s="7" customFormat="1" ht="13.5">
      <c r="A49" s="31" t="s">
        <v>221</v>
      </c>
      <c r="B49" s="18"/>
      <c r="C49" s="105" t="s">
        <v>163</v>
      </c>
      <c r="D49" s="97" t="s">
        <v>49</v>
      </c>
      <c r="E49" s="98" t="s">
        <v>66</v>
      </c>
      <c r="F49" s="99" t="s">
        <v>51</v>
      </c>
      <c r="G49" s="37">
        <f>$H49*$I49/2</f>
        <v>165</v>
      </c>
      <c r="H49" s="123">
        <v>33</v>
      </c>
      <c r="I49" s="124">
        <v>10</v>
      </c>
      <c r="J49" s="146">
        <f>$H49/2</f>
        <v>16.5</v>
      </c>
      <c r="K49" s="147">
        <f>$I49/2</f>
        <v>5</v>
      </c>
      <c r="L49" s="77">
        <f>$G49/VLOOKUP($E49,Ore_Density[],2,FALSE)/Vanilla_COG_Divisor</f>
        <v>10.332681017612526</v>
      </c>
      <c r="M49" s="82" t="str">
        <f>IF(OR($E49="Layered Veins",$E49="Small Deposits",$E49="Geode"),"Motherlode",IF(OR($E49="Pipe Veins",$E49="Sparse Veins",$E49="Vertical Veins"),"No","ERROR"))</f>
        <v>Motherlode</v>
      </c>
      <c r="N49" s="86">
        <v>1</v>
      </c>
      <c r="O49" s="86">
        <v>1</v>
      </c>
      <c r="P49" s="82" t="str">
        <f>IF(OR($E49="Layered Veins",$E49="Pipe Veins",$E49="Sparse Veins"),"Branches",IF($E49="Vertical Veins","Vertical","none"))</f>
        <v>Branches</v>
      </c>
      <c r="Q49" s="152">
        <f>SQRT($L49)*$N49</f>
        <v>3.2144487890791673</v>
      </c>
      <c r="R49" s="152">
        <f>IF($M49="Motherlode",(($O49*SQRT($L49))^(1/2))^(1/3),"none")</f>
        <v>1.2148362761119449</v>
      </c>
      <c r="S49" s="152">
        <f>IF($P49="Branches",SQRT($L49)^(1/2),IF($P49="Vertical","default",$P49))</f>
        <v>1.7928883928117687</v>
      </c>
      <c r="T49" s="153">
        <f>IF($P49="Branches",SQRT(SQRT($L49))^(1/2),IF($P49="Vertical",SQRT($L49)^(1/2),"none"))</f>
        <v>1.3389878239968311</v>
      </c>
      <c r="U49" s="77">
        <f>$G49/VLOOKUP($F49,Ore_Density[],2,FALSE)/Vanilla_COG_Divisor</f>
        <v>4.6037946428571432</v>
      </c>
      <c r="V49" s="158">
        <f>SQRT($U49)</f>
        <v>2.1456455072674849</v>
      </c>
      <c r="W49" s="147">
        <f>SQRT(SQRT($U49))</f>
        <v>1.4648022075582372</v>
      </c>
      <c r="X49" s="70">
        <f>$Y49+$AB49</f>
        <v>40</v>
      </c>
      <c r="Y49" s="71">
        <f>($AC49-$AB49)/2</f>
        <v>40</v>
      </c>
      <c r="Z49" s="71">
        <f>$AA49+$AB49</f>
        <v>55.2</v>
      </c>
      <c r="AA49" s="72">
        <f>($AG49-$AB49)/2</f>
        <v>55.2</v>
      </c>
      <c r="AB49" s="128">
        <v>0</v>
      </c>
      <c r="AC49" s="128">
        <v>80</v>
      </c>
      <c r="AD49" s="128"/>
      <c r="AE49" s="71">
        <f>IF($AD49="No",0,IF($AJ49="overworld",IF($X49&lt;64,64+($X49*3),0),0))</f>
        <v>184</v>
      </c>
      <c r="AF49" s="71">
        <f>IF($AD49="No",0,IF($AJ49="Overworld",IF($X49&lt;64,($Y49*3),0),0))</f>
        <v>120</v>
      </c>
      <c r="AG49" s="32">
        <f>IF($AC49&gt;64,64+(($AC49-64)*2.9),$AC49)</f>
        <v>110.4</v>
      </c>
      <c r="AH49" s="41" t="s">
        <v>222</v>
      </c>
      <c r="AI49" s="42"/>
      <c r="AJ49" s="131" t="s">
        <v>53</v>
      </c>
      <c r="AK49" s="20" t="str">
        <f>IF($X49&gt;64,"uniform",IF($AJ49="Overworld","normal","uniform"))</f>
        <v>normal</v>
      </c>
      <c r="AL49" s="109" t="s">
        <v>223</v>
      </c>
      <c r="AM49" s="110" t="s">
        <v>64</v>
      </c>
      <c r="AN49" s="117"/>
      <c r="AO49" s="118" t="s">
        <v>56</v>
      </c>
      <c r="AP49" s="46"/>
    </row>
    <row r="50" spans="1:42" s="7" customFormat="1" ht="13.5">
      <c r="A50" s="31" t="s">
        <v>228</v>
      </c>
      <c r="B50" s="18"/>
      <c r="C50" s="105" t="s">
        <v>231</v>
      </c>
      <c r="D50" s="97" t="s">
        <v>59</v>
      </c>
      <c r="E50" s="98" t="s">
        <v>73</v>
      </c>
      <c r="F50" s="99" t="s">
        <v>61</v>
      </c>
      <c r="G50" s="37">
        <f>$H50*$I50/2</f>
        <v>0.5</v>
      </c>
      <c r="H50" s="123">
        <v>1</v>
      </c>
      <c r="I50" s="124">
        <v>1</v>
      </c>
      <c r="J50" s="146">
        <f>$H50/2</f>
        <v>0.5</v>
      </c>
      <c r="K50" s="147">
        <f>$I50/2</f>
        <v>0.5</v>
      </c>
      <c r="L50" s="78">
        <f>$G50/Sparse_Veins_Ores_Per_Chunk/Vanilla_COG_Divisor</f>
        <v>0.18761107419842379</v>
      </c>
      <c r="M50" s="82" t="str">
        <f>IF(OR($E50="Layered Veins",$E50="Small Deposits",$E50="Geode"),"Motherlode",IF(OR($E50="Pipe Veins",$E50="Sparse Veins",$E50="Vertical Veins"),"No","ERROR"))</f>
        <v>No</v>
      </c>
      <c r="N50" s="86">
        <v>1</v>
      </c>
      <c r="O50" s="86">
        <v>1</v>
      </c>
      <c r="P50" s="82" t="str">
        <f>IF(OR($E50="Layered Veins",$E50="Pipe Veins",$E50="Sparse Veins"),"Branches",IF($E50="Vertical Veins","Vertical","none"))</f>
        <v>Vertical</v>
      </c>
      <c r="Q50" s="152">
        <f>SQRT($L50)*$N50</f>
        <v>0.43314094033977413</v>
      </c>
      <c r="R50" s="152" t="str">
        <f>IF($M50="Motherlode",(($O50*SQRT($L50))^(1/2))^(1/3),"none")</f>
        <v>none</v>
      </c>
      <c r="S50" s="152" t="str">
        <f>IF($P50="Branches",SQRT($L50)^(1/2),IF($P50="Vertical","default",$P50))</f>
        <v>default</v>
      </c>
      <c r="T50" s="153">
        <f>IF($P50="Branches",SQRT(SQRT($L50))^(1/2),IF($P50="Vertical",SQRT($L50)^(1/2),"none"))</f>
        <v>0.65813443941171634</v>
      </c>
      <c r="U50" s="77">
        <f>$G50/VLOOKUP($F50,Ore_Density[],2,FALSE)/Vanilla_COG_Divisor</f>
        <v>4.0816326530612242E-2</v>
      </c>
      <c r="V50" s="158">
        <f>SQRT($U50)</f>
        <v>0.20203050891044214</v>
      </c>
      <c r="W50" s="147">
        <f>SQRT(SQRT($U50))</f>
        <v>0.4494780405208269</v>
      </c>
      <c r="X50" s="70">
        <f>$Y50+$AB50</f>
        <v>3</v>
      </c>
      <c r="Y50" s="71">
        <f>($AC50-$AB50)/2</f>
        <v>2</v>
      </c>
      <c r="Z50" s="71">
        <f>$AA50+$AB50</f>
        <v>3</v>
      </c>
      <c r="AA50" s="72">
        <f>($AG50-$AB50)/2</f>
        <v>2</v>
      </c>
      <c r="AB50" s="128">
        <v>1</v>
      </c>
      <c r="AC50" s="128">
        <v>5</v>
      </c>
      <c r="AD50" s="128" t="s">
        <v>790</v>
      </c>
      <c r="AE50" s="71">
        <f>IF($AD50="No",0,IF($AJ50="overworld",IF($X50&lt;64,64+($X50*3),0),0))</f>
        <v>0</v>
      </c>
      <c r="AF50" s="71">
        <f>IF($AD50="No",0,IF($AJ50="Overworld",IF($X50&lt;64,($Y50*3),0),0))</f>
        <v>0</v>
      </c>
      <c r="AG50" s="32">
        <f>IF($AC50&gt;64,64+(($AC50-64)*2.9),$AC50)</f>
        <v>5</v>
      </c>
      <c r="AH50" s="41" t="s">
        <v>232</v>
      </c>
      <c r="AI50" s="42"/>
      <c r="AJ50" s="131" t="s">
        <v>53</v>
      </c>
      <c r="AK50" s="20" t="str">
        <f>IF($X50&gt;64,"uniform",IF($AJ50="Overworld","normal","uniform"))</f>
        <v>normal</v>
      </c>
      <c r="AL50" s="109" t="s">
        <v>233</v>
      </c>
      <c r="AM50" s="110" t="s">
        <v>234</v>
      </c>
      <c r="AN50" s="117" t="s">
        <v>235</v>
      </c>
      <c r="AO50" s="118" t="s">
        <v>236</v>
      </c>
      <c r="AP50" s="46"/>
    </row>
    <row r="51" spans="1:42" s="7" customFormat="1" ht="13.5">
      <c r="A51" s="31" t="s">
        <v>228</v>
      </c>
      <c r="B51" s="18"/>
      <c r="C51" s="105" t="s">
        <v>173</v>
      </c>
      <c r="D51" s="97" t="s">
        <v>59</v>
      </c>
      <c r="E51" s="98" t="s">
        <v>66</v>
      </c>
      <c r="F51" s="99" t="s">
        <v>61</v>
      </c>
      <c r="G51" s="37">
        <f>$H51*$I51/2</f>
        <v>10.5</v>
      </c>
      <c r="H51" s="123">
        <v>7</v>
      </c>
      <c r="I51" s="124">
        <v>3</v>
      </c>
      <c r="J51" s="146">
        <f>$H51/2</f>
        <v>3.5</v>
      </c>
      <c r="K51" s="147">
        <f>$I51/2</f>
        <v>1.5</v>
      </c>
      <c r="L51" s="77">
        <f>$G51/VLOOKUP($E51,Ore_Density[],2,FALSE)/Vanilla_COG_Divisor</f>
        <v>0.65753424657534243</v>
      </c>
      <c r="M51" s="82" t="str">
        <f>IF(OR($E51="Layered Veins",$E51="Small Deposits",$E51="Geode"),"Motherlode",IF(OR($E51="Pipe Veins",$E51="Sparse Veins",$E51="Vertical Veins"),"No","ERROR"))</f>
        <v>Motherlode</v>
      </c>
      <c r="N51" s="86">
        <v>1</v>
      </c>
      <c r="O51" s="86">
        <v>1</v>
      </c>
      <c r="P51" s="82" t="str">
        <f>IF(OR($E51="Layered Veins",$E51="Pipe Veins",$E51="Sparse Veins"),"Branches",IF($E51="Vertical Veins","Vertical","none"))</f>
        <v>Branches</v>
      </c>
      <c r="Q51" s="152">
        <f>SQRT($L51)*$N51</f>
        <v>0.81088485407938315</v>
      </c>
      <c r="R51" s="152">
        <f>IF($M51="Motherlode",(($O51*SQRT($L51))^(1/2))^(1/3),"none")</f>
        <v>0.96566509008275225</v>
      </c>
      <c r="S51" s="152">
        <f>IF($P51="Branches",SQRT($L51)^(1/2),IF($P51="Vertical","default",$P51))</f>
        <v>0.90049145141938081</v>
      </c>
      <c r="T51" s="153">
        <f>IF($P51="Branches",SQRT(SQRT($L51))^(1/2),IF($P51="Vertical",SQRT($L51)^(1/2),"none"))</f>
        <v>0.94894228034131811</v>
      </c>
      <c r="U51" s="77">
        <f>$G51/VLOOKUP($F51,Ore_Density[],2,FALSE)/Vanilla_COG_Divisor</f>
        <v>0.8571428571428571</v>
      </c>
      <c r="V51" s="158">
        <f>SQRT($U51)</f>
        <v>0.92582009977255142</v>
      </c>
      <c r="W51" s="147">
        <f>SQRT(SQRT($U51))</f>
        <v>0.96219545819576147</v>
      </c>
      <c r="X51" s="70">
        <f>$Y51+$AB51</f>
        <v>25</v>
      </c>
      <c r="Y51" s="71">
        <f>($AC51-$AB51)/2</f>
        <v>10</v>
      </c>
      <c r="Z51" s="71">
        <f>$AA51+$AB51</f>
        <v>25</v>
      </c>
      <c r="AA51" s="72">
        <f>($AG51-$AB51)/2</f>
        <v>10</v>
      </c>
      <c r="AB51" s="128">
        <v>15</v>
      </c>
      <c r="AC51" s="128">
        <v>35</v>
      </c>
      <c r="AD51" s="128"/>
      <c r="AE51" s="71">
        <f>IF($AD51="No",0,IF($AJ51="overworld",IF($X51&lt;64,64+($X51*3),0),0))</f>
        <v>139</v>
      </c>
      <c r="AF51" s="71">
        <f>IF($AD51="No",0,IF($AJ51="Overworld",IF($X51&lt;64,($Y51*3),0),0))</f>
        <v>30</v>
      </c>
      <c r="AG51" s="32">
        <f>IF($AC51&gt;64,64+(($AC51-64)*2.9),$AC51)</f>
        <v>35</v>
      </c>
      <c r="AH51" s="41" t="s">
        <v>229</v>
      </c>
      <c r="AI51" s="42"/>
      <c r="AJ51" s="131" t="s">
        <v>53</v>
      </c>
      <c r="AK51" s="20" t="str">
        <f>IF($X51&gt;64,"uniform",IF($AJ51="Overworld","normal","uniform"))</f>
        <v>normal</v>
      </c>
      <c r="AL51" s="109" t="s">
        <v>230</v>
      </c>
      <c r="AM51" s="110" t="s">
        <v>64</v>
      </c>
      <c r="AN51" s="117"/>
      <c r="AO51" s="118" t="s">
        <v>56</v>
      </c>
      <c r="AP51" s="46"/>
    </row>
    <row r="52" spans="1:42" s="7" customFormat="1" ht="13.5">
      <c r="A52" s="31" t="s">
        <v>237</v>
      </c>
      <c r="B52" s="18"/>
      <c r="C52" s="105" t="s">
        <v>176</v>
      </c>
      <c r="D52" s="97" t="s">
        <v>59</v>
      </c>
      <c r="E52" s="98" t="s">
        <v>66</v>
      </c>
      <c r="F52" s="99" t="s">
        <v>61</v>
      </c>
      <c r="G52" s="37">
        <f>$H52*$I52/2</f>
        <v>25</v>
      </c>
      <c r="H52" s="123">
        <v>5</v>
      </c>
      <c r="I52" s="124">
        <v>10</v>
      </c>
      <c r="J52" s="146">
        <f>$H52/2</f>
        <v>2.5</v>
      </c>
      <c r="K52" s="147">
        <f>$I52/2</f>
        <v>5</v>
      </c>
      <c r="L52" s="77">
        <f>$G52/VLOOKUP($E52,Ore_Density[],2,FALSE)/Vanilla_COG_Divisor</f>
        <v>1.5655577299412915</v>
      </c>
      <c r="M52" s="82" t="str">
        <f>IF(OR($E52="Layered Veins",$E52="Small Deposits",$E52="Geode"),"Motherlode",IF(OR($E52="Pipe Veins",$E52="Sparse Veins",$E52="Vertical Veins"),"No","ERROR"))</f>
        <v>Motherlode</v>
      </c>
      <c r="N52" s="86">
        <v>1</v>
      </c>
      <c r="O52" s="86">
        <v>1</v>
      </c>
      <c r="P52" s="82" t="str">
        <f>IF(OR($E52="Layered Veins",$E52="Pipe Veins",$E52="Sparse Veins"),"Branches",IF($E52="Vertical Veins","Vertical","none"))</f>
        <v>Branches</v>
      </c>
      <c r="Q52" s="152">
        <f>SQRT($L52)*$N52</f>
        <v>1.2512224941797088</v>
      </c>
      <c r="R52" s="152">
        <f>IF($M52="Motherlode",(($O52*SQRT($L52))^(1/2))^(1/3),"none")</f>
        <v>1.038059922056233</v>
      </c>
      <c r="S52" s="152">
        <f>IF($P52="Branches",SQRT($L52)^(1/2),IF($P52="Vertical","default",$P52))</f>
        <v>1.1185805711613754</v>
      </c>
      <c r="T52" s="153">
        <f>IF($P52="Branches",SQRT(SQRT($L52))^(1/2),IF($P52="Vertical",SQRT($L52)^(1/2),"none"))</f>
        <v>1.0576296947237136</v>
      </c>
      <c r="U52" s="77">
        <f>$G52/VLOOKUP($F52,Ore_Density[],2,FALSE)/Vanilla_COG_Divisor</f>
        <v>2.0408163265306123</v>
      </c>
      <c r="V52" s="158">
        <f>SQRT($U52)</f>
        <v>1.4285714285714286</v>
      </c>
      <c r="W52" s="147">
        <f>SQRT(SQRT($U52))</f>
        <v>1.1952286093343936</v>
      </c>
      <c r="X52" s="70">
        <f>$Y52+$AB52</f>
        <v>42.5</v>
      </c>
      <c r="Y52" s="71">
        <f>($AC52-$AB52)/2</f>
        <v>37.5</v>
      </c>
      <c r="Z52" s="71">
        <f>$AA52+$AB52</f>
        <v>57.7</v>
      </c>
      <c r="AA52" s="72">
        <f>($AG52-$AB52)/2</f>
        <v>52.7</v>
      </c>
      <c r="AB52" s="128">
        <v>5</v>
      </c>
      <c r="AC52" s="128">
        <v>80</v>
      </c>
      <c r="AD52" s="128"/>
      <c r="AE52" s="71">
        <f>IF($AD52="No",0,IF($AJ52="overworld",IF($X52&lt;64,64+($X52*3),0),0))</f>
        <v>191.5</v>
      </c>
      <c r="AF52" s="71">
        <f>IF($AD52="No",0,IF($AJ52="Overworld",IF($X52&lt;64,($Y52*3),0),0))</f>
        <v>112.5</v>
      </c>
      <c r="AG52" s="32">
        <f>IF($AC52&gt;64,64+(($AC52-64)*2.9),$AC52)</f>
        <v>110.4</v>
      </c>
      <c r="AH52" s="41" t="s">
        <v>238</v>
      </c>
      <c r="AI52" s="42"/>
      <c r="AJ52" s="131" t="s">
        <v>53</v>
      </c>
      <c r="AK52" s="20" t="str">
        <f>IF($X52&gt;64,"uniform",IF($AJ52="Overworld","normal","uniform"))</f>
        <v>normal</v>
      </c>
      <c r="AL52" s="109" t="s">
        <v>239</v>
      </c>
      <c r="AM52" s="110" t="s">
        <v>64</v>
      </c>
      <c r="AN52" s="117"/>
      <c r="AO52" s="118" t="s">
        <v>56</v>
      </c>
      <c r="AP52" s="46"/>
    </row>
    <row r="53" spans="1:42" s="7" customFormat="1" ht="13.5">
      <c r="A53" s="31" t="s">
        <v>237</v>
      </c>
      <c r="B53" s="18"/>
      <c r="C53" s="105" t="s">
        <v>240</v>
      </c>
      <c r="D53" s="97" t="s">
        <v>59</v>
      </c>
      <c r="E53" s="98" t="s">
        <v>66</v>
      </c>
      <c r="F53" s="99" t="s">
        <v>61</v>
      </c>
      <c r="G53" s="37">
        <f>$H53*$I53/2</f>
        <v>14</v>
      </c>
      <c r="H53" s="123">
        <v>4</v>
      </c>
      <c r="I53" s="124">
        <v>7</v>
      </c>
      <c r="J53" s="146">
        <f>$H53/2</f>
        <v>2</v>
      </c>
      <c r="K53" s="147">
        <f>$I53/2</f>
        <v>3.5</v>
      </c>
      <c r="L53" s="77">
        <f>$G53/VLOOKUP($E53,Ore_Density[],2,FALSE)/Vanilla_COG_Divisor</f>
        <v>0.87671232876712324</v>
      </c>
      <c r="M53" s="82" t="str">
        <f>IF(OR($E53="Layered Veins",$E53="Small Deposits",$E53="Geode"),"Motherlode",IF(OR($E53="Pipe Veins",$E53="Sparse Veins",$E53="Vertical Veins"),"No","ERROR"))</f>
        <v>Motherlode</v>
      </c>
      <c r="N53" s="86">
        <v>1</v>
      </c>
      <c r="O53" s="86">
        <v>1</v>
      </c>
      <c r="P53" s="82" t="str">
        <f>IF(OR($E53="Layered Veins",$E53="Pipe Veins",$E53="Sparse Veins"),"Branches",IF($E53="Vertical Veins","Vertical","none"))</f>
        <v>Branches</v>
      </c>
      <c r="Q53" s="152">
        <f>SQRT($L53)*$N53</f>
        <v>0.93632917756904444</v>
      </c>
      <c r="R53" s="152">
        <f>IF($M53="Motherlode",(($O53*SQRT($L53))^(1/2))^(1/3),"none")</f>
        <v>0.98909519669869372</v>
      </c>
      <c r="S53" s="152">
        <f>IF($P53="Branches",SQRT($L53)^(1/2),IF($P53="Vertical","default",$P53))</f>
        <v>0.96764103755940634</v>
      </c>
      <c r="T53" s="153">
        <f>IF($P53="Branches",SQRT(SQRT($L53))^(1/2),IF($P53="Vertical",SQRT($L53)^(1/2),"none"))</f>
        <v>0.98368746945328445</v>
      </c>
      <c r="U53" s="77">
        <f>$G53/VLOOKUP($F53,Ore_Density[],2,FALSE)/Vanilla_COG_Divisor</f>
        <v>1.1428571428571428</v>
      </c>
      <c r="V53" s="158">
        <f>SQRT($U53)</f>
        <v>1.0690449676496976</v>
      </c>
      <c r="W53" s="147">
        <f>SQRT(SQRT($U53))</f>
        <v>1.0339463079143412</v>
      </c>
      <c r="X53" s="70">
        <f>$Y53+$AB53</f>
        <v>40</v>
      </c>
      <c r="Y53" s="71">
        <f>($AC53-$AB53)/2</f>
        <v>35</v>
      </c>
      <c r="Z53" s="71">
        <f>$AA53+$AB53</f>
        <v>50.45</v>
      </c>
      <c r="AA53" s="72">
        <f>($AG53-$AB53)/2</f>
        <v>45.45</v>
      </c>
      <c r="AB53" s="128">
        <v>5</v>
      </c>
      <c r="AC53" s="128">
        <v>75</v>
      </c>
      <c r="AD53" s="128"/>
      <c r="AE53" s="71">
        <f>IF($AD53="No",0,IF($AJ53="overworld",IF($X53&lt;64,64+($X53*3),0),0))</f>
        <v>184</v>
      </c>
      <c r="AF53" s="71">
        <f>IF($AD53="No",0,IF($AJ53="Overworld",IF($X53&lt;64,($Y53*3),0),0))</f>
        <v>105</v>
      </c>
      <c r="AG53" s="32">
        <f>IF($AC53&gt;64,64+(($AC53-64)*2.9),$AC53)</f>
        <v>95.9</v>
      </c>
      <c r="AH53" s="41" t="s">
        <v>241</v>
      </c>
      <c r="AI53" s="42"/>
      <c r="AJ53" s="131" t="s">
        <v>53</v>
      </c>
      <c r="AK53" s="20" t="str">
        <f>IF($X53&gt;64,"uniform",IF($AJ53="Overworld","normal","uniform"))</f>
        <v>normal</v>
      </c>
      <c r="AL53" s="109" t="s">
        <v>242</v>
      </c>
      <c r="AM53" s="110" t="s">
        <v>64</v>
      </c>
      <c r="AN53" s="117"/>
      <c r="AO53" s="118" t="s">
        <v>56</v>
      </c>
      <c r="AP53" s="46"/>
    </row>
    <row r="54" spans="1:42" s="7" customFormat="1" ht="13.5">
      <c r="A54" s="31" t="s">
        <v>243</v>
      </c>
      <c r="B54" s="18"/>
      <c r="C54" s="105" t="s">
        <v>244</v>
      </c>
      <c r="D54" s="97" t="s">
        <v>59</v>
      </c>
      <c r="E54" s="98" t="s">
        <v>60</v>
      </c>
      <c r="F54" s="99" t="s">
        <v>61</v>
      </c>
      <c r="G54" s="37">
        <f>$H54*$I54/2</f>
        <v>18</v>
      </c>
      <c r="H54" s="123">
        <v>36</v>
      </c>
      <c r="I54" s="124">
        <v>1</v>
      </c>
      <c r="J54" s="146">
        <f>$H54/2</f>
        <v>18</v>
      </c>
      <c r="K54" s="147">
        <f>$I54/2</f>
        <v>0.5</v>
      </c>
      <c r="L54" s="77">
        <f>$G54/VLOOKUP($E54,Ore_Density[],2,FALSE)/Vanilla_COG_Divisor</f>
        <v>6.7539986711432567</v>
      </c>
      <c r="M54" s="82" t="str">
        <f>IF(OR($E54="Layered Veins",$E54="Small Deposits",$E54="Geode"),"Motherlode",IF(OR($E54="Pipe Veins",$E54="Sparse Veins",$E54="Vertical Veins"),"No","ERROR"))</f>
        <v>No</v>
      </c>
      <c r="N54" s="86">
        <v>1</v>
      </c>
      <c r="O54" s="86">
        <v>1</v>
      </c>
      <c r="P54" s="82" t="str">
        <f>IF(OR($E54="Layered Veins",$E54="Pipe Veins",$E54="Sparse Veins"),"Branches",IF($E54="Vertical Veins","Vertical","none"))</f>
        <v>Branches</v>
      </c>
      <c r="Q54" s="152">
        <f>SQRT($L54)*$N54</f>
        <v>2.5988456420386448</v>
      </c>
      <c r="R54" s="152" t="str">
        <f>IF($M54="Motherlode",(($O54*SQRT($L54))^(1/2))^(1/3),"none")</f>
        <v>none</v>
      </c>
      <c r="S54" s="152">
        <f>IF($P54="Branches",SQRT($L54)^(1/2),IF($P54="Vertical","default",$P54))</f>
        <v>1.6120935587113561</v>
      </c>
      <c r="T54" s="153">
        <f>IF($P54="Branches",SQRT(SQRT($L54))^(1/2),IF($P54="Vertical",SQRT($L54)^(1/2),"none"))</f>
        <v>1.2696824637331006</v>
      </c>
      <c r="U54" s="77">
        <f>$G54/VLOOKUP($F54,Ore_Density[],2,FALSE)/Vanilla_COG_Divisor</f>
        <v>1.4693877551020409</v>
      </c>
      <c r="V54" s="158">
        <f>SQRT($U54)</f>
        <v>1.212183053462653</v>
      </c>
      <c r="W54" s="147">
        <f>SQRT(SQRT($U54))</f>
        <v>1.1009918498620472</v>
      </c>
      <c r="X54" s="70">
        <f>$Y54+$AB54</f>
        <v>120</v>
      </c>
      <c r="Y54" s="71">
        <f>($AC54-$AB54)/2</f>
        <v>64</v>
      </c>
      <c r="Z54" s="71">
        <f>$AA54+$AB54</f>
        <v>234</v>
      </c>
      <c r="AA54" s="72">
        <f>($AG54-$AB54)/2</f>
        <v>178</v>
      </c>
      <c r="AB54" s="128">
        <v>56</v>
      </c>
      <c r="AC54" s="128">
        <v>184</v>
      </c>
      <c r="AD54" s="128"/>
      <c r="AE54" s="71">
        <f>IF($AD54="No",0,IF($AJ54="overworld",IF($X54&lt;64,64+($X54*3),0),0))</f>
        <v>0</v>
      </c>
      <c r="AF54" s="71">
        <f>IF($AD54="No",0,IF($AJ54="Overworld",IF($X54&lt;64,($Y54*3),0),0))</f>
        <v>0</v>
      </c>
      <c r="AG54" s="32">
        <f>IF($AC54&gt;64,64+(($AC54-64)*2.9),$AC54)</f>
        <v>412</v>
      </c>
      <c r="AH54" s="41" t="s">
        <v>245</v>
      </c>
      <c r="AI54" s="42"/>
      <c r="AJ54" s="131" t="s">
        <v>53</v>
      </c>
      <c r="AK54" s="20" t="str">
        <f>IF($X54&gt;64,"uniform",IF($AJ54="Overworld","normal","uniform"))</f>
        <v>uniform</v>
      </c>
      <c r="AL54" s="109" t="s">
        <v>246</v>
      </c>
      <c r="AM54" s="110" t="s">
        <v>64</v>
      </c>
      <c r="AN54" s="117"/>
      <c r="AO54" s="118" t="s">
        <v>56</v>
      </c>
      <c r="AP54" s="46"/>
    </row>
    <row r="55" spans="1:42" s="7" customFormat="1" ht="13.5">
      <c r="A55" s="31" t="s">
        <v>243</v>
      </c>
      <c r="B55" s="18"/>
      <c r="C55" s="105" t="s">
        <v>176</v>
      </c>
      <c r="D55" s="97" t="s">
        <v>59</v>
      </c>
      <c r="E55" s="98" t="s">
        <v>66</v>
      </c>
      <c r="F55" s="99" t="s">
        <v>61</v>
      </c>
      <c r="G55" s="37">
        <f>$H55*$I55/2</f>
        <v>60</v>
      </c>
      <c r="H55" s="123">
        <v>6</v>
      </c>
      <c r="I55" s="124">
        <v>20</v>
      </c>
      <c r="J55" s="146">
        <f>$H55/2</f>
        <v>3</v>
      </c>
      <c r="K55" s="147">
        <f>$I55/2</f>
        <v>10</v>
      </c>
      <c r="L55" s="77">
        <f>$G55/VLOOKUP($E55,Ore_Density[],2,FALSE)/Vanilla_COG_Divisor</f>
        <v>3.7573385518590996</v>
      </c>
      <c r="M55" s="82" t="str">
        <f>IF(OR($E55="Layered Veins",$E55="Small Deposits",$E55="Geode"),"Motherlode",IF(OR($E55="Pipe Veins",$E55="Sparse Veins",$E55="Vertical Veins"),"No","ERROR"))</f>
        <v>Motherlode</v>
      </c>
      <c r="N55" s="86">
        <v>1</v>
      </c>
      <c r="O55" s="86">
        <v>1</v>
      </c>
      <c r="P55" s="82" t="str">
        <f>IF(OR($E55="Layered Veins",$E55="Pipe Veins",$E55="Sparse Veins"),"Branches",IF($E55="Vertical Veins","Vertical","none"))</f>
        <v>Branches</v>
      </c>
      <c r="Q55" s="152">
        <f>SQRT($L55)*$N55</f>
        <v>1.9383855529432477</v>
      </c>
      <c r="R55" s="152">
        <f>IF($M55="Motherlode",(($O55*SQRT($L55))^(1/2))^(1/3),"none")</f>
        <v>1.116623321187187</v>
      </c>
      <c r="S55" s="152">
        <f>IF($P55="Branches",SQRT($L55)^(1/2),IF($P55="Vertical","default",$P55))</f>
        <v>1.3922591543758107</v>
      </c>
      <c r="T55" s="153">
        <f>IF($P55="Branches",SQRT(SQRT($L55))^(1/2),IF($P55="Vertical",SQRT($L55)^(1/2),"none"))</f>
        <v>1.1799403181414774</v>
      </c>
      <c r="U55" s="77">
        <f>$G55/VLOOKUP($F55,Ore_Density[],2,FALSE)/Vanilla_COG_Divisor</f>
        <v>4.8979591836734695</v>
      </c>
      <c r="V55" s="158">
        <f>SQRT($U55)</f>
        <v>2.2131333406899527</v>
      </c>
      <c r="W55" s="147">
        <f>SQRT(SQRT($U55))</f>
        <v>1.4876603579748815</v>
      </c>
      <c r="X55" s="70">
        <f>$Y55+$AB55</f>
        <v>106</v>
      </c>
      <c r="Y55" s="71">
        <f>($AC55-$AB55)/2</f>
        <v>74</v>
      </c>
      <c r="Z55" s="71">
        <f>$AA55+$AB55</f>
        <v>216.2</v>
      </c>
      <c r="AA55" s="72">
        <f>($AG55-$AB55)/2</f>
        <v>184.2</v>
      </c>
      <c r="AB55" s="128">
        <v>32</v>
      </c>
      <c r="AC55" s="128">
        <v>180</v>
      </c>
      <c r="AD55" s="128"/>
      <c r="AE55" s="71">
        <f>IF($AD55="No",0,IF($AJ55="overworld",IF($X55&lt;64,64+($X55*3),0),0))</f>
        <v>0</v>
      </c>
      <c r="AF55" s="71">
        <f>IF($AD55="No",0,IF($AJ55="Overworld",IF($X55&lt;64,($Y55*3),0),0))</f>
        <v>0</v>
      </c>
      <c r="AG55" s="32">
        <f>IF($AC55&gt;64,64+(($AC55-64)*2.9),$AC55)</f>
        <v>400.4</v>
      </c>
      <c r="AH55" s="41" t="s">
        <v>247</v>
      </c>
      <c r="AI55" s="42"/>
      <c r="AJ55" s="131" t="s">
        <v>53</v>
      </c>
      <c r="AK55" s="20" t="str">
        <f>IF($X55&gt;64,"uniform",IF($AJ55="Overworld","normal","uniform"))</f>
        <v>uniform</v>
      </c>
      <c r="AL55" s="109" t="s">
        <v>248</v>
      </c>
      <c r="AM55" s="110" t="s">
        <v>64</v>
      </c>
      <c r="AN55" s="117"/>
      <c r="AO55" s="118" t="s">
        <v>56</v>
      </c>
      <c r="AP55" s="46"/>
    </row>
    <row r="56" spans="1:42" s="7" customFormat="1" ht="13.5">
      <c r="A56" s="31" t="s">
        <v>243</v>
      </c>
      <c r="B56" s="18"/>
      <c r="C56" s="105" t="s">
        <v>179</v>
      </c>
      <c r="D56" s="97" t="s">
        <v>59</v>
      </c>
      <c r="E56" s="98" t="s">
        <v>66</v>
      </c>
      <c r="F56" s="99" t="s">
        <v>61</v>
      </c>
      <c r="G56" s="37">
        <f>$H56*$I56/2</f>
        <v>54</v>
      </c>
      <c r="H56" s="123">
        <v>6</v>
      </c>
      <c r="I56" s="124">
        <v>18</v>
      </c>
      <c r="J56" s="146">
        <f>$H56/2</f>
        <v>3</v>
      </c>
      <c r="K56" s="147">
        <f>$I56/2</f>
        <v>9</v>
      </c>
      <c r="L56" s="77">
        <f>$G56/VLOOKUP($E56,Ore_Density[],2,FALSE)/Vanilla_COG_Divisor</f>
        <v>3.3816046966731896</v>
      </c>
      <c r="M56" s="82" t="str">
        <f>IF(OR($E56="Layered Veins",$E56="Small Deposits",$E56="Geode"),"Motherlode",IF(OR($E56="Pipe Veins",$E56="Sparse Veins",$E56="Vertical Veins"),"No","ERROR"))</f>
        <v>Motherlode</v>
      </c>
      <c r="N56" s="86">
        <v>1</v>
      </c>
      <c r="O56" s="86">
        <v>1</v>
      </c>
      <c r="P56" s="82" t="str">
        <f>IF(OR($E56="Layered Veins",$E56="Pipe Veins",$E56="Sparse Veins"),"Branches",IF($E56="Vertical Veins","Vertical","none"))</f>
        <v>Branches</v>
      </c>
      <c r="Q56" s="152">
        <f>SQRT($L56)*$N56</f>
        <v>1.838913999259669</v>
      </c>
      <c r="R56" s="152">
        <f>IF($M56="Motherlode",(($O56*SQRT($L56))^(1/2))^(1/3),"none")</f>
        <v>1.1068622345304273</v>
      </c>
      <c r="S56" s="152">
        <f>IF($P56="Branches",SQRT($L56)^(1/2),IF($P56="Vertical","default",$P56))</f>
        <v>1.3560656323569553</v>
      </c>
      <c r="T56" s="153">
        <f>IF($P56="Branches",SQRT(SQRT($L56))^(1/2),IF($P56="Vertical",SQRT($L56)^(1/2),"none"))</f>
        <v>1.1645023110140036</v>
      </c>
      <c r="U56" s="77">
        <f>$G56/VLOOKUP($F56,Ore_Density[],2,FALSE)/Vanilla_COG_Divisor</f>
        <v>4.4081632653061229</v>
      </c>
      <c r="V56" s="158">
        <f>SQRT($U56)</f>
        <v>2.0995626366712958</v>
      </c>
      <c r="W56" s="147">
        <f>SQRT(SQRT($U56))</f>
        <v>1.4489867620759327</v>
      </c>
      <c r="X56" s="70">
        <f>$Y56+$AB56</f>
        <v>98</v>
      </c>
      <c r="Y56" s="71">
        <f>($AC56-$AB56)/2</f>
        <v>82</v>
      </c>
      <c r="Z56" s="71">
        <f>$AA56+$AB56</f>
        <v>208.2</v>
      </c>
      <c r="AA56" s="72">
        <f>($AG56-$AB56)/2</f>
        <v>192.2</v>
      </c>
      <c r="AB56" s="128">
        <v>16</v>
      </c>
      <c r="AC56" s="128">
        <v>180</v>
      </c>
      <c r="AD56" s="128"/>
      <c r="AE56" s="71">
        <f>IF($AD56="No",0,IF($AJ56="overworld",IF($X56&lt;64,64+($X56*3),0),0))</f>
        <v>0</v>
      </c>
      <c r="AF56" s="71">
        <f>IF($AD56="No",0,IF($AJ56="Overworld",IF($X56&lt;64,($Y56*3),0),0))</f>
        <v>0</v>
      </c>
      <c r="AG56" s="32">
        <f>IF($AC56&gt;64,64+(($AC56-64)*2.9),$AC56)</f>
        <v>400.4</v>
      </c>
      <c r="AH56" s="41" t="s">
        <v>249</v>
      </c>
      <c r="AI56" s="42"/>
      <c r="AJ56" s="131" t="s">
        <v>53</v>
      </c>
      <c r="AK56" s="20" t="str">
        <f>IF($X56&gt;64,"uniform",IF($AJ56="Overworld","normal","uniform"))</f>
        <v>uniform</v>
      </c>
      <c r="AL56" s="109" t="s">
        <v>250</v>
      </c>
      <c r="AM56" s="110" t="s">
        <v>64</v>
      </c>
      <c r="AN56" s="117"/>
      <c r="AO56" s="118" t="s">
        <v>56</v>
      </c>
      <c r="AP56" s="46"/>
    </row>
    <row r="57" spans="1:42" s="7" customFormat="1" ht="13.5">
      <c r="A57" s="31" t="s">
        <v>251</v>
      </c>
      <c r="B57" s="18"/>
      <c r="C57" s="105" t="s">
        <v>252</v>
      </c>
      <c r="D57" s="97" t="s">
        <v>49</v>
      </c>
      <c r="E57" s="98" t="s">
        <v>60</v>
      </c>
      <c r="F57" s="99" t="s">
        <v>51</v>
      </c>
      <c r="G57" s="37">
        <f>$H57*$I57/2</f>
        <v>152</v>
      </c>
      <c r="H57" s="123">
        <v>8</v>
      </c>
      <c r="I57" s="124">
        <v>38</v>
      </c>
      <c r="J57" s="146">
        <f>$H57/2</f>
        <v>4</v>
      </c>
      <c r="K57" s="147">
        <f>$I57/2</f>
        <v>19</v>
      </c>
      <c r="L57" s="77">
        <f>$G57/VLOOKUP($E57,Ore_Density[],2,FALSE)/Vanilla_COG_Divisor</f>
        <v>57.033766556320835</v>
      </c>
      <c r="M57" s="82" t="str">
        <f>IF(OR($E57="Layered Veins",$E57="Small Deposits",$E57="Geode"),"Motherlode",IF(OR($E57="Pipe Veins",$E57="Sparse Veins",$E57="Vertical Veins"),"No","ERROR"))</f>
        <v>No</v>
      </c>
      <c r="N57" s="86">
        <v>1</v>
      </c>
      <c r="O57" s="86">
        <v>1</v>
      </c>
      <c r="P57" s="82" t="str">
        <f>IF(OR($E57="Layered Veins",$E57="Pipe Veins",$E57="Sparse Veins"),"Branches",IF($E57="Vertical Veins","Vertical","none"))</f>
        <v>Branches</v>
      </c>
      <c r="Q57" s="152">
        <f>SQRT($L57)*$N57</f>
        <v>7.5520703490050218</v>
      </c>
      <c r="R57" s="152" t="str">
        <f>IF($M57="Motherlode",(($O57*SQRT($L57))^(1/2))^(1/3),"none")</f>
        <v>none</v>
      </c>
      <c r="S57" s="152">
        <f>IF($P57="Branches",SQRT($L57)^(1/2),IF($P57="Vertical","default",$P57))</f>
        <v>2.7481030455579756</v>
      </c>
      <c r="T57" s="153">
        <f>IF($P57="Branches",SQRT(SQRT($L57))^(1/2),IF($P57="Vertical",SQRT($L57)^(1/2),"none"))</f>
        <v>1.6577403432256741</v>
      </c>
      <c r="U57" s="77">
        <f>$G57/VLOOKUP($F57,Ore_Density[],2,FALSE)/Vanilla_COG_Divisor</f>
        <v>4.2410714285714288</v>
      </c>
      <c r="V57" s="158">
        <f>SQRT($U57)</f>
        <v>2.059386177619785</v>
      </c>
      <c r="W57" s="147">
        <f>SQRT(SQRT($U57))</f>
        <v>1.4350561583505312</v>
      </c>
      <c r="X57" s="70">
        <f>$Y57+$AB57</f>
        <v>53</v>
      </c>
      <c r="Y57" s="71">
        <f>($AC57-$AB57)/2</f>
        <v>47</v>
      </c>
      <c r="Z57" s="71">
        <f>$AA57+$AB57</f>
        <v>87.199999999999989</v>
      </c>
      <c r="AA57" s="72">
        <f>($AG57-$AB57)/2</f>
        <v>81.199999999999989</v>
      </c>
      <c r="AB57" s="128">
        <v>6</v>
      </c>
      <c r="AC57" s="128">
        <v>100</v>
      </c>
      <c r="AD57" s="128" t="s">
        <v>790</v>
      </c>
      <c r="AE57" s="71">
        <f>IF($AD57="No",0,IF($AJ57="overworld",IF($X57&lt;64,64+($X57*3),0),0))</f>
        <v>0</v>
      </c>
      <c r="AF57" s="71">
        <f>IF($AD57="No",0,IF($AJ57="Overworld",IF($X57&lt;64,($Y57*3),0),0))</f>
        <v>0</v>
      </c>
      <c r="AG57" s="32">
        <f>IF($AC57&gt;64,64+(($AC57-64)*2.9),$AC57)</f>
        <v>168.39999999999998</v>
      </c>
      <c r="AH57" s="41" t="s">
        <v>253</v>
      </c>
      <c r="AI57" s="42"/>
      <c r="AJ57" s="131" t="s">
        <v>53</v>
      </c>
      <c r="AK57" s="20" t="str">
        <f>IF($X57&gt;64,"uniform",IF($AJ57="Overworld","normal","uniform"))</f>
        <v>normal</v>
      </c>
      <c r="AL57" s="109" t="s">
        <v>254</v>
      </c>
      <c r="AM57" s="110" t="s">
        <v>64</v>
      </c>
      <c r="AN57" s="117" t="s">
        <v>255</v>
      </c>
      <c r="AO57" s="118" t="s">
        <v>256</v>
      </c>
      <c r="AP57" s="46"/>
    </row>
    <row r="58" spans="1:42" s="7" customFormat="1" ht="13.5">
      <c r="A58" s="31" t="s">
        <v>251</v>
      </c>
      <c r="B58" s="18"/>
      <c r="C58" s="105" t="s">
        <v>257</v>
      </c>
      <c r="D58" s="97" t="s">
        <v>49</v>
      </c>
      <c r="E58" s="98" t="s">
        <v>60</v>
      </c>
      <c r="F58" s="99" t="s">
        <v>51</v>
      </c>
      <c r="G58" s="37">
        <f>$H58*$I58/2</f>
        <v>16</v>
      </c>
      <c r="H58" s="123">
        <v>4</v>
      </c>
      <c r="I58" s="124">
        <v>8</v>
      </c>
      <c r="J58" s="146">
        <f>$H58/2</f>
        <v>2</v>
      </c>
      <c r="K58" s="147">
        <f>$I58/2</f>
        <v>4</v>
      </c>
      <c r="L58" s="77">
        <f>$G58/VLOOKUP($E58,Ore_Density[],2,FALSE)/Vanilla_COG_Divisor</f>
        <v>6.0035543743495614</v>
      </c>
      <c r="M58" s="82" t="str">
        <f>IF(OR($E58="Layered Veins",$E58="Small Deposits",$E58="Geode"),"Motherlode",IF(OR($E58="Pipe Veins",$E58="Sparse Veins",$E58="Vertical Veins"),"No","ERROR"))</f>
        <v>No</v>
      </c>
      <c r="N58" s="86">
        <v>1</v>
      </c>
      <c r="O58" s="86">
        <v>1</v>
      </c>
      <c r="P58" s="82" t="str">
        <f>IF(OR($E58="Layered Veins",$E58="Pipe Veins",$E58="Sparse Veins"),"Branches",IF($E58="Vertical Veins","Vertical","none"))</f>
        <v>Branches</v>
      </c>
      <c r="Q58" s="152">
        <f>SQRT($L58)*$N58</f>
        <v>2.450215168990177</v>
      </c>
      <c r="R58" s="152" t="str">
        <f>IF($M58="Motherlode",(($O58*SQRT($L58))^(1/2))^(1/3),"none")</f>
        <v>none</v>
      </c>
      <c r="S58" s="152">
        <f>IF($P58="Branches",SQRT($L58)^(1/2),IF($P58="Vertical","default",$P58))</f>
        <v>1.5653163159534806</v>
      </c>
      <c r="T58" s="153">
        <f>IF($P58="Branches",SQRT(SQRT($L58))^(1/2),IF($P58="Vertical",SQRT($L58)^(1/2),"none"))</f>
        <v>1.2511260192136844</v>
      </c>
      <c r="U58" s="77">
        <f>$G58/VLOOKUP($F58,Ore_Density[],2,FALSE)/Vanilla_COG_Divisor</f>
        <v>0.44642857142857145</v>
      </c>
      <c r="V58" s="158">
        <f>SQRT($U58)</f>
        <v>0.66815310478106094</v>
      </c>
      <c r="W58" s="147">
        <f>SQRT(SQRT($U58))</f>
        <v>0.81740632783277434</v>
      </c>
      <c r="X58" s="70">
        <f>$Y58+$AB58</f>
        <v>18</v>
      </c>
      <c r="Y58" s="71">
        <f>($AC58-$AB58)/2</f>
        <v>12.5</v>
      </c>
      <c r="Z58" s="71">
        <f>$AA58+$AB58</f>
        <v>18</v>
      </c>
      <c r="AA58" s="72">
        <f>($AG58-$AB58)/2</f>
        <v>12.5</v>
      </c>
      <c r="AB58" s="128">
        <v>5.5</v>
      </c>
      <c r="AC58" s="128">
        <v>30.5</v>
      </c>
      <c r="AD58" s="128" t="s">
        <v>790</v>
      </c>
      <c r="AE58" s="71">
        <f>IF($AD58="No",0,IF($AJ58="overworld",IF($X58&lt;64,64+($X58*3),0),0))</f>
        <v>0</v>
      </c>
      <c r="AF58" s="71">
        <f>IF($AD58="No",0,IF($AJ58="Overworld",IF($X58&lt;64,($Y58*3),0),0))</f>
        <v>0</v>
      </c>
      <c r="AG58" s="32">
        <f>IF($AC58&gt;64,64+(($AC58-64)*2.9),$AC58)</f>
        <v>30.5</v>
      </c>
      <c r="AH58" s="41" t="s">
        <v>258</v>
      </c>
      <c r="AI58" s="42"/>
      <c r="AJ58" s="131" t="s">
        <v>53</v>
      </c>
      <c r="AK58" s="20" t="str">
        <f>IF($X58&gt;64,"uniform",IF($AJ58="Overworld","normal","uniform"))</f>
        <v>normal</v>
      </c>
      <c r="AL58" s="109" t="s">
        <v>259</v>
      </c>
      <c r="AM58" s="110" t="s">
        <v>64</v>
      </c>
      <c r="AN58" s="117" t="s">
        <v>260</v>
      </c>
      <c r="AO58" s="118" t="s">
        <v>56</v>
      </c>
      <c r="AP58" s="46"/>
    </row>
    <row r="59" spans="1:42" s="7" customFormat="1" ht="13.5">
      <c r="A59" s="31" t="s">
        <v>261</v>
      </c>
      <c r="B59" s="18"/>
      <c r="C59" s="105" t="s">
        <v>185</v>
      </c>
      <c r="D59" s="97" t="s">
        <v>59</v>
      </c>
      <c r="E59" s="98" t="s">
        <v>66</v>
      </c>
      <c r="F59" s="99" t="s">
        <v>61</v>
      </c>
      <c r="G59" s="37">
        <f>$H59*$I59/2</f>
        <v>63</v>
      </c>
      <c r="H59" s="123">
        <v>7</v>
      </c>
      <c r="I59" s="124">
        <v>18</v>
      </c>
      <c r="J59" s="146">
        <f>$H59/2</f>
        <v>3.5</v>
      </c>
      <c r="K59" s="147">
        <f>$I59/2</f>
        <v>9</v>
      </c>
      <c r="L59" s="77">
        <f>$G59/VLOOKUP($E59,Ore_Density[],2,FALSE)/Vanilla_COG_Divisor</f>
        <v>3.945205479452055</v>
      </c>
      <c r="M59" s="82" t="str">
        <f>IF(OR($E59="Layered Veins",$E59="Small Deposits",$E59="Geode"),"Motherlode",IF(OR($E59="Pipe Veins",$E59="Sparse Veins",$E59="Vertical Veins"),"No","ERROR"))</f>
        <v>Motherlode</v>
      </c>
      <c r="N59" s="86">
        <v>1</v>
      </c>
      <c r="O59" s="86">
        <v>1</v>
      </c>
      <c r="P59" s="82" t="str">
        <f>IF(OR($E59="Layered Veins",$E59="Pipe Veins",$E59="Sparse Veins"),"Branches",IF($E59="Vertical Veins","Vertical","none"))</f>
        <v>Branches</v>
      </c>
      <c r="Q59" s="152">
        <f>SQRT($L59)*$N59</f>
        <v>1.9862541326456831</v>
      </c>
      <c r="R59" s="152">
        <f>IF($M59="Motherlode",(($O59*SQRT($L59))^(1/2))^(1/3),"none")</f>
        <v>1.1211725828174122</v>
      </c>
      <c r="S59" s="152">
        <f>IF($P59="Branches",SQRT($L59)^(1/2),IF($P59="Vertical","default",$P59))</f>
        <v>1.4093452851042867</v>
      </c>
      <c r="T59" s="153">
        <f>IF($P59="Branches",SQRT(SQRT($L59))^(1/2),IF($P59="Vertical",SQRT($L59)^(1/2),"none"))</f>
        <v>1.187158491990133</v>
      </c>
      <c r="U59" s="77">
        <f>$G59/VLOOKUP($F59,Ore_Density[],2,FALSE)/Vanilla_COG_Divisor</f>
        <v>5.1428571428571432</v>
      </c>
      <c r="V59" s="158">
        <f>SQRT($U59)</f>
        <v>2.2677868380553634</v>
      </c>
      <c r="W59" s="147">
        <f>SQRT(SQRT($U59))</f>
        <v>1.5059172746387377</v>
      </c>
      <c r="X59" s="70">
        <f>$Y59+$AB59</f>
        <v>25</v>
      </c>
      <c r="Y59" s="71">
        <f>($AC59-$AB59)/2</f>
        <v>20</v>
      </c>
      <c r="Z59" s="71">
        <f>$AA59+$AB59</f>
        <v>25</v>
      </c>
      <c r="AA59" s="72">
        <f>($AG59-$AB59)/2</f>
        <v>20</v>
      </c>
      <c r="AB59" s="128">
        <v>5</v>
      </c>
      <c r="AC59" s="128">
        <v>45</v>
      </c>
      <c r="AD59" s="128"/>
      <c r="AE59" s="71">
        <f>IF($AD59="No",0,IF($AJ59="overworld",IF($X59&lt;64,64+($X59*3),0),0))</f>
        <v>139</v>
      </c>
      <c r="AF59" s="71">
        <f>IF($AD59="No",0,IF($AJ59="Overworld",IF($X59&lt;64,($Y59*3),0),0))</f>
        <v>60</v>
      </c>
      <c r="AG59" s="32">
        <f>IF($AC59&gt;64,64+(($AC59-64)*2.9),$AC59)</f>
        <v>45</v>
      </c>
      <c r="AH59" s="41" t="s">
        <v>266</v>
      </c>
      <c r="AI59" s="42"/>
      <c r="AJ59" s="131" t="s">
        <v>53</v>
      </c>
      <c r="AK59" s="20" t="str">
        <f>IF($X59&gt;64,"uniform",IF($AJ59="Overworld","normal","uniform"))</f>
        <v>normal</v>
      </c>
      <c r="AL59" s="109" t="s">
        <v>267</v>
      </c>
      <c r="AM59" s="110" t="s">
        <v>64</v>
      </c>
      <c r="AN59" s="117"/>
      <c r="AO59" s="118" t="s">
        <v>56</v>
      </c>
      <c r="AP59" s="46"/>
    </row>
    <row r="60" spans="1:42" s="7" customFormat="1" ht="13.5">
      <c r="A60" s="31" t="s">
        <v>261</v>
      </c>
      <c r="B60" s="18"/>
      <c r="C60" s="105" t="s">
        <v>176</v>
      </c>
      <c r="D60" s="97" t="s">
        <v>59</v>
      </c>
      <c r="E60" s="98" t="s">
        <v>66</v>
      </c>
      <c r="F60" s="99" t="s">
        <v>61</v>
      </c>
      <c r="G60" s="37">
        <f>$H60*$I60/2</f>
        <v>84</v>
      </c>
      <c r="H60" s="123">
        <v>7</v>
      </c>
      <c r="I60" s="124">
        <v>24</v>
      </c>
      <c r="J60" s="146">
        <f>$H60/2</f>
        <v>3.5</v>
      </c>
      <c r="K60" s="147">
        <f>$I60/2</f>
        <v>12</v>
      </c>
      <c r="L60" s="77">
        <f>$G60/VLOOKUP($E60,Ore_Density[],2,FALSE)/Vanilla_COG_Divisor</f>
        <v>5.2602739726027394</v>
      </c>
      <c r="M60" s="82" t="str">
        <f>IF(OR($E60="Layered Veins",$E60="Small Deposits",$E60="Geode"),"Motherlode",IF(OR($E60="Pipe Veins",$E60="Sparse Veins",$E60="Vertical Veins"),"No","ERROR"))</f>
        <v>Motherlode</v>
      </c>
      <c r="N60" s="86">
        <v>1</v>
      </c>
      <c r="O60" s="86">
        <v>1</v>
      </c>
      <c r="P60" s="82" t="str">
        <f>IF(OR($E60="Layered Veins",$E60="Pipe Veins",$E60="Sparse Veins"),"Branches",IF($E60="Vertical Veins","Vertical","none"))</f>
        <v>Branches</v>
      </c>
      <c r="Q60" s="152">
        <f>SQRT($L60)*$N60</f>
        <v>2.2935287163239835</v>
      </c>
      <c r="R60" s="152">
        <f>IF($M60="Motherlode",(($O60*SQRT($L60))^(1/2))^(1/3),"none")</f>
        <v>1.1483757958361527</v>
      </c>
      <c r="S60" s="152">
        <f>IF($P60="Branches",SQRT($L60)^(1/2),IF($P60="Vertical","default",$P60))</f>
        <v>1.5144400669303435</v>
      </c>
      <c r="T60" s="153">
        <f>IF($P60="Branches",SQRT(SQRT($L60))^(1/2),IF($P60="Vertical",SQRT($L60)^(1/2),"none"))</f>
        <v>1.2306258842273485</v>
      </c>
      <c r="U60" s="77">
        <f>$G60/VLOOKUP($F60,Ore_Density[],2,FALSE)/Vanilla_COG_Divisor</f>
        <v>6.8571428571428568</v>
      </c>
      <c r="V60" s="158">
        <f>SQRT($U60)</f>
        <v>2.6186146828319083</v>
      </c>
      <c r="W60" s="147">
        <f>SQRT(SQRT($U60))</f>
        <v>1.6182134231404424</v>
      </c>
      <c r="X60" s="70">
        <f>$Y60+$AB60</f>
        <v>40</v>
      </c>
      <c r="Y60" s="71">
        <f>($AC60-$AB60)/2</f>
        <v>35</v>
      </c>
      <c r="Z60" s="71">
        <f>$AA60+$AB60</f>
        <v>50.45</v>
      </c>
      <c r="AA60" s="72">
        <f>($AG60-$AB60)/2</f>
        <v>45.45</v>
      </c>
      <c r="AB60" s="128">
        <v>5</v>
      </c>
      <c r="AC60" s="128">
        <v>75</v>
      </c>
      <c r="AD60" s="128"/>
      <c r="AE60" s="71">
        <f>IF($AD60="No",0,IF($AJ60="overworld",IF($X60&lt;64,64+($X60*3),0),0))</f>
        <v>184</v>
      </c>
      <c r="AF60" s="71">
        <f>IF($AD60="No",0,IF($AJ60="Overworld",IF($X60&lt;64,($Y60*3),0),0))</f>
        <v>105</v>
      </c>
      <c r="AG60" s="32">
        <f>IF($AC60&gt;64,64+(($AC60-64)*2.9),$AC60)</f>
        <v>95.9</v>
      </c>
      <c r="AH60" s="41" t="s">
        <v>262</v>
      </c>
      <c r="AI60" s="42"/>
      <c r="AJ60" s="131" t="s">
        <v>53</v>
      </c>
      <c r="AK60" s="20" t="str">
        <f>IF($X60&gt;64,"uniform",IF($AJ60="Overworld","normal","uniform"))</f>
        <v>normal</v>
      </c>
      <c r="AL60" s="109" t="s">
        <v>263</v>
      </c>
      <c r="AM60" s="110" t="s">
        <v>64</v>
      </c>
      <c r="AN60" s="117"/>
      <c r="AO60" s="118" t="s">
        <v>56</v>
      </c>
      <c r="AP60" s="46"/>
    </row>
    <row r="61" spans="1:42" s="7" customFormat="1" ht="13.5">
      <c r="A61" s="31" t="s">
        <v>261</v>
      </c>
      <c r="B61" s="18"/>
      <c r="C61" s="105" t="s">
        <v>268</v>
      </c>
      <c r="D61" s="97" t="s">
        <v>59</v>
      </c>
      <c r="E61" s="98" t="s">
        <v>66</v>
      </c>
      <c r="F61" s="99" t="s">
        <v>61</v>
      </c>
      <c r="G61" s="37">
        <f>$H61*$I61/2</f>
        <v>10.5</v>
      </c>
      <c r="H61" s="123">
        <v>7</v>
      </c>
      <c r="I61" s="124">
        <v>3</v>
      </c>
      <c r="J61" s="146">
        <f>$H61/2</f>
        <v>3.5</v>
      </c>
      <c r="K61" s="147">
        <f>$I61/2</f>
        <v>1.5</v>
      </c>
      <c r="L61" s="77">
        <f>$G61/VLOOKUP($E61,Ore_Density[],2,FALSE)/Vanilla_COG_Divisor</f>
        <v>0.65753424657534243</v>
      </c>
      <c r="M61" s="82" t="str">
        <f>IF(OR($E61="Layered Veins",$E61="Small Deposits",$E61="Geode"),"Motherlode",IF(OR($E61="Pipe Veins",$E61="Sparse Veins",$E61="Vertical Veins"),"No","ERROR"))</f>
        <v>Motherlode</v>
      </c>
      <c r="N61" s="86">
        <v>1</v>
      </c>
      <c r="O61" s="86">
        <v>1</v>
      </c>
      <c r="P61" s="82" t="str">
        <f>IF(OR($E61="Layered Veins",$E61="Pipe Veins",$E61="Sparse Veins"),"Branches",IF($E61="Vertical Veins","Vertical","none"))</f>
        <v>Branches</v>
      </c>
      <c r="Q61" s="152">
        <f>SQRT($L61)*$N61</f>
        <v>0.81088485407938315</v>
      </c>
      <c r="R61" s="152">
        <f>IF($M61="Motherlode",(($O61*SQRT($L61))^(1/2))^(1/3),"none")</f>
        <v>0.96566509008275225</v>
      </c>
      <c r="S61" s="152">
        <f>IF($P61="Branches",SQRT($L61)^(1/2),IF($P61="Vertical","default",$P61))</f>
        <v>0.90049145141938081</v>
      </c>
      <c r="T61" s="153">
        <f>IF($P61="Branches",SQRT(SQRT($L61))^(1/2),IF($P61="Vertical",SQRT($L61)^(1/2),"none"))</f>
        <v>0.94894228034131811</v>
      </c>
      <c r="U61" s="77">
        <f>$G61/VLOOKUP($F61,Ore_Density[],2,FALSE)/Vanilla_COG_Divisor</f>
        <v>0.8571428571428571</v>
      </c>
      <c r="V61" s="158">
        <f>SQRT($U61)</f>
        <v>0.92582009977255142</v>
      </c>
      <c r="W61" s="147">
        <f>SQRT(SQRT($U61))</f>
        <v>0.96219545819576147</v>
      </c>
      <c r="X61" s="70">
        <f>$Y61+$AB61</f>
        <v>15</v>
      </c>
      <c r="Y61" s="71">
        <f>($AC61-$AB61)/2</f>
        <v>10</v>
      </c>
      <c r="Z61" s="71">
        <f>$AA61+$AB61</f>
        <v>15</v>
      </c>
      <c r="AA61" s="72">
        <f>($AG61-$AB61)/2</f>
        <v>10</v>
      </c>
      <c r="AB61" s="128">
        <v>5</v>
      </c>
      <c r="AC61" s="128">
        <v>25</v>
      </c>
      <c r="AD61" s="128"/>
      <c r="AE61" s="71">
        <f>IF($AD61="No",0,IF($AJ61="overworld",IF($X61&lt;64,64+($X61*3),0),0))</f>
        <v>109</v>
      </c>
      <c r="AF61" s="71">
        <f>IF($AD61="No",0,IF($AJ61="Overworld",IF($X61&lt;64,($Y61*3),0),0))</f>
        <v>30</v>
      </c>
      <c r="AG61" s="32">
        <f>IF($AC61&gt;64,64+(($AC61-64)*2.9),$AC61)</f>
        <v>25</v>
      </c>
      <c r="AH61" s="41" t="s">
        <v>62</v>
      </c>
      <c r="AI61" s="42"/>
      <c r="AJ61" s="131" t="s">
        <v>53</v>
      </c>
      <c r="AK61" s="20" t="str">
        <f>IF($X61&gt;64,"uniform",IF($AJ61="Overworld","normal","uniform"))</f>
        <v>normal</v>
      </c>
      <c r="AL61" s="109" t="s">
        <v>269</v>
      </c>
      <c r="AM61" s="110" t="s">
        <v>64</v>
      </c>
      <c r="AN61" s="117"/>
      <c r="AO61" s="118" t="s">
        <v>56</v>
      </c>
      <c r="AP61" s="46"/>
    </row>
    <row r="62" spans="1:42" s="7" customFormat="1" ht="13.5">
      <c r="A62" s="31" t="s">
        <v>261</v>
      </c>
      <c r="B62" s="18"/>
      <c r="C62" s="105" t="s">
        <v>179</v>
      </c>
      <c r="D62" s="97" t="s">
        <v>59</v>
      </c>
      <c r="E62" s="98" t="s">
        <v>66</v>
      </c>
      <c r="F62" s="99" t="s">
        <v>61</v>
      </c>
      <c r="G62" s="37">
        <f>$H62*$I62/2</f>
        <v>77</v>
      </c>
      <c r="H62" s="123">
        <v>7</v>
      </c>
      <c r="I62" s="124">
        <v>22</v>
      </c>
      <c r="J62" s="146">
        <f>$H62/2</f>
        <v>3.5</v>
      </c>
      <c r="K62" s="147">
        <f>$I62/2</f>
        <v>11</v>
      </c>
      <c r="L62" s="77">
        <f>$G62/VLOOKUP($E62,Ore_Density[],2,FALSE)/Vanilla_COG_Divisor</f>
        <v>4.8219178082191778</v>
      </c>
      <c r="M62" s="82" t="str">
        <f>IF(OR($E62="Layered Veins",$E62="Small Deposits",$E62="Geode"),"Motherlode",IF(OR($E62="Pipe Veins",$E62="Sparse Veins",$E62="Vertical Veins"),"No","ERROR"))</f>
        <v>Motherlode</v>
      </c>
      <c r="N62" s="86">
        <v>1</v>
      </c>
      <c r="O62" s="86">
        <v>1</v>
      </c>
      <c r="P62" s="82" t="str">
        <f>IF(OR($E62="Layered Veins",$E62="Pipe Veins",$E62="Sparse Veins"),"Branches",IF($E62="Vertical Veins","Vertical","none"))</f>
        <v>Branches</v>
      </c>
      <c r="Q62" s="152">
        <f>SQRT($L62)*$N62</f>
        <v>2.1958865654261785</v>
      </c>
      <c r="R62" s="152">
        <f>IF($M62="Motherlode",(($O62*SQRT($L62))^(1/2))^(1/3),"none")</f>
        <v>1.1400790983733966</v>
      </c>
      <c r="S62" s="152">
        <f>IF($P62="Branches",SQRT($L62)^(1/2),IF($P62="Vertical","default",$P62))</f>
        <v>1.4818524101361035</v>
      </c>
      <c r="T62" s="153">
        <f>IF($P62="Branches",SQRT(SQRT($L62))^(1/2),IF($P62="Vertical",SQRT($L62)^(1/2),"none"))</f>
        <v>1.2173136038573229</v>
      </c>
      <c r="U62" s="77">
        <f>$G62/VLOOKUP($F62,Ore_Density[],2,FALSE)/Vanilla_COG_Divisor</f>
        <v>6.2857142857142856</v>
      </c>
      <c r="V62" s="158">
        <f>SQRT($U62)</f>
        <v>2.5071326821120348</v>
      </c>
      <c r="W62" s="147">
        <f>SQRT(SQRT($U62))</f>
        <v>1.5833927756915007</v>
      </c>
      <c r="X62" s="70">
        <f>$Y62+$AB62</f>
        <v>33</v>
      </c>
      <c r="Y62" s="71">
        <f>($AC62-$AB62)/2</f>
        <v>27</v>
      </c>
      <c r="Z62" s="71">
        <f>$AA62+$AB62</f>
        <v>33</v>
      </c>
      <c r="AA62" s="72">
        <f>($AG62-$AB62)/2</f>
        <v>27</v>
      </c>
      <c r="AB62" s="128">
        <v>6</v>
      </c>
      <c r="AC62" s="128">
        <v>60</v>
      </c>
      <c r="AD62" s="128"/>
      <c r="AE62" s="71">
        <f>IF($AD62="No",0,IF($AJ62="overworld",IF($X62&lt;64,64+($X62*3),0),0))</f>
        <v>163</v>
      </c>
      <c r="AF62" s="71">
        <f>IF($AD62="No",0,IF($AJ62="Overworld",IF($X62&lt;64,($Y62*3),0),0))</f>
        <v>81</v>
      </c>
      <c r="AG62" s="32">
        <f>IF($AC62&gt;64,64+(($AC62-64)*2.9),$AC62)</f>
        <v>60</v>
      </c>
      <c r="AH62" s="41" t="s">
        <v>264</v>
      </c>
      <c r="AI62" s="42"/>
      <c r="AJ62" s="131" t="s">
        <v>53</v>
      </c>
      <c r="AK62" s="20" t="str">
        <f>IF($X62&gt;64,"uniform",IF($AJ62="Overworld","normal","uniform"))</f>
        <v>normal</v>
      </c>
      <c r="AL62" s="109" t="s">
        <v>265</v>
      </c>
      <c r="AM62" s="110" t="s">
        <v>64</v>
      </c>
      <c r="AN62" s="117"/>
      <c r="AO62" s="118" t="s">
        <v>56</v>
      </c>
      <c r="AP62" s="46"/>
    </row>
    <row r="63" spans="1:42" s="7" customFormat="1" ht="13.5">
      <c r="A63" s="31" t="s">
        <v>270</v>
      </c>
      <c r="B63" s="18"/>
      <c r="C63" s="105" t="s">
        <v>303</v>
      </c>
      <c r="D63" s="97" t="s">
        <v>49</v>
      </c>
      <c r="E63" s="98" t="s">
        <v>66</v>
      </c>
      <c r="F63" s="99" t="s">
        <v>51</v>
      </c>
      <c r="G63" s="37">
        <f>$H63*$I63/2</f>
        <v>384</v>
      </c>
      <c r="H63" s="123">
        <v>32</v>
      </c>
      <c r="I63" s="124">
        <v>24</v>
      </c>
      <c r="J63" s="146">
        <f>$H63/2</f>
        <v>16</v>
      </c>
      <c r="K63" s="147">
        <f>$I63/2</f>
        <v>12</v>
      </c>
      <c r="L63" s="77">
        <f>$G63/VLOOKUP($E63,Ore_Density[],2,FALSE)/Vanilla_COG_Divisor</f>
        <v>24.046966731898237</v>
      </c>
      <c r="M63" s="82" t="str">
        <f>IF(OR($E63="Layered Veins",$E63="Small Deposits",$E63="Geode"),"Motherlode",IF(OR($E63="Pipe Veins",$E63="Sparse Veins",$E63="Vertical Veins"),"No","ERROR"))</f>
        <v>Motherlode</v>
      </c>
      <c r="N63" s="86">
        <v>1</v>
      </c>
      <c r="O63" s="86">
        <v>1</v>
      </c>
      <c r="P63" s="82" t="str">
        <f>IF(OR($E63="Layered Veins",$E63="Pipe Veins",$E63="Sparse Veins"),"Branches",IF($E63="Vertical Veins","Vertical","none"))</f>
        <v>Branches</v>
      </c>
      <c r="Q63" s="152">
        <f>SQRT($L63)*$N63</f>
        <v>4.9037706646924502</v>
      </c>
      <c r="R63" s="152">
        <f>IF($M63="Motherlode",(($O63*SQRT($L63))^(1/2))^(1/3),"none")</f>
        <v>1.3034319387083164</v>
      </c>
      <c r="S63" s="152">
        <f>IF($P63="Branches",SQRT($L63)^(1/2),IF($P63="Vertical","default",$P63))</f>
        <v>2.2144459046660971</v>
      </c>
      <c r="T63" s="153">
        <f>IF($P63="Branches",SQRT(SQRT($L63))^(1/2),IF($P63="Vertical",SQRT($L63)^(1/2),"none"))</f>
        <v>1.4881014430024915</v>
      </c>
      <c r="U63" s="77">
        <f>$G63/VLOOKUP($F63,Ore_Density[],2,FALSE)/Vanilla_COG_Divisor</f>
        <v>10.714285714285714</v>
      </c>
      <c r="V63" s="158">
        <f>SQRT($U63)</f>
        <v>3.2732683535398857</v>
      </c>
      <c r="W63" s="147">
        <f>SQRT(SQRT($U63))</f>
        <v>1.8092176081223301</v>
      </c>
      <c r="X63" s="70">
        <f>$Y63+$AB63</f>
        <v>88</v>
      </c>
      <c r="Y63" s="71">
        <f>($AC63-$AB63)/2</f>
        <v>40</v>
      </c>
      <c r="Z63" s="71">
        <f>$AA63+$AB63</f>
        <v>148.80000000000001</v>
      </c>
      <c r="AA63" s="72">
        <f>($AG63-$AB63)/2</f>
        <v>100.8</v>
      </c>
      <c r="AB63" s="128">
        <v>48</v>
      </c>
      <c r="AC63" s="128">
        <v>128</v>
      </c>
      <c r="AD63" s="128"/>
      <c r="AE63" s="71">
        <f>IF($AD63="No",0,IF($AJ63="overworld",IF($X63&lt;64,64+($X63*3),0),0))</f>
        <v>0</v>
      </c>
      <c r="AF63" s="71">
        <f>IF($AD63="No",0,IF($AJ63="Overworld",IF($X63&lt;64,($Y63*3),0),0))</f>
        <v>0</v>
      </c>
      <c r="AG63" s="32">
        <f>IF($AC63&gt;64,64+(($AC63-64)*2.9),$AC63)</f>
        <v>249.6</v>
      </c>
      <c r="AH63" s="41" t="s">
        <v>304</v>
      </c>
      <c r="AI63" s="42"/>
      <c r="AJ63" s="131" t="s">
        <v>53</v>
      </c>
      <c r="AK63" s="20" t="str">
        <f>IF($X63&gt;64,"uniform",IF($AJ63="Overworld","normal","uniform"))</f>
        <v>uniform</v>
      </c>
      <c r="AL63" s="109" t="s">
        <v>305</v>
      </c>
      <c r="AM63" s="110" t="s">
        <v>64</v>
      </c>
      <c r="AN63" s="117"/>
      <c r="AO63" s="118" t="s">
        <v>56</v>
      </c>
      <c r="AP63" s="46"/>
    </row>
    <row r="64" spans="1:42" s="7" customFormat="1" ht="13.5">
      <c r="A64" s="31" t="s">
        <v>270</v>
      </c>
      <c r="B64" s="18"/>
      <c r="C64" s="105" t="s">
        <v>288</v>
      </c>
      <c r="D64" s="97" t="s">
        <v>49</v>
      </c>
      <c r="E64" s="98" t="s">
        <v>66</v>
      </c>
      <c r="F64" s="99" t="s">
        <v>51</v>
      </c>
      <c r="G64" s="37">
        <f>$H64*$I64/2</f>
        <v>307.2</v>
      </c>
      <c r="H64" s="123">
        <v>32</v>
      </c>
      <c r="I64" s="124">
        <v>19.2</v>
      </c>
      <c r="J64" s="146">
        <f>$H64/2</f>
        <v>16</v>
      </c>
      <c r="K64" s="147">
        <f>$I64/2</f>
        <v>9.6</v>
      </c>
      <c r="L64" s="77">
        <f>$G64/VLOOKUP($E64,Ore_Density[],2,FALSE)/Vanilla_COG_Divisor</f>
        <v>19.237573385518591</v>
      </c>
      <c r="M64" s="82" t="str">
        <f>IF(OR($E64="Layered Veins",$E64="Small Deposits",$E64="Geode"),"Motherlode",IF(OR($E64="Pipe Veins",$E64="Sparse Veins",$E64="Vertical Veins"),"No","ERROR"))</f>
        <v>Motherlode</v>
      </c>
      <c r="N64" s="86">
        <v>1</v>
      </c>
      <c r="O64" s="86">
        <v>1</v>
      </c>
      <c r="P64" s="82" t="str">
        <f>IF(OR($E64="Layered Veins",$E64="Pipe Veins",$E64="Sparse Veins"),"Branches",IF($E64="Vertical Veins","Vertical","none"))</f>
        <v>Branches</v>
      </c>
      <c r="Q64" s="152">
        <f>SQRT($L64)*$N64</f>
        <v>4.3860658209286587</v>
      </c>
      <c r="R64" s="152">
        <f>IF($M64="Motherlode",(($O64*SQRT($L64))^(1/2))^(1/3),"none")</f>
        <v>1.279418199323926</v>
      </c>
      <c r="S64" s="152">
        <f>IF($P64="Branches",SQRT($L64)^(1/2),IF($P64="Vertical","default",$P64))</f>
        <v>2.0942936329294084</v>
      </c>
      <c r="T64" s="153">
        <f>IF($P64="Branches",SQRT(SQRT($L64))^(1/2),IF($P64="Vertical",SQRT($L64)^(1/2),"none"))</f>
        <v>1.4471674515858242</v>
      </c>
      <c r="U64" s="77">
        <f>$G64/VLOOKUP($F64,Ore_Density[],2,FALSE)/Vanilla_COG_Divisor</f>
        <v>8.5714285714285712</v>
      </c>
      <c r="V64" s="158">
        <f>SQRT($U64)</f>
        <v>2.9277002188455996</v>
      </c>
      <c r="W64" s="147">
        <f>SQRT(SQRT($U64))</f>
        <v>1.7110523717424899</v>
      </c>
      <c r="X64" s="70">
        <f>$Y64+$AB64</f>
        <v>24</v>
      </c>
      <c r="Y64" s="71">
        <f>($AC64-$AB64)/2</f>
        <v>8</v>
      </c>
      <c r="Z64" s="71">
        <f>$AA64+$AB64</f>
        <v>24</v>
      </c>
      <c r="AA64" s="72">
        <f>($AG64-$AB64)/2</f>
        <v>8</v>
      </c>
      <c r="AB64" s="128">
        <v>16</v>
      </c>
      <c r="AC64" s="128">
        <v>32</v>
      </c>
      <c r="AD64" s="128"/>
      <c r="AE64" s="71">
        <f>IF($AD64="No",0,IF($AJ64="overworld",IF($X64&lt;64,64+($X64*3),0),0))</f>
        <v>136</v>
      </c>
      <c r="AF64" s="71">
        <f>IF($AD64="No",0,IF($AJ64="Overworld",IF($X64&lt;64,($Y64*3),0),0))</f>
        <v>24</v>
      </c>
      <c r="AG64" s="32">
        <f>IF($AC64&gt;64,64+(($AC64-64)*2.9),$AC64)</f>
        <v>32</v>
      </c>
      <c r="AH64" s="41" t="s">
        <v>289</v>
      </c>
      <c r="AI64" s="42"/>
      <c r="AJ64" s="131" t="s">
        <v>53</v>
      </c>
      <c r="AK64" s="20" t="str">
        <f>IF($X64&gt;64,"uniform",IF($AJ64="Overworld","normal","uniform"))</f>
        <v>normal</v>
      </c>
      <c r="AL64" s="109" t="s">
        <v>290</v>
      </c>
      <c r="AM64" s="110" t="s">
        <v>64</v>
      </c>
      <c r="AN64" s="117"/>
      <c r="AO64" s="118" t="s">
        <v>56</v>
      </c>
      <c r="AP64" s="46"/>
    </row>
    <row r="65" spans="1:42" s="7" customFormat="1" ht="13.5">
      <c r="A65" s="31" t="s">
        <v>270</v>
      </c>
      <c r="B65" s="18"/>
      <c r="C65" s="105" t="s">
        <v>163</v>
      </c>
      <c r="D65" s="97" t="s">
        <v>49</v>
      </c>
      <c r="E65" s="98" t="s">
        <v>66</v>
      </c>
      <c r="F65" s="99" t="s">
        <v>51</v>
      </c>
      <c r="G65" s="37">
        <f>$H65*$I65/2</f>
        <v>384</v>
      </c>
      <c r="H65" s="123">
        <v>32</v>
      </c>
      <c r="I65" s="124">
        <v>24</v>
      </c>
      <c r="J65" s="146">
        <f>$H65/2</f>
        <v>16</v>
      </c>
      <c r="K65" s="147">
        <f>$I65/2</f>
        <v>12</v>
      </c>
      <c r="L65" s="77">
        <f>$G65/VLOOKUP($E65,Ore_Density[],2,FALSE)/Vanilla_COG_Divisor</f>
        <v>24.046966731898237</v>
      </c>
      <c r="M65" s="82" t="str">
        <f>IF(OR($E65="Layered Veins",$E65="Small Deposits",$E65="Geode"),"Motherlode",IF(OR($E65="Pipe Veins",$E65="Sparse Veins",$E65="Vertical Veins"),"No","ERROR"))</f>
        <v>Motherlode</v>
      </c>
      <c r="N65" s="86">
        <v>1</v>
      </c>
      <c r="O65" s="86">
        <v>1</v>
      </c>
      <c r="P65" s="82" t="str">
        <f>IF(OR($E65="Layered Veins",$E65="Pipe Veins",$E65="Sparse Veins"),"Branches",IF($E65="Vertical Veins","Vertical","none"))</f>
        <v>Branches</v>
      </c>
      <c r="Q65" s="152">
        <f>SQRT($L65)*$N65</f>
        <v>4.9037706646924502</v>
      </c>
      <c r="R65" s="152">
        <f>IF($M65="Motherlode",(($O65*SQRT($L65))^(1/2))^(1/3),"none")</f>
        <v>1.3034319387083164</v>
      </c>
      <c r="S65" s="152">
        <f>IF($P65="Branches",SQRT($L65)^(1/2),IF($P65="Vertical","default",$P65))</f>
        <v>2.2144459046660971</v>
      </c>
      <c r="T65" s="153">
        <f>IF($P65="Branches",SQRT(SQRT($L65))^(1/2),IF($P65="Vertical",SQRT($L65)^(1/2),"none"))</f>
        <v>1.4881014430024915</v>
      </c>
      <c r="U65" s="77">
        <f>$G65/VLOOKUP($F65,Ore_Density[],2,FALSE)/Vanilla_COG_Divisor</f>
        <v>10.714285714285714</v>
      </c>
      <c r="V65" s="158">
        <f>SQRT($U65)</f>
        <v>3.2732683535398857</v>
      </c>
      <c r="W65" s="147">
        <f>SQRT(SQRT($U65))</f>
        <v>1.8092176081223301</v>
      </c>
      <c r="X65" s="70">
        <f>$Y65+$AB65</f>
        <v>32</v>
      </c>
      <c r="Y65" s="71">
        <f>($AC65-$AB65)/2</f>
        <v>16</v>
      </c>
      <c r="Z65" s="71">
        <f>$AA65+$AB65</f>
        <v>32</v>
      </c>
      <c r="AA65" s="72">
        <f>($AG65-$AB65)/2</f>
        <v>16</v>
      </c>
      <c r="AB65" s="128">
        <v>16</v>
      </c>
      <c r="AC65" s="128">
        <v>48</v>
      </c>
      <c r="AD65" s="128"/>
      <c r="AE65" s="71">
        <f>IF($AD65="No",0,IF($AJ65="overworld",IF($X65&lt;64,64+($X65*3),0),0))</f>
        <v>160</v>
      </c>
      <c r="AF65" s="71">
        <f>IF($AD65="No",0,IF($AJ65="Overworld",IF($X65&lt;64,($Y65*3),0),0))</f>
        <v>48</v>
      </c>
      <c r="AG65" s="32">
        <f>IF($AC65&gt;64,64+(($AC65-64)*2.9),$AC65)</f>
        <v>48</v>
      </c>
      <c r="AH65" s="41" t="s">
        <v>314</v>
      </c>
      <c r="AI65" s="42"/>
      <c r="AJ65" s="131" t="s">
        <v>53</v>
      </c>
      <c r="AK65" s="20" t="str">
        <f>IF($X65&gt;64,"uniform",IF($AJ65="Overworld","normal","uniform"))</f>
        <v>normal</v>
      </c>
      <c r="AL65" s="109" t="s">
        <v>315</v>
      </c>
      <c r="AM65" s="110" t="s">
        <v>64</v>
      </c>
      <c r="AN65" s="117"/>
      <c r="AO65" s="118" t="s">
        <v>56</v>
      </c>
      <c r="AP65" s="46"/>
    </row>
    <row r="66" spans="1:42" s="7" customFormat="1" ht="13.5">
      <c r="A66" s="31" t="s">
        <v>270</v>
      </c>
      <c r="B66" s="18"/>
      <c r="C66" s="105" t="s">
        <v>294</v>
      </c>
      <c r="D66" s="97" t="s">
        <v>49</v>
      </c>
      <c r="E66" s="98" t="s">
        <v>66</v>
      </c>
      <c r="F66" s="99" t="s">
        <v>51</v>
      </c>
      <c r="G66" s="37">
        <f>$H66*$I66/2</f>
        <v>268.8</v>
      </c>
      <c r="H66" s="123">
        <v>32</v>
      </c>
      <c r="I66" s="124">
        <v>16.8</v>
      </c>
      <c r="J66" s="146">
        <f>$H66/2</f>
        <v>16</v>
      </c>
      <c r="K66" s="147">
        <f>$I66/2</f>
        <v>8.4</v>
      </c>
      <c r="L66" s="77">
        <f>$G66/VLOOKUP($E66,Ore_Density[],2,FALSE)/Vanilla_COG_Divisor</f>
        <v>16.832876712328765</v>
      </c>
      <c r="M66" s="82" t="str">
        <f>IF(OR($E66="Layered Veins",$E66="Small Deposits",$E66="Geode"),"Motherlode",IF(OR($E66="Pipe Veins",$E66="Sparse Veins",$E66="Vertical Veins"),"No","ERROR"))</f>
        <v>Motherlode</v>
      </c>
      <c r="N66" s="86">
        <v>1</v>
      </c>
      <c r="O66" s="86">
        <v>1</v>
      </c>
      <c r="P66" s="82" t="str">
        <f>IF(OR($E66="Layered Veins",$E66="Pipe Veins",$E66="Sparse Veins"),"Branches",IF($E66="Vertical Veins","Vertical","none"))</f>
        <v>Branches</v>
      </c>
      <c r="Q66" s="152">
        <f>SQRT($L66)*$N66</f>
        <v>4.1027888944386071</v>
      </c>
      <c r="R66" s="152">
        <f>IF($M66="Motherlode",(($O66*SQRT($L66))^(1/2))^(1/3),"none")</f>
        <v>1.2652602430732121</v>
      </c>
      <c r="S66" s="152">
        <f>IF($P66="Branches",SQRT($L66)^(1/2),IF($P66="Vertical","default",$P66))</f>
        <v>2.0255342244550221</v>
      </c>
      <c r="T66" s="153">
        <f>IF($P66="Branches",SQRT(SQRT($L66))^(1/2),IF($P66="Vertical",SQRT($L66)^(1/2),"none"))</f>
        <v>1.423212642037381</v>
      </c>
      <c r="U66" s="77">
        <f>$G66/VLOOKUP($F66,Ore_Density[],2,FALSE)/Vanilla_COG_Divisor</f>
        <v>7.5</v>
      </c>
      <c r="V66" s="158">
        <f>SQRT($U66)</f>
        <v>2.7386127875258306</v>
      </c>
      <c r="W66" s="147">
        <f>SQRT(SQRT($U66))</f>
        <v>1.6548754598234365</v>
      </c>
      <c r="X66" s="70">
        <f>$Y66+$AB66</f>
        <v>24</v>
      </c>
      <c r="Y66" s="71">
        <f>($AC66-$AB66)/2</f>
        <v>8</v>
      </c>
      <c r="Z66" s="71">
        <f>$AA66+$AB66</f>
        <v>24</v>
      </c>
      <c r="AA66" s="72">
        <f>($AG66-$AB66)/2</f>
        <v>8</v>
      </c>
      <c r="AB66" s="128">
        <v>16</v>
      </c>
      <c r="AC66" s="128">
        <v>32</v>
      </c>
      <c r="AD66" s="128"/>
      <c r="AE66" s="71">
        <f>IF($AD66="No",0,IF($AJ66="overworld",IF($X66&lt;64,64+($X66*3),0),0))</f>
        <v>136</v>
      </c>
      <c r="AF66" s="71">
        <f>IF($AD66="No",0,IF($AJ66="Overworld",IF($X66&lt;64,($Y66*3),0),0))</f>
        <v>24</v>
      </c>
      <c r="AG66" s="32">
        <f>IF($AC66&gt;64,64+(($AC66-64)*2.9),$AC66)</f>
        <v>32</v>
      </c>
      <c r="AH66" s="41" t="s">
        <v>295</v>
      </c>
      <c r="AI66" s="42"/>
      <c r="AJ66" s="131" t="s">
        <v>53</v>
      </c>
      <c r="AK66" s="20" t="str">
        <f>IF($X66&gt;64,"uniform",IF($AJ66="Overworld","normal","uniform"))</f>
        <v>normal</v>
      </c>
      <c r="AL66" s="109" t="s">
        <v>296</v>
      </c>
      <c r="AM66" s="110" t="s">
        <v>64</v>
      </c>
      <c r="AN66" s="117"/>
      <c r="AO66" s="118" t="s">
        <v>56</v>
      </c>
      <c r="AP66" s="46"/>
    </row>
    <row r="67" spans="1:42" s="7" customFormat="1" ht="13.5">
      <c r="A67" s="31" t="s">
        <v>270</v>
      </c>
      <c r="B67" s="18"/>
      <c r="C67" s="105" t="s">
        <v>316</v>
      </c>
      <c r="D67" s="97" t="s">
        <v>49</v>
      </c>
      <c r="E67" s="98" t="s">
        <v>66</v>
      </c>
      <c r="F67" s="99" t="s">
        <v>51</v>
      </c>
      <c r="G67" s="37">
        <f>$H67*$I67/2</f>
        <v>307.2</v>
      </c>
      <c r="H67" s="123">
        <v>32</v>
      </c>
      <c r="I67" s="124">
        <v>19.2</v>
      </c>
      <c r="J67" s="146">
        <f>$H67/2</f>
        <v>16</v>
      </c>
      <c r="K67" s="147">
        <f>$I67/2</f>
        <v>9.6</v>
      </c>
      <c r="L67" s="77">
        <f>$G67/VLOOKUP($E67,Ore_Density[],2,FALSE)/Vanilla_COG_Divisor</f>
        <v>19.237573385518591</v>
      </c>
      <c r="M67" s="82" t="str">
        <f>IF(OR($E67="Layered Veins",$E67="Small Deposits",$E67="Geode"),"Motherlode",IF(OR($E67="Pipe Veins",$E67="Sparse Veins",$E67="Vertical Veins"),"No","ERROR"))</f>
        <v>Motherlode</v>
      </c>
      <c r="N67" s="86">
        <v>1</v>
      </c>
      <c r="O67" s="86">
        <v>1</v>
      </c>
      <c r="P67" s="82" t="str">
        <f>IF(OR($E67="Layered Veins",$E67="Pipe Veins",$E67="Sparse Veins"),"Branches",IF($E67="Vertical Veins","Vertical","none"))</f>
        <v>Branches</v>
      </c>
      <c r="Q67" s="152">
        <f>SQRT($L67)*$N67</f>
        <v>4.3860658209286587</v>
      </c>
      <c r="R67" s="152">
        <f>IF($M67="Motherlode",(($O67*SQRT($L67))^(1/2))^(1/3),"none")</f>
        <v>1.279418199323926</v>
      </c>
      <c r="S67" s="152">
        <f>IF($P67="Branches",SQRT($L67)^(1/2),IF($P67="Vertical","default",$P67))</f>
        <v>2.0942936329294084</v>
      </c>
      <c r="T67" s="153">
        <f>IF($P67="Branches",SQRT(SQRT($L67))^(1/2),IF($P67="Vertical",SQRT($L67)^(1/2),"none"))</f>
        <v>1.4471674515858242</v>
      </c>
      <c r="U67" s="77">
        <f>$G67/VLOOKUP($F67,Ore_Density[],2,FALSE)/Vanilla_COG_Divisor</f>
        <v>8.5714285714285712</v>
      </c>
      <c r="V67" s="158">
        <f>SQRT($U67)</f>
        <v>2.9277002188455996</v>
      </c>
      <c r="W67" s="147">
        <f>SQRT(SQRT($U67))</f>
        <v>1.7110523717424899</v>
      </c>
      <c r="X67" s="70">
        <f>$Y67+$AB67</f>
        <v>35</v>
      </c>
      <c r="Y67" s="71">
        <f>($AC67-$AB67)/2</f>
        <v>29</v>
      </c>
      <c r="Z67" s="71">
        <f>$AA67+$AB67</f>
        <v>35</v>
      </c>
      <c r="AA67" s="72">
        <f>($AG67-$AB67)/2</f>
        <v>29</v>
      </c>
      <c r="AB67" s="128">
        <v>6</v>
      </c>
      <c r="AC67" s="128">
        <v>64</v>
      </c>
      <c r="AD67" s="128"/>
      <c r="AE67" s="71">
        <f>IF($AD67="No",0,IF($AJ67="overworld",IF($X67&lt;64,64+($X67*3),0),0))</f>
        <v>169</v>
      </c>
      <c r="AF67" s="71">
        <f>IF($AD67="No",0,IF($AJ67="Overworld",IF($X67&lt;64,($Y67*3),0),0))</f>
        <v>87</v>
      </c>
      <c r="AG67" s="32">
        <f>IF($AC67&gt;64,64+(($AC67-64)*2.9),$AC67)</f>
        <v>64</v>
      </c>
      <c r="AH67" s="41" t="s">
        <v>317</v>
      </c>
      <c r="AI67" s="42"/>
      <c r="AJ67" s="131" t="s">
        <v>53</v>
      </c>
      <c r="AK67" s="20" t="str">
        <f>IF($X67&gt;64,"uniform",IF($AJ67="Overworld","normal","uniform"))</f>
        <v>normal</v>
      </c>
      <c r="AL67" s="109" t="s">
        <v>318</v>
      </c>
      <c r="AM67" s="110" t="s">
        <v>64</v>
      </c>
      <c r="AN67" s="117"/>
      <c r="AO67" s="118" t="s">
        <v>56</v>
      </c>
      <c r="AP67" s="46"/>
    </row>
    <row r="68" spans="1:42" s="7" customFormat="1" ht="13.5">
      <c r="A68" s="31" t="s">
        <v>270</v>
      </c>
      <c r="B68" s="18"/>
      <c r="C68" s="105" t="s">
        <v>166</v>
      </c>
      <c r="D68" s="97" t="s">
        <v>49</v>
      </c>
      <c r="E68" s="98" t="s">
        <v>66</v>
      </c>
      <c r="F68" s="99" t="s">
        <v>51</v>
      </c>
      <c r="G68" s="37">
        <f>$H68*$I68/2</f>
        <v>384</v>
      </c>
      <c r="H68" s="123">
        <v>32</v>
      </c>
      <c r="I68" s="124">
        <v>24</v>
      </c>
      <c r="J68" s="146">
        <f>$H68/2</f>
        <v>16</v>
      </c>
      <c r="K68" s="147">
        <f>$I68/2</f>
        <v>12</v>
      </c>
      <c r="L68" s="77">
        <f>$G68/VLOOKUP($E68,Ore_Density[],2,FALSE)/Vanilla_COG_Divisor</f>
        <v>24.046966731898237</v>
      </c>
      <c r="M68" s="82" t="str">
        <f>IF(OR($E68="Layered Veins",$E68="Small Deposits",$E68="Geode"),"Motherlode",IF(OR($E68="Pipe Veins",$E68="Sparse Veins",$E68="Vertical Veins"),"No","ERROR"))</f>
        <v>Motherlode</v>
      </c>
      <c r="N68" s="86">
        <v>1</v>
      </c>
      <c r="O68" s="86">
        <v>1</v>
      </c>
      <c r="P68" s="82" t="str">
        <f>IF(OR($E68="Layered Veins",$E68="Pipe Veins",$E68="Sparse Veins"),"Branches",IF($E68="Vertical Veins","Vertical","none"))</f>
        <v>Branches</v>
      </c>
      <c r="Q68" s="152">
        <f>SQRT($L68)*$N68</f>
        <v>4.9037706646924502</v>
      </c>
      <c r="R68" s="152">
        <f>IF($M68="Motherlode",(($O68*SQRT($L68))^(1/2))^(1/3),"none")</f>
        <v>1.3034319387083164</v>
      </c>
      <c r="S68" s="152">
        <f>IF($P68="Branches",SQRT($L68)^(1/2),IF($P68="Vertical","default",$P68))</f>
        <v>2.2144459046660971</v>
      </c>
      <c r="T68" s="153">
        <f>IF($P68="Branches",SQRT(SQRT($L68))^(1/2),IF($P68="Vertical",SQRT($L68)^(1/2),"none"))</f>
        <v>1.4881014430024915</v>
      </c>
      <c r="U68" s="77">
        <f>$G68/VLOOKUP($F68,Ore_Density[],2,FALSE)/Vanilla_COG_Divisor</f>
        <v>10.714285714285714</v>
      </c>
      <c r="V68" s="158">
        <f>SQRT($U68)</f>
        <v>3.2732683535398857</v>
      </c>
      <c r="W68" s="147">
        <f>SQRT(SQRT($U68))</f>
        <v>1.8092176081223301</v>
      </c>
      <c r="X68" s="70">
        <f>$Y68+$AB68</f>
        <v>88</v>
      </c>
      <c r="Y68" s="71">
        <f>($AC68-$AB68)/2</f>
        <v>40</v>
      </c>
      <c r="Z68" s="71">
        <f>$AA68+$AB68</f>
        <v>148.80000000000001</v>
      </c>
      <c r="AA68" s="72">
        <f>($AG68-$AB68)/2</f>
        <v>100.8</v>
      </c>
      <c r="AB68" s="128">
        <v>48</v>
      </c>
      <c r="AC68" s="128">
        <v>128</v>
      </c>
      <c r="AD68" s="128"/>
      <c r="AE68" s="71">
        <f>IF($AD68="No",0,IF($AJ68="overworld",IF($X68&lt;64,64+($X68*3),0),0))</f>
        <v>0</v>
      </c>
      <c r="AF68" s="71">
        <f>IF($AD68="No",0,IF($AJ68="Overworld",IF($X68&lt;64,($Y68*3),0),0))</f>
        <v>0</v>
      </c>
      <c r="AG68" s="32">
        <f>IF($AC68&gt;64,64+(($AC68-64)*2.9),$AC68)</f>
        <v>249.6</v>
      </c>
      <c r="AH68" s="41" t="s">
        <v>277</v>
      </c>
      <c r="AI68" s="42"/>
      <c r="AJ68" s="131" t="s">
        <v>53</v>
      </c>
      <c r="AK68" s="20" t="str">
        <f>IF($X68&gt;64,"uniform",IF($AJ68="Overworld","normal","uniform"))</f>
        <v>uniform</v>
      </c>
      <c r="AL68" s="109" t="s">
        <v>278</v>
      </c>
      <c r="AM68" s="110" t="s">
        <v>64</v>
      </c>
      <c r="AN68" s="117"/>
      <c r="AO68" s="118" t="s">
        <v>56</v>
      </c>
      <c r="AP68" s="46"/>
    </row>
    <row r="69" spans="1:42" s="7" customFormat="1" ht="13.5">
      <c r="A69" s="31" t="s">
        <v>270</v>
      </c>
      <c r="B69" s="18"/>
      <c r="C69" s="105" t="s">
        <v>169</v>
      </c>
      <c r="D69" s="97" t="s">
        <v>49</v>
      </c>
      <c r="E69" s="98" t="s">
        <v>66</v>
      </c>
      <c r="F69" s="99" t="s">
        <v>51</v>
      </c>
      <c r="G69" s="37">
        <f>$H69*$I69/2</f>
        <v>384</v>
      </c>
      <c r="H69" s="123">
        <v>32</v>
      </c>
      <c r="I69" s="124">
        <v>24</v>
      </c>
      <c r="J69" s="146">
        <f>$H69/2</f>
        <v>16</v>
      </c>
      <c r="K69" s="147">
        <f>$I69/2</f>
        <v>12</v>
      </c>
      <c r="L69" s="77">
        <f>$G69/VLOOKUP($E69,Ore_Density[],2,FALSE)/Vanilla_COG_Divisor</f>
        <v>24.046966731898237</v>
      </c>
      <c r="M69" s="82" t="str">
        <f>IF(OR($E69="Layered Veins",$E69="Small Deposits",$E69="Geode"),"Motherlode",IF(OR($E69="Pipe Veins",$E69="Sparse Veins",$E69="Vertical Veins"),"No","ERROR"))</f>
        <v>Motherlode</v>
      </c>
      <c r="N69" s="86">
        <v>1</v>
      </c>
      <c r="O69" s="86">
        <v>1</v>
      </c>
      <c r="P69" s="82" t="str">
        <f>IF(OR($E69="Layered Veins",$E69="Pipe Veins",$E69="Sparse Veins"),"Branches",IF($E69="Vertical Veins","Vertical","none"))</f>
        <v>Branches</v>
      </c>
      <c r="Q69" s="152">
        <f>SQRT($L69)*$N69</f>
        <v>4.9037706646924502</v>
      </c>
      <c r="R69" s="152">
        <f>IF($M69="Motherlode",(($O69*SQRT($L69))^(1/2))^(1/3),"none")</f>
        <v>1.3034319387083164</v>
      </c>
      <c r="S69" s="152">
        <f>IF($P69="Branches",SQRT($L69)^(1/2),IF($P69="Vertical","default",$P69))</f>
        <v>2.2144459046660971</v>
      </c>
      <c r="T69" s="153">
        <f>IF($P69="Branches",SQRT(SQRT($L69))^(1/2),IF($P69="Vertical",SQRT($L69)^(1/2),"none"))</f>
        <v>1.4881014430024915</v>
      </c>
      <c r="U69" s="77">
        <f>$G69/VLOOKUP($F69,Ore_Density[],2,FALSE)/Vanilla_COG_Divisor</f>
        <v>10.714285714285714</v>
      </c>
      <c r="V69" s="158">
        <f>SQRT($U69)</f>
        <v>3.2732683535398857</v>
      </c>
      <c r="W69" s="147">
        <f>SQRT(SQRT($U69))</f>
        <v>1.8092176081223301</v>
      </c>
      <c r="X69" s="70">
        <f>$Y69+$AB69</f>
        <v>40</v>
      </c>
      <c r="Y69" s="71">
        <f>($AC69-$AB69)/2</f>
        <v>24</v>
      </c>
      <c r="Z69" s="71">
        <f>$AA69+$AB69</f>
        <v>40</v>
      </c>
      <c r="AA69" s="72">
        <f>($AG69-$AB69)/2</f>
        <v>24</v>
      </c>
      <c r="AB69" s="128">
        <v>16</v>
      </c>
      <c r="AC69" s="128">
        <v>64</v>
      </c>
      <c r="AD69" s="128"/>
      <c r="AE69" s="71">
        <f>IF($AD69="No",0,IF($AJ69="overworld",IF($X69&lt;64,64+($X69*3),0),0))</f>
        <v>184</v>
      </c>
      <c r="AF69" s="71">
        <f>IF($AD69="No",0,IF($AJ69="Overworld",IF($X69&lt;64,($Y69*3),0),0))</f>
        <v>72</v>
      </c>
      <c r="AG69" s="32">
        <f>IF($AC69&gt;64,64+(($AC69-64)*2.9),$AC69)</f>
        <v>64</v>
      </c>
      <c r="AH69" s="41" t="s">
        <v>312</v>
      </c>
      <c r="AI69" s="42"/>
      <c r="AJ69" s="131" t="s">
        <v>53</v>
      </c>
      <c r="AK69" s="20" t="str">
        <f>IF($X69&gt;64,"uniform",IF($AJ69="Overworld","normal","uniform"))</f>
        <v>normal</v>
      </c>
      <c r="AL69" s="109" t="s">
        <v>313</v>
      </c>
      <c r="AM69" s="110" t="s">
        <v>64</v>
      </c>
      <c r="AN69" s="117"/>
      <c r="AO69" s="118" t="s">
        <v>56</v>
      </c>
      <c r="AP69" s="46"/>
    </row>
    <row r="70" spans="1:42" s="7" customFormat="1" ht="13.5">
      <c r="A70" s="31" t="s">
        <v>270</v>
      </c>
      <c r="B70" s="18"/>
      <c r="C70" s="105" t="s">
        <v>297</v>
      </c>
      <c r="D70" s="97" t="s">
        <v>49</v>
      </c>
      <c r="E70" s="98" t="s">
        <v>66</v>
      </c>
      <c r="F70" s="99" t="s">
        <v>51</v>
      </c>
      <c r="G70" s="37">
        <f>$H70*$I70/2</f>
        <v>230.4</v>
      </c>
      <c r="H70" s="123">
        <v>32</v>
      </c>
      <c r="I70" s="124">
        <v>14.4</v>
      </c>
      <c r="J70" s="146">
        <f>$H70/2</f>
        <v>16</v>
      </c>
      <c r="K70" s="147">
        <f>$I70/2</f>
        <v>7.2</v>
      </c>
      <c r="L70" s="77">
        <f>$G70/VLOOKUP($E70,Ore_Density[],2,FALSE)/Vanilla_COG_Divisor</f>
        <v>14.428180039138942</v>
      </c>
      <c r="M70" s="82" t="str">
        <f>IF(OR($E70="Layered Veins",$E70="Small Deposits",$E70="Geode"),"Motherlode",IF(OR($E70="Pipe Veins",$E70="Sparse Veins",$E70="Vertical Veins"),"No","ERROR"))</f>
        <v>Motherlode</v>
      </c>
      <c r="N70" s="86">
        <v>1</v>
      </c>
      <c r="O70" s="86">
        <v>1</v>
      </c>
      <c r="P70" s="82" t="str">
        <f>IF(OR($E70="Layered Veins",$E70="Pipe Veins",$E70="Sparse Veins"),"Branches",IF($E70="Vertical Veins","Vertical","none"))</f>
        <v>Branches</v>
      </c>
      <c r="Q70" s="152">
        <f>SQRT($L70)*$N70</f>
        <v>3.7984444235948671</v>
      </c>
      <c r="R70" s="152">
        <f>IF($M70="Motherlode",(($O70*SQRT($L70))^(1/2))^(1/3),"none")</f>
        <v>1.249110798260217</v>
      </c>
      <c r="S70" s="152">
        <f>IF($P70="Branches",SQRT($L70)^(1/2),IF($P70="Vertical","default",$P70))</f>
        <v>1.9489598311906962</v>
      </c>
      <c r="T70" s="153">
        <f>IF($P70="Branches",SQRT(SQRT($L70))^(1/2),IF($P70="Vertical",SQRT($L70)^(1/2),"none"))</f>
        <v>1.3960515145189651</v>
      </c>
      <c r="U70" s="77">
        <f>$G70/VLOOKUP($F70,Ore_Density[],2,FALSE)/Vanilla_COG_Divisor</f>
        <v>6.4285714285714288</v>
      </c>
      <c r="V70" s="158">
        <f>SQRT($U70)</f>
        <v>2.5354627641855498</v>
      </c>
      <c r="W70" s="147">
        <f>SQRT(SQRT($U70))</f>
        <v>1.5923136513217331</v>
      </c>
      <c r="X70" s="70">
        <f>$Y70+$AB70</f>
        <v>11</v>
      </c>
      <c r="Y70" s="71">
        <f>($AC70-$AB70)/2</f>
        <v>5</v>
      </c>
      <c r="Z70" s="71">
        <f>$AA70+$AB70</f>
        <v>11</v>
      </c>
      <c r="AA70" s="72">
        <f>($AG70-$AB70)/2</f>
        <v>5</v>
      </c>
      <c r="AB70" s="128">
        <v>6</v>
      </c>
      <c r="AC70" s="128">
        <v>16</v>
      </c>
      <c r="AD70" s="128"/>
      <c r="AE70" s="71">
        <f>IF($AD70="No",0,IF($AJ70="overworld",IF($X70&lt;64,64+($X70*3),0),0))</f>
        <v>97</v>
      </c>
      <c r="AF70" s="71">
        <f>IF($AD70="No",0,IF($AJ70="Overworld",IF($X70&lt;64,($Y70*3),0),0))</f>
        <v>15</v>
      </c>
      <c r="AG70" s="32">
        <f>IF($AC70&gt;64,64+(($AC70-64)*2.9),$AC70)</f>
        <v>16</v>
      </c>
      <c r="AH70" s="41" t="s">
        <v>298</v>
      </c>
      <c r="AI70" s="42"/>
      <c r="AJ70" s="131" t="s">
        <v>53</v>
      </c>
      <c r="AK70" s="20" t="str">
        <f>IF($X70&gt;64,"uniform",IF($AJ70="Overworld","normal","uniform"))</f>
        <v>normal</v>
      </c>
      <c r="AL70" s="109" t="s">
        <v>299</v>
      </c>
      <c r="AM70" s="110" t="s">
        <v>64</v>
      </c>
      <c r="AN70" s="117"/>
      <c r="AO70" s="118" t="s">
        <v>56</v>
      </c>
      <c r="AP70" s="46"/>
    </row>
    <row r="71" spans="1:42" s="7" customFormat="1" ht="13.5">
      <c r="A71" s="31" t="s">
        <v>270</v>
      </c>
      <c r="B71" s="18"/>
      <c r="C71" s="105" t="s">
        <v>306</v>
      </c>
      <c r="D71" s="97" t="s">
        <v>49</v>
      </c>
      <c r="E71" s="98" t="s">
        <v>66</v>
      </c>
      <c r="F71" s="99" t="s">
        <v>51</v>
      </c>
      <c r="G71" s="37">
        <f>$H71*$I71/2</f>
        <v>384</v>
      </c>
      <c r="H71" s="123">
        <v>32</v>
      </c>
      <c r="I71" s="124">
        <v>24</v>
      </c>
      <c r="J71" s="146">
        <f>$H71/2</f>
        <v>16</v>
      </c>
      <c r="K71" s="147">
        <f>$I71/2</f>
        <v>12</v>
      </c>
      <c r="L71" s="77">
        <f>$G71/VLOOKUP($E71,Ore_Density[],2,FALSE)/Vanilla_COG_Divisor</f>
        <v>24.046966731898237</v>
      </c>
      <c r="M71" s="82" t="str">
        <f>IF(OR($E71="Layered Veins",$E71="Small Deposits",$E71="Geode"),"Motherlode",IF(OR($E71="Pipe Veins",$E71="Sparse Veins",$E71="Vertical Veins"),"No","ERROR"))</f>
        <v>Motherlode</v>
      </c>
      <c r="N71" s="86">
        <v>1</v>
      </c>
      <c r="O71" s="86">
        <v>1</v>
      </c>
      <c r="P71" s="82" t="str">
        <f>IF(OR($E71="Layered Veins",$E71="Pipe Veins",$E71="Sparse Veins"),"Branches",IF($E71="Vertical Veins","Vertical","none"))</f>
        <v>Branches</v>
      </c>
      <c r="Q71" s="152">
        <f>SQRT($L71)*$N71</f>
        <v>4.9037706646924502</v>
      </c>
      <c r="R71" s="152">
        <f>IF($M71="Motherlode",(($O71*SQRT($L71))^(1/2))^(1/3),"none")</f>
        <v>1.3034319387083164</v>
      </c>
      <c r="S71" s="152">
        <f>IF($P71="Branches",SQRT($L71)^(1/2),IF($P71="Vertical","default",$P71))</f>
        <v>2.2144459046660971</v>
      </c>
      <c r="T71" s="153">
        <f>IF($P71="Branches",SQRT(SQRT($L71))^(1/2),IF($P71="Vertical",SQRT($L71)^(1/2),"none"))</f>
        <v>1.4881014430024915</v>
      </c>
      <c r="U71" s="77">
        <f>$G71/VLOOKUP($F71,Ore_Density[],2,FALSE)/Vanilla_COG_Divisor</f>
        <v>10.714285714285714</v>
      </c>
      <c r="V71" s="158">
        <f>SQRT($U71)</f>
        <v>3.2732683535398857</v>
      </c>
      <c r="W71" s="147">
        <f>SQRT(SQRT($U71))</f>
        <v>1.8092176081223301</v>
      </c>
      <c r="X71" s="70">
        <f>$Y71+$AB71</f>
        <v>15</v>
      </c>
      <c r="Y71" s="71">
        <f>($AC71-$AB71)/2</f>
        <v>9</v>
      </c>
      <c r="Z71" s="71">
        <f>$AA71+$AB71</f>
        <v>15</v>
      </c>
      <c r="AA71" s="72">
        <f>($AG71-$AB71)/2</f>
        <v>9</v>
      </c>
      <c r="AB71" s="128">
        <v>6</v>
      </c>
      <c r="AC71" s="128">
        <v>24</v>
      </c>
      <c r="AD71" s="128"/>
      <c r="AE71" s="71">
        <f>IF($AD71="No",0,IF($AJ71="overworld",IF($X71&lt;64,64+($X71*3),0),0))</f>
        <v>109</v>
      </c>
      <c r="AF71" s="71">
        <f>IF($AD71="No",0,IF($AJ71="Overworld",IF($X71&lt;64,($Y71*3),0),0))</f>
        <v>27</v>
      </c>
      <c r="AG71" s="32">
        <f>IF($AC71&gt;64,64+(($AC71-64)*2.9),$AC71)</f>
        <v>24</v>
      </c>
      <c r="AH71" s="41" t="s">
        <v>307</v>
      </c>
      <c r="AI71" s="42"/>
      <c r="AJ71" s="131" t="s">
        <v>53</v>
      </c>
      <c r="AK71" s="20" t="str">
        <f>IF($X71&gt;64,"uniform",IF($AJ71="Overworld","normal","uniform"))</f>
        <v>normal</v>
      </c>
      <c r="AL71" s="109" t="s">
        <v>308</v>
      </c>
      <c r="AM71" s="110" t="s">
        <v>64</v>
      </c>
      <c r="AN71" s="117"/>
      <c r="AO71" s="118" t="s">
        <v>56</v>
      </c>
      <c r="AP71" s="46"/>
    </row>
    <row r="72" spans="1:42" s="7" customFormat="1" ht="13.5">
      <c r="A72" s="31" t="s">
        <v>270</v>
      </c>
      <c r="B72" s="18"/>
      <c r="C72" s="105" t="s">
        <v>282</v>
      </c>
      <c r="D72" s="97" t="s">
        <v>49</v>
      </c>
      <c r="E72" s="98" t="s">
        <v>66</v>
      </c>
      <c r="F72" s="99" t="s">
        <v>51</v>
      </c>
      <c r="G72" s="37">
        <f>$H72*$I72/2</f>
        <v>48</v>
      </c>
      <c r="H72" s="123">
        <v>32</v>
      </c>
      <c r="I72" s="124">
        <v>3</v>
      </c>
      <c r="J72" s="146">
        <f>$H72/2</f>
        <v>16</v>
      </c>
      <c r="K72" s="147">
        <f>$I72/2</f>
        <v>1.5</v>
      </c>
      <c r="L72" s="77">
        <f>$G72/VLOOKUP($E72,Ore_Density[],2,FALSE)/Vanilla_COG_Divisor</f>
        <v>3.0058708414872797</v>
      </c>
      <c r="M72" s="82" t="str">
        <f>IF(OR($E72="Layered Veins",$E72="Small Deposits",$E72="Geode"),"Motherlode",IF(OR($E72="Pipe Veins",$E72="Sparse Veins",$E72="Vertical Veins"),"No","ERROR"))</f>
        <v>Motherlode</v>
      </c>
      <c r="N72" s="86">
        <v>1</v>
      </c>
      <c r="O72" s="86">
        <v>1</v>
      </c>
      <c r="P72" s="82" t="str">
        <f>IF(OR($E72="Layered Veins",$E72="Pipe Veins",$E72="Sparse Veins"),"Branches",IF($E72="Vertical Veins","Vertical","none"))</f>
        <v>Branches</v>
      </c>
      <c r="Q72" s="152">
        <f>SQRT($L72)*$N72</f>
        <v>1.7337447451938477</v>
      </c>
      <c r="R72" s="152">
        <f>IF($M72="Motherlode",(($O72*SQRT($L72))^(1/2))^(1/3),"none")</f>
        <v>1.0960512447870228</v>
      </c>
      <c r="S72" s="152">
        <f>IF($P72="Branches",SQRT($L72)^(1/2),IF($P72="Vertical","default",$P72))</f>
        <v>1.3167174128087802</v>
      </c>
      <c r="T72" s="153">
        <f>IF($P72="Branches",SQRT(SQRT($L72))^(1/2),IF($P72="Vertical",SQRT($L72)^(1/2),"none"))</f>
        <v>1.1474830773518101</v>
      </c>
      <c r="U72" s="77">
        <f>$G72/VLOOKUP($F72,Ore_Density[],2,FALSE)/Vanilla_COG_Divisor</f>
        <v>1.3392857142857142</v>
      </c>
      <c r="V72" s="158">
        <f>SQRT($U72)</f>
        <v>1.1572751247156894</v>
      </c>
      <c r="W72" s="147">
        <f>SQRT(SQRT($U72))</f>
        <v>1.0757672260836399</v>
      </c>
      <c r="X72" s="70">
        <f>$Y72+$AB72</f>
        <v>46</v>
      </c>
      <c r="Y72" s="71">
        <f>($AC72-$AB72)/2</f>
        <v>14</v>
      </c>
      <c r="Z72" s="71">
        <f>$AA72+$AB72</f>
        <v>46</v>
      </c>
      <c r="AA72" s="72">
        <f>($AG72-$AB72)/2</f>
        <v>14</v>
      </c>
      <c r="AB72" s="128">
        <v>32</v>
      </c>
      <c r="AC72" s="128">
        <v>60</v>
      </c>
      <c r="AD72" s="128"/>
      <c r="AE72" s="71">
        <f>IF($AD72="No",0,IF($AJ72="overworld",IF($X72&lt;64,64+($X72*3),0),0))</f>
        <v>202</v>
      </c>
      <c r="AF72" s="71">
        <f>IF($AD72="No",0,IF($AJ72="Overworld",IF($X72&lt;64,($Y72*3),0),0))</f>
        <v>42</v>
      </c>
      <c r="AG72" s="32">
        <f>IF($AC72&gt;64,64+(($AC72-64)*2.9),$AC72)</f>
        <v>60</v>
      </c>
      <c r="AH72" s="41" t="s">
        <v>283</v>
      </c>
      <c r="AI72" s="42"/>
      <c r="AJ72" s="131" t="s">
        <v>53</v>
      </c>
      <c r="AK72" s="20" t="str">
        <f>IF($X72&gt;64,"uniform",IF($AJ72="Overworld","normal","uniform"))</f>
        <v>normal</v>
      </c>
      <c r="AL72" s="109" t="s">
        <v>284</v>
      </c>
      <c r="AM72" s="110" t="s">
        <v>64</v>
      </c>
      <c r="AN72" s="117"/>
      <c r="AO72" s="118" t="s">
        <v>56</v>
      </c>
      <c r="AP72" s="46"/>
    </row>
    <row r="73" spans="1:42" s="7" customFormat="1" ht="13.5">
      <c r="A73" s="31" t="s">
        <v>270</v>
      </c>
      <c r="B73" s="18"/>
      <c r="C73" s="105" t="s">
        <v>291</v>
      </c>
      <c r="D73" s="97" t="s">
        <v>49</v>
      </c>
      <c r="E73" s="98" t="s">
        <v>66</v>
      </c>
      <c r="F73" s="99" t="s">
        <v>51</v>
      </c>
      <c r="G73" s="37">
        <f>$H73*$I73/2</f>
        <v>230.4</v>
      </c>
      <c r="H73" s="123">
        <v>32</v>
      </c>
      <c r="I73" s="124">
        <v>14.4</v>
      </c>
      <c r="J73" s="146">
        <f>$H73/2</f>
        <v>16</v>
      </c>
      <c r="K73" s="147">
        <f>$I73/2</f>
        <v>7.2</v>
      </c>
      <c r="L73" s="77">
        <f>$G73/VLOOKUP($E73,Ore_Density[],2,FALSE)/Vanilla_COG_Divisor</f>
        <v>14.428180039138942</v>
      </c>
      <c r="M73" s="82" t="str">
        <f>IF(OR($E73="Layered Veins",$E73="Small Deposits",$E73="Geode"),"Motherlode",IF(OR($E73="Pipe Veins",$E73="Sparse Veins",$E73="Vertical Veins"),"No","ERROR"))</f>
        <v>Motherlode</v>
      </c>
      <c r="N73" s="86">
        <v>1</v>
      </c>
      <c r="O73" s="86">
        <v>1</v>
      </c>
      <c r="P73" s="82" t="str">
        <f>IF(OR($E73="Layered Veins",$E73="Pipe Veins",$E73="Sparse Veins"),"Branches",IF($E73="Vertical Veins","Vertical","none"))</f>
        <v>Branches</v>
      </c>
      <c r="Q73" s="152">
        <f>SQRT($L73)*$N73</f>
        <v>3.7984444235948671</v>
      </c>
      <c r="R73" s="152">
        <f>IF($M73="Motherlode",(($O73*SQRT($L73))^(1/2))^(1/3),"none")</f>
        <v>1.249110798260217</v>
      </c>
      <c r="S73" s="152">
        <f>IF($P73="Branches",SQRT($L73)^(1/2),IF($P73="Vertical","default",$P73))</f>
        <v>1.9489598311906962</v>
      </c>
      <c r="T73" s="153">
        <f>IF($P73="Branches",SQRT(SQRT($L73))^(1/2),IF($P73="Vertical",SQRT($L73)^(1/2),"none"))</f>
        <v>1.3960515145189651</v>
      </c>
      <c r="U73" s="77">
        <f>$G73/VLOOKUP($F73,Ore_Density[],2,FALSE)/Vanilla_COG_Divisor</f>
        <v>6.4285714285714288</v>
      </c>
      <c r="V73" s="158">
        <f>SQRT($U73)</f>
        <v>2.5354627641855498</v>
      </c>
      <c r="W73" s="147">
        <f>SQRT(SQRT($U73))</f>
        <v>1.5923136513217331</v>
      </c>
      <c r="X73" s="70">
        <f>$Y73+$AB73</f>
        <v>15</v>
      </c>
      <c r="Y73" s="71">
        <f>($AC73-$AB73)/2</f>
        <v>9</v>
      </c>
      <c r="Z73" s="71">
        <f>$AA73+$AB73</f>
        <v>15</v>
      </c>
      <c r="AA73" s="72">
        <f>($AG73-$AB73)/2</f>
        <v>9</v>
      </c>
      <c r="AB73" s="128">
        <v>6</v>
      </c>
      <c r="AC73" s="128">
        <v>24</v>
      </c>
      <c r="AD73" s="128"/>
      <c r="AE73" s="71">
        <f>IF($AD73="No",0,IF($AJ73="overworld",IF($X73&lt;64,64+($X73*3),0),0))</f>
        <v>109</v>
      </c>
      <c r="AF73" s="71">
        <f>IF($AD73="No",0,IF($AJ73="Overworld",IF($X73&lt;64,($Y73*3),0),0))</f>
        <v>27</v>
      </c>
      <c r="AG73" s="32">
        <f>IF($AC73&gt;64,64+(($AC73-64)*2.9),$AC73)</f>
        <v>24</v>
      </c>
      <c r="AH73" s="41" t="s">
        <v>292</v>
      </c>
      <c r="AI73" s="42"/>
      <c r="AJ73" s="131" t="s">
        <v>53</v>
      </c>
      <c r="AK73" s="20" t="str">
        <f>IF($X73&gt;64,"uniform",IF($AJ73="Overworld","normal","uniform"))</f>
        <v>normal</v>
      </c>
      <c r="AL73" s="109" t="s">
        <v>293</v>
      </c>
      <c r="AM73" s="110" t="s">
        <v>64</v>
      </c>
      <c r="AN73" s="117"/>
      <c r="AO73" s="118" t="s">
        <v>56</v>
      </c>
      <c r="AP73" s="46"/>
    </row>
    <row r="74" spans="1:42" s="7" customFormat="1" ht="13.5">
      <c r="A74" s="31" t="s">
        <v>270</v>
      </c>
      <c r="B74" s="18"/>
      <c r="C74" s="105" t="s">
        <v>279</v>
      </c>
      <c r="D74" s="97" t="s">
        <v>49</v>
      </c>
      <c r="E74" s="98" t="s">
        <v>66</v>
      </c>
      <c r="F74" s="99" t="s">
        <v>51</v>
      </c>
      <c r="G74" s="37">
        <f>$H74*$I74/2</f>
        <v>230.4</v>
      </c>
      <c r="H74" s="123">
        <v>32</v>
      </c>
      <c r="I74" s="124">
        <v>14.4</v>
      </c>
      <c r="J74" s="146">
        <f>$H74/2</f>
        <v>16</v>
      </c>
      <c r="K74" s="147">
        <f>$I74/2</f>
        <v>7.2</v>
      </c>
      <c r="L74" s="77">
        <f>$G74/VLOOKUP($E74,Ore_Density[],2,FALSE)/Vanilla_COG_Divisor</f>
        <v>14.428180039138942</v>
      </c>
      <c r="M74" s="82" t="str">
        <f>IF(OR($E74="Layered Veins",$E74="Small Deposits",$E74="Geode"),"Motherlode",IF(OR($E74="Pipe Veins",$E74="Sparse Veins",$E74="Vertical Veins"),"No","ERROR"))</f>
        <v>Motherlode</v>
      </c>
      <c r="N74" s="86">
        <v>1</v>
      </c>
      <c r="O74" s="86">
        <v>1</v>
      </c>
      <c r="P74" s="82" t="str">
        <f>IF(OR($E74="Layered Veins",$E74="Pipe Veins",$E74="Sparse Veins"),"Branches",IF($E74="Vertical Veins","Vertical","none"))</f>
        <v>Branches</v>
      </c>
      <c r="Q74" s="152">
        <f>SQRT($L74)*$N74</f>
        <v>3.7984444235948671</v>
      </c>
      <c r="R74" s="152">
        <f>IF($M74="Motherlode",(($O74*SQRT($L74))^(1/2))^(1/3),"none")</f>
        <v>1.249110798260217</v>
      </c>
      <c r="S74" s="152">
        <f>IF($P74="Branches",SQRT($L74)^(1/2),IF($P74="Vertical","default",$P74))</f>
        <v>1.9489598311906962</v>
      </c>
      <c r="T74" s="153">
        <f>IF($P74="Branches",SQRT(SQRT($L74))^(1/2),IF($P74="Vertical",SQRT($L74)^(1/2),"none"))</f>
        <v>1.3960515145189651</v>
      </c>
      <c r="U74" s="77">
        <f>$G74/VLOOKUP($F74,Ore_Density[],2,FALSE)/Vanilla_COG_Divisor</f>
        <v>6.4285714285714288</v>
      </c>
      <c r="V74" s="158">
        <f>SQRT($U74)</f>
        <v>2.5354627641855498</v>
      </c>
      <c r="W74" s="147">
        <f>SQRT(SQRT($U74))</f>
        <v>1.5923136513217331</v>
      </c>
      <c r="X74" s="70">
        <f>$Y74+$AB74</f>
        <v>11</v>
      </c>
      <c r="Y74" s="71">
        <f>($AC74-$AB74)/2</f>
        <v>5</v>
      </c>
      <c r="Z74" s="71">
        <f>$AA74+$AB74</f>
        <v>11</v>
      </c>
      <c r="AA74" s="72">
        <f>($AG74-$AB74)/2</f>
        <v>5</v>
      </c>
      <c r="AB74" s="128">
        <v>6</v>
      </c>
      <c r="AC74" s="128">
        <v>16</v>
      </c>
      <c r="AD74" s="128"/>
      <c r="AE74" s="71">
        <f>IF($AD74="No",0,IF($AJ74="overworld",IF($X74&lt;64,64+($X74*3),0),0))</f>
        <v>97</v>
      </c>
      <c r="AF74" s="71">
        <f>IF($AD74="No",0,IF($AJ74="Overworld",IF($X74&lt;64,($Y74*3),0),0))</f>
        <v>15</v>
      </c>
      <c r="AG74" s="32">
        <f>IF($AC74&gt;64,64+(($AC74-64)*2.9),$AC74)</f>
        <v>16</v>
      </c>
      <c r="AH74" s="41" t="s">
        <v>280</v>
      </c>
      <c r="AI74" s="42"/>
      <c r="AJ74" s="131" t="s">
        <v>53</v>
      </c>
      <c r="AK74" s="20" t="str">
        <f>IF($X74&gt;64,"uniform",IF($AJ74="Overworld","normal","uniform"))</f>
        <v>normal</v>
      </c>
      <c r="AL74" s="109" t="s">
        <v>281</v>
      </c>
      <c r="AM74" s="110" t="s">
        <v>64</v>
      </c>
      <c r="AN74" s="117"/>
      <c r="AO74" s="118" t="s">
        <v>56</v>
      </c>
      <c r="AP74" s="46"/>
    </row>
    <row r="75" spans="1:42" s="7" customFormat="1" ht="13.5">
      <c r="A75" s="31" t="s">
        <v>270</v>
      </c>
      <c r="B75" s="18"/>
      <c r="C75" s="105" t="s">
        <v>309</v>
      </c>
      <c r="D75" s="97" t="s">
        <v>49</v>
      </c>
      <c r="E75" s="98" t="s">
        <v>66</v>
      </c>
      <c r="F75" s="99" t="s">
        <v>51</v>
      </c>
      <c r="G75" s="37">
        <f>$H75*$I75/2</f>
        <v>192</v>
      </c>
      <c r="H75" s="123">
        <v>32</v>
      </c>
      <c r="I75" s="124">
        <v>12</v>
      </c>
      <c r="J75" s="146">
        <f>$H75/2</f>
        <v>16</v>
      </c>
      <c r="K75" s="147">
        <f>$I75/2</f>
        <v>6</v>
      </c>
      <c r="L75" s="77">
        <f>$G75/VLOOKUP($E75,Ore_Density[],2,FALSE)/Vanilla_COG_Divisor</f>
        <v>12.023483365949119</v>
      </c>
      <c r="M75" s="82" t="str">
        <f>IF(OR($E75="Layered Veins",$E75="Small Deposits",$E75="Geode"),"Motherlode",IF(OR($E75="Pipe Veins",$E75="Sparse Veins",$E75="Vertical Veins"),"No","ERROR"))</f>
        <v>Motherlode</v>
      </c>
      <c r="N75" s="86">
        <v>1</v>
      </c>
      <c r="O75" s="86">
        <v>1</v>
      </c>
      <c r="P75" s="82" t="str">
        <f>IF(OR($E75="Layered Veins",$E75="Pipe Veins",$E75="Sparse Veins"),"Branches",IF($E75="Vertical Veins","Vertical","none"))</f>
        <v>Branches</v>
      </c>
      <c r="Q75" s="152">
        <f>SQRT($L75)*$N75</f>
        <v>3.4674894903876954</v>
      </c>
      <c r="R75" s="152">
        <f>IF($M75="Motherlode",(($O75*SQRT($L75))^(1/2))^(1/3),"none")</f>
        <v>1.2302759252756794</v>
      </c>
      <c r="S75" s="152">
        <f>IF($P75="Branches",SQRT($L75)^(1/2),IF($P75="Vertical","default",$P75))</f>
        <v>1.8621196230069903</v>
      </c>
      <c r="T75" s="153">
        <f>IF($P75="Branches",SQRT(SQRT($L75))^(1/2),IF($P75="Vertical",SQRT($L75)^(1/2),"none"))</f>
        <v>1.3645950399319904</v>
      </c>
      <c r="U75" s="77">
        <f>$G75/VLOOKUP($F75,Ore_Density[],2,FALSE)/Vanilla_COG_Divisor</f>
        <v>5.3571428571428568</v>
      </c>
      <c r="V75" s="158">
        <f>SQRT($U75)</f>
        <v>2.3145502494313788</v>
      </c>
      <c r="W75" s="147">
        <f>SQRT(SQRT($U75))</f>
        <v>1.5213646010839672</v>
      </c>
      <c r="X75" s="70">
        <f>$Y75+$AB75</f>
        <v>35</v>
      </c>
      <c r="Y75" s="71">
        <f>($AC75-$AB75)/2</f>
        <v>29</v>
      </c>
      <c r="Z75" s="71">
        <f>$AA75+$AB75</f>
        <v>35</v>
      </c>
      <c r="AA75" s="72">
        <f>($AG75-$AB75)/2</f>
        <v>29</v>
      </c>
      <c r="AB75" s="128">
        <v>6</v>
      </c>
      <c r="AC75" s="128">
        <v>64</v>
      </c>
      <c r="AD75" s="128"/>
      <c r="AE75" s="71">
        <f>IF($AD75="No",0,IF($AJ75="overworld",IF($X75&lt;64,64+($X75*3),0),0))</f>
        <v>169</v>
      </c>
      <c r="AF75" s="71">
        <f>IF($AD75="No",0,IF($AJ75="Overworld",IF($X75&lt;64,($Y75*3),0),0))</f>
        <v>87</v>
      </c>
      <c r="AG75" s="32">
        <f>IF($AC75&gt;64,64+(($AC75-64)*2.9),$AC75)</f>
        <v>64</v>
      </c>
      <c r="AH75" s="41" t="s">
        <v>310</v>
      </c>
      <c r="AI75" s="42"/>
      <c r="AJ75" s="131" t="s">
        <v>53</v>
      </c>
      <c r="AK75" s="20" t="str">
        <f>IF($X75&gt;64,"uniform",IF($AJ75="Overworld","normal","uniform"))</f>
        <v>normal</v>
      </c>
      <c r="AL75" s="109" t="s">
        <v>311</v>
      </c>
      <c r="AM75" s="110" t="s">
        <v>64</v>
      </c>
      <c r="AN75" s="117"/>
      <c r="AO75" s="118" t="s">
        <v>56</v>
      </c>
      <c r="AP75" s="46"/>
    </row>
    <row r="76" spans="1:42" s="7" customFormat="1" ht="13.5">
      <c r="A76" s="31" t="s">
        <v>270</v>
      </c>
      <c r="B76" s="18"/>
      <c r="C76" s="105" t="s">
        <v>274</v>
      </c>
      <c r="D76" s="97" t="s">
        <v>49</v>
      </c>
      <c r="E76" s="98" t="s">
        <v>66</v>
      </c>
      <c r="F76" s="99" t="s">
        <v>51</v>
      </c>
      <c r="G76" s="37">
        <f>$H76*$I76/2</f>
        <v>384</v>
      </c>
      <c r="H76" s="123">
        <v>32</v>
      </c>
      <c r="I76" s="124">
        <v>24</v>
      </c>
      <c r="J76" s="146">
        <f>$H76/2</f>
        <v>16</v>
      </c>
      <c r="K76" s="147">
        <f>$I76/2</f>
        <v>12</v>
      </c>
      <c r="L76" s="77">
        <f>$G76/VLOOKUP($E76,Ore_Density[],2,FALSE)/Vanilla_COG_Divisor</f>
        <v>24.046966731898237</v>
      </c>
      <c r="M76" s="82" t="str">
        <f>IF(OR($E76="Layered Veins",$E76="Small Deposits",$E76="Geode"),"Motherlode",IF(OR($E76="Pipe Veins",$E76="Sparse Veins",$E76="Vertical Veins"),"No","ERROR"))</f>
        <v>Motherlode</v>
      </c>
      <c r="N76" s="86">
        <v>1</v>
      </c>
      <c r="O76" s="86">
        <v>1</v>
      </c>
      <c r="P76" s="82" t="str">
        <f>IF(OR($E76="Layered Veins",$E76="Pipe Veins",$E76="Sparse Veins"),"Branches",IF($E76="Vertical Veins","Vertical","none"))</f>
        <v>Branches</v>
      </c>
      <c r="Q76" s="152">
        <f>SQRT($L76)*$N76</f>
        <v>4.9037706646924502</v>
      </c>
      <c r="R76" s="152">
        <f>IF($M76="Motherlode",(($O76*SQRT($L76))^(1/2))^(1/3),"none")</f>
        <v>1.3034319387083164</v>
      </c>
      <c r="S76" s="152">
        <f>IF($P76="Branches",SQRT($L76)^(1/2),IF($P76="Vertical","default",$P76))</f>
        <v>2.2144459046660971</v>
      </c>
      <c r="T76" s="153">
        <f>IF($P76="Branches",SQRT(SQRT($L76))^(1/2),IF($P76="Vertical",SQRT($L76)^(1/2),"none"))</f>
        <v>1.4881014430024915</v>
      </c>
      <c r="U76" s="77">
        <f>$G76/VLOOKUP($F76,Ore_Density[],2,FALSE)/Vanilla_COG_Divisor</f>
        <v>10.714285714285714</v>
      </c>
      <c r="V76" s="158">
        <f>SQRT($U76)</f>
        <v>3.2732683535398857</v>
      </c>
      <c r="W76" s="147">
        <f>SQRT(SQRT($U76))</f>
        <v>1.8092176081223301</v>
      </c>
      <c r="X76" s="70">
        <f>$Y76+$AB76</f>
        <v>88</v>
      </c>
      <c r="Y76" s="71">
        <f>($AC76-$AB76)/2</f>
        <v>40</v>
      </c>
      <c r="Z76" s="71">
        <f>$AA76+$AB76</f>
        <v>148.80000000000001</v>
      </c>
      <c r="AA76" s="72">
        <f>($AG76-$AB76)/2</f>
        <v>100.8</v>
      </c>
      <c r="AB76" s="128">
        <v>48</v>
      </c>
      <c r="AC76" s="128">
        <v>128</v>
      </c>
      <c r="AD76" s="128"/>
      <c r="AE76" s="71">
        <f>IF($AD76="No",0,IF($AJ76="overworld",IF($X76&lt;64,64+($X76*3),0),0))</f>
        <v>0</v>
      </c>
      <c r="AF76" s="71">
        <f>IF($AD76="No",0,IF($AJ76="Overworld",IF($X76&lt;64,($Y76*3),0),0))</f>
        <v>0</v>
      </c>
      <c r="AG76" s="32">
        <f>IF($AC76&gt;64,64+(($AC76-64)*2.9),$AC76)</f>
        <v>249.6</v>
      </c>
      <c r="AH76" s="41" t="s">
        <v>275</v>
      </c>
      <c r="AI76" s="42"/>
      <c r="AJ76" s="131" t="s">
        <v>53</v>
      </c>
      <c r="AK76" s="20" t="str">
        <f>IF($X76&gt;64,"uniform",IF($AJ76="Overworld","normal","uniform"))</f>
        <v>uniform</v>
      </c>
      <c r="AL76" s="109" t="s">
        <v>276</v>
      </c>
      <c r="AM76" s="110" t="s">
        <v>64</v>
      </c>
      <c r="AN76" s="117"/>
      <c r="AO76" s="118" t="s">
        <v>56</v>
      </c>
      <c r="AP76" s="46"/>
    </row>
    <row r="77" spans="1:42" s="7" customFormat="1" ht="13.5">
      <c r="A77" s="31" t="s">
        <v>270</v>
      </c>
      <c r="B77" s="18"/>
      <c r="C77" s="105" t="s">
        <v>300</v>
      </c>
      <c r="D77" s="97" t="s">
        <v>49</v>
      </c>
      <c r="E77" s="98" t="s">
        <v>66</v>
      </c>
      <c r="F77" s="99" t="s">
        <v>51</v>
      </c>
      <c r="G77" s="37">
        <f>$H77*$I77/2</f>
        <v>307.2</v>
      </c>
      <c r="H77" s="123">
        <v>32</v>
      </c>
      <c r="I77" s="124">
        <v>19.2</v>
      </c>
      <c r="J77" s="146">
        <f>$H77/2</f>
        <v>16</v>
      </c>
      <c r="K77" s="147">
        <f>$I77/2</f>
        <v>9.6</v>
      </c>
      <c r="L77" s="77">
        <f>$G77/VLOOKUP($E77,Ore_Density[],2,FALSE)/Vanilla_COG_Divisor</f>
        <v>19.237573385518591</v>
      </c>
      <c r="M77" s="82" t="str">
        <f>IF(OR($E77="Layered Veins",$E77="Small Deposits",$E77="Geode"),"Motherlode",IF(OR($E77="Pipe Veins",$E77="Sparse Veins",$E77="Vertical Veins"),"No","ERROR"))</f>
        <v>Motherlode</v>
      </c>
      <c r="N77" s="86">
        <v>1</v>
      </c>
      <c r="O77" s="86">
        <v>1</v>
      </c>
      <c r="P77" s="82" t="str">
        <f>IF(OR($E77="Layered Veins",$E77="Pipe Veins",$E77="Sparse Veins"),"Branches",IF($E77="Vertical Veins","Vertical","none"))</f>
        <v>Branches</v>
      </c>
      <c r="Q77" s="152">
        <f>SQRT($L77)*$N77</f>
        <v>4.3860658209286587</v>
      </c>
      <c r="R77" s="152">
        <f>IF($M77="Motherlode",(($O77*SQRT($L77))^(1/2))^(1/3),"none")</f>
        <v>1.279418199323926</v>
      </c>
      <c r="S77" s="152">
        <f>IF($P77="Branches",SQRT($L77)^(1/2),IF($P77="Vertical","default",$P77))</f>
        <v>2.0942936329294084</v>
      </c>
      <c r="T77" s="153">
        <f>IF($P77="Branches",SQRT(SQRT($L77))^(1/2),IF($P77="Vertical",SQRT($L77)^(1/2),"none"))</f>
        <v>1.4471674515858242</v>
      </c>
      <c r="U77" s="77">
        <f>$G77/VLOOKUP($F77,Ore_Density[],2,FALSE)/Vanilla_COG_Divisor</f>
        <v>8.5714285714285712</v>
      </c>
      <c r="V77" s="158">
        <f>SQRT($U77)</f>
        <v>2.9277002188455996</v>
      </c>
      <c r="W77" s="147">
        <f>SQRT(SQRT($U77))</f>
        <v>1.7110523717424899</v>
      </c>
      <c r="X77" s="70">
        <f>$Y77+$AB77</f>
        <v>32</v>
      </c>
      <c r="Y77" s="71">
        <f>($AC77-$AB77)/2</f>
        <v>16</v>
      </c>
      <c r="Z77" s="71">
        <f>$AA77+$AB77</f>
        <v>32</v>
      </c>
      <c r="AA77" s="72">
        <f>($AG77-$AB77)/2</f>
        <v>16</v>
      </c>
      <c r="AB77" s="128">
        <v>16</v>
      </c>
      <c r="AC77" s="128">
        <v>48</v>
      </c>
      <c r="AD77" s="128"/>
      <c r="AE77" s="71">
        <f>IF($AD77="No",0,IF($AJ77="overworld",IF($X77&lt;64,64+($X77*3),0),0))</f>
        <v>160</v>
      </c>
      <c r="AF77" s="71">
        <f>IF($AD77="No",0,IF($AJ77="Overworld",IF($X77&lt;64,($Y77*3),0),0))</f>
        <v>48</v>
      </c>
      <c r="AG77" s="32">
        <f>IF($AC77&gt;64,64+(($AC77-64)*2.9),$AC77)</f>
        <v>48</v>
      </c>
      <c r="AH77" s="41" t="s">
        <v>301</v>
      </c>
      <c r="AI77" s="42"/>
      <c r="AJ77" s="131" t="s">
        <v>53</v>
      </c>
      <c r="AK77" s="20" t="str">
        <f>IF($X77&gt;64,"uniform",IF($AJ77="Overworld","normal","uniform"))</f>
        <v>normal</v>
      </c>
      <c r="AL77" s="109" t="s">
        <v>302</v>
      </c>
      <c r="AM77" s="110" t="s">
        <v>64</v>
      </c>
      <c r="AN77" s="117"/>
      <c r="AO77" s="118" t="s">
        <v>56</v>
      </c>
      <c r="AP77" s="46"/>
    </row>
    <row r="78" spans="1:42" s="7" customFormat="1" ht="13.5">
      <c r="A78" s="31" t="s">
        <v>270</v>
      </c>
      <c r="B78" s="18"/>
      <c r="C78" s="105" t="s">
        <v>271</v>
      </c>
      <c r="D78" s="97" t="s">
        <v>49</v>
      </c>
      <c r="E78" s="98" t="s">
        <v>66</v>
      </c>
      <c r="F78" s="99" t="s">
        <v>51</v>
      </c>
      <c r="G78" s="37">
        <f>$H78*$I78/2</f>
        <v>384</v>
      </c>
      <c r="H78" s="123">
        <v>32</v>
      </c>
      <c r="I78" s="124">
        <v>24</v>
      </c>
      <c r="J78" s="146">
        <f>$H78/2</f>
        <v>16</v>
      </c>
      <c r="K78" s="147">
        <f>$I78/2</f>
        <v>12</v>
      </c>
      <c r="L78" s="77">
        <f>$G78/VLOOKUP($E78,Ore_Density[],2,FALSE)/Vanilla_COG_Divisor</f>
        <v>24.046966731898237</v>
      </c>
      <c r="M78" s="82" t="str">
        <f>IF(OR($E78="Layered Veins",$E78="Small Deposits",$E78="Geode"),"Motherlode",IF(OR($E78="Pipe Veins",$E78="Sparse Veins",$E78="Vertical Veins"),"No","ERROR"))</f>
        <v>Motherlode</v>
      </c>
      <c r="N78" s="86">
        <v>1</v>
      </c>
      <c r="O78" s="86">
        <v>1</v>
      </c>
      <c r="P78" s="82" t="str">
        <f>IF(OR($E78="Layered Veins",$E78="Pipe Veins",$E78="Sparse Veins"),"Branches",IF($E78="Vertical Veins","Vertical","none"))</f>
        <v>Branches</v>
      </c>
      <c r="Q78" s="152">
        <f>SQRT($L78)*$N78</f>
        <v>4.9037706646924502</v>
      </c>
      <c r="R78" s="152">
        <f>IF($M78="Motherlode",(($O78*SQRT($L78))^(1/2))^(1/3),"none")</f>
        <v>1.3034319387083164</v>
      </c>
      <c r="S78" s="152">
        <f>IF($P78="Branches",SQRT($L78)^(1/2),IF($P78="Vertical","default",$P78))</f>
        <v>2.2144459046660971</v>
      </c>
      <c r="T78" s="153">
        <f>IF($P78="Branches",SQRT(SQRT($L78))^(1/2),IF($P78="Vertical",SQRT($L78)^(1/2),"none"))</f>
        <v>1.4881014430024915</v>
      </c>
      <c r="U78" s="77">
        <f>$G78/VLOOKUP($F78,Ore_Density[],2,FALSE)/Vanilla_COG_Divisor</f>
        <v>10.714285714285714</v>
      </c>
      <c r="V78" s="158">
        <f>SQRT($U78)</f>
        <v>3.2732683535398857</v>
      </c>
      <c r="W78" s="147">
        <f>SQRT(SQRT($U78))</f>
        <v>1.8092176081223301</v>
      </c>
      <c r="X78" s="70">
        <f>$Y78+$AB78</f>
        <v>56</v>
      </c>
      <c r="Y78" s="71">
        <f>($AC78-$AB78)/2</f>
        <v>8</v>
      </c>
      <c r="Z78" s="71">
        <f>$AA78+$AB78</f>
        <v>56</v>
      </c>
      <c r="AA78" s="72">
        <f>($AG78-$AB78)/2</f>
        <v>8</v>
      </c>
      <c r="AB78" s="128">
        <v>48</v>
      </c>
      <c r="AC78" s="128">
        <v>64</v>
      </c>
      <c r="AD78" s="128"/>
      <c r="AE78" s="71">
        <f>IF($AD78="No",0,IF($AJ78="overworld",IF($X78&lt;64,64+($X78*3),0),0))</f>
        <v>232</v>
      </c>
      <c r="AF78" s="71">
        <f>IF($AD78="No",0,IF($AJ78="Overworld",IF($X78&lt;64,($Y78*3),0),0))</f>
        <v>24</v>
      </c>
      <c r="AG78" s="32">
        <f>IF($AC78&gt;64,64+(($AC78-64)*2.9),$AC78)</f>
        <v>64</v>
      </c>
      <c r="AH78" s="41" t="s">
        <v>272</v>
      </c>
      <c r="AI78" s="42"/>
      <c r="AJ78" s="131" t="s">
        <v>53</v>
      </c>
      <c r="AK78" s="20" t="str">
        <f>IF($X78&gt;64,"uniform",IF($AJ78="Overworld","normal","uniform"))</f>
        <v>normal</v>
      </c>
      <c r="AL78" s="109" t="s">
        <v>273</v>
      </c>
      <c r="AM78" s="110" t="s">
        <v>64</v>
      </c>
      <c r="AN78" s="117"/>
      <c r="AO78" s="118" t="s">
        <v>56</v>
      </c>
      <c r="AP78" s="46"/>
    </row>
    <row r="79" spans="1:42" s="7" customFormat="1" ht="13.5">
      <c r="A79" s="31" t="s">
        <v>270</v>
      </c>
      <c r="B79" s="18"/>
      <c r="C79" s="105" t="s">
        <v>285</v>
      </c>
      <c r="D79" s="97" t="s">
        <v>49</v>
      </c>
      <c r="E79" s="98" t="s">
        <v>66</v>
      </c>
      <c r="F79" s="99" t="s">
        <v>51</v>
      </c>
      <c r="G79" s="37">
        <f>$H79*$I79/2</f>
        <v>384</v>
      </c>
      <c r="H79" s="123">
        <v>32</v>
      </c>
      <c r="I79" s="124">
        <v>24</v>
      </c>
      <c r="J79" s="146">
        <f>$H79/2</f>
        <v>16</v>
      </c>
      <c r="K79" s="147">
        <f>$I79/2</f>
        <v>12</v>
      </c>
      <c r="L79" s="77">
        <f>$G79/VLOOKUP($E79,Ore_Density[],2,FALSE)/Vanilla_COG_Divisor</f>
        <v>24.046966731898237</v>
      </c>
      <c r="M79" s="82" t="str">
        <f>IF(OR($E79="Layered Veins",$E79="Small Deposits",$E79="Geode"),"Motherlode",IF(OR($E79="Pipe Veins",$E79="Sparse Veins",$E79="Vertical Veins"),"No","ERROR"))</f>
        <v>Motherlode</v>
      </c>
      <c r="N79" s="86">
        <v>1</v>
      </c>
      <c r="O79" s="86">
        <v>1</v>
      </c>
      <c r="P79" s="82" t="str">
        <f>IF(OR($E79="Layered Veins",$E79="Pipe Veins",$E79="Sparse Veins"),"Branches",IF($E79="Vertical Veins","Vertical","none"))</f>
        <v>Branches</v>
      </c>
      <c r="Q79" s="152">
        <f>SQRT($L79)*$N79</f>
        <v>4.9037706646924502</v>
      </c>
      <c r="R79" s="152">
        <f>IF($M79="Motherlode",(($O79*SQRT($L79))^(1/2))^(1/3),"none")</f>
        <v>1.3034319387083164</v>
      </c>
      <c r="S79" s="152">
        <f>IF($P79="Branches",SQRT($L79)^(1/2),IF($P79="Vertical","default",$P79))</f>
        <v>2.2144459046660971</v>
      </c>
      <c r="T79" s="153">
        <f>IF($P79="Branches",SQRT(SQRT($L79))^(1/2),IF($P79="Vertical",SQRT($L79)^(1/2),"none"))</f>
        <v>1.4881014430024915</v>
      </c>
      <c r="U79" s="77">
        <f>$G79/VLOOKUP($F79,Ore_Density[],2,FALSE)/Vanilla_COG_Divisor</f>
        <v>10.714285714285714</v>
      </c>
      <c r="V79" s="158">
        <f>SQRT($U79)</f>
        <v>3.2732683535398857</v>
      </c>
      <c r="W79" s="147">
        <f>SQRT(SQRT($U79))</f>
        <v>1.8092176081223301</v>
      </c>
      <c r="X79" s="70">
        <f>$Y79+$AB79</f>
        <v>40</v>
      </c>
      <c r="Y79" s="71">
        <f>($AC79-$AB79)/2</f>
        <v>8</v>
      </c>
      <c r="Z79" s="71">
        <f>$AA79+$AB79</f>
        <v>40</v>
      </c>
      <c r="AA79" s="72">
        <f>($AG79-$AB79)/2</f>
        <v>8</v>
      </c>
      <c r="AB79" s="128">
        <v>32</v>
      </c>
      <c r="AC79" s="128">
        <v>48</v>
      </c>
      <c r="AD79" s="128"/>
      <c r="AE79" s="71">
        <f>IF($AD79="No",0,IF($AJ79="overworld",IF($X79&lt;64,64+($X79*3),0),0))</f>
        <v>184</v>
      </c>
      <c r="AF79" s="71">
        <f>IF($AD79="No",0,IF($AJ79="Overworld",IF($X79&lt;64,($Y79*3),0),0))</f>
        <v>24</v>
      </c>
      <c r="AG79" s="32">
        <f>IF($AC79&gt;64,64+(($AC79-64)*2.9),$AC79)</f>
        <v>48</v>
      </c>
      <c r="AH79" s="41" t="s">
        <v>286</v>
      </c>
      <c r="AI79" s="42"/>
      <c r="AJ79" s="131" t="s">
        <v>53</v>
      </c>
      <c r="AK79" s="20" t="str">
        <f>IF($X79&gt;64,"uniform",IF($AJ79="Overworld","normal","uniform"))</f>
        <v>normal</v>
      </c>
      <c r="AL79" s="109" t="s">
        <v>287</v>
      </c>
      <c r="AM79" s="110" t="s">
        <v>64</v>
      </c>
      <c r="AN79" s="117"/>
      <c r="AO79" s="118" t="s">
        <v>56</v>
      </c>
      <c r="AP79" s="46"/>
    </row>
    <row r="80" spans="1:42" s="7" customFormat="1" ht="13.5">
      <c r="A80" s="31" t="s">
        <v>323</v>
      </c>
      <c r="B80" s="18"/>
      <c r="C80" s="105" t="s">
        <v>326</v>
      </c>
      <c r="D80" s="97" t="s">
        <v>59</v>
      </c>
      <c r="E80" s="98" t="s">
        <v>66</v>
      </c>
      <c r="F80" s="99" t="s">
        <v>61</v>
      </c>
      <c r="G80" s="37">
        <f>$H80*$I80/2</f>
        <v>16</v>
      </c>
      <c r="H80" s="123">
        <v>4</v>
      </c>
      <c r="I80" s="124">
        <v>8</v>
      </c>
      <c r="J80" s="146">
        <f>$H80/2</f>
        <v>2</v>
      </c>
      <c r="K80" s="147">
        <f>$I80/2</f>
        <v>4</v>
      </c>
      <c r="L80" s="77">
        <f>$G80/VLOOKUP($E80,Ore_Density[],2,FALSE)/Vanilla_COG_Divisor</f>
        <v>1.0019569471624266</v>
      </c>
      <c r="M80" s="82" t="str">
        <f>IF(OR($E80="Layered Veins",$E80="Small Deposits",$E80="Geode"),"Motherlode",IF(OR($E80="Pipe Veins",$E80="Sparse Veins",$E80="Vertical Veins"),"No","ERROR"))</f>
        <v>Motherlode</v>
      </c>
      <c r="N80" s="86">
        <v>1</v>
      </c>
      <c r="O80" s="86">
        <v>1</v>
      </c>
      <c r="P80" s="82" t="str">
        <f>IF(OR($E80="Layered Veins",$E80="Pipe Veins",$E80="Sparse Veins"),"Branches",IF($E80="Vertical Veins","Vertical","none"))</f>
        <v>Branches</v>
      </c>
      <c r="Q80" s="152">
        <f>SQRT($L80)*$N80</f>
        <v>1.000977995343767</v>
      </c>
      <c r="R80" s="152">
        <f>IF($M80="Motherlode",(($O80*SQRT($L80))^(1/2))^(1/3),"none")</f>
        <v>1.0001629328417641</v>
      </c>
      <c r="S80" s="152">
        <f>IF($P80="Branches",SQRT($L80)^(1/2),IF($P80="Vertical","default",$P80))</f>
        <v>1.0004888781709504</v>
      </c>
      <c r="T80" s="153">
        <f>IF($P80="Branches",SQRT(SQRT($L80))^(1/2),IF($P80="Vertical",SQRT($L80)^(1/2),"none"))</f>
        <v>1.0002444092175424</v>
      </c>
      <c r="U80" s="77">
        <f>$G80/VLOOKUP($F80,Ore_Density[],2,FALSE)/Vanilla_COG_Divisor</f>
        <v>1.3061224489795917</v>
      </c>
      <c r="V80" s="158">
        <f>SQRT($U80)</f>
        <v>1.1428571428571428</v>
      </c>
      <c r="W80" s="147">
        <f>SQRT(SQRT($U80))</f>
        <v>1.0690449676496976</v>
      </c>
      <c r="X80" s="70">
        <f>$Y80+$AB80</f>
        <v>62.5</v>
      </c>
      <c r="Y80" s="71">
        <f>($AC80-$AB80)/2</f>
        <v>22.5</v>
      </c>
      <c r="Z80" s="71">
        <f>$AA80+$AB80</f>
        <v>82.45</v>
      </c>
      <c r="AA80" s="72">
        <f>($AG80-$AB80)/2</f>
        <v>42.45</v>
      </c>
      <c r="AB80" s="128">
        <v>40</v>
      </c>
      <c r="AC80" s="128">
        <v>85</v>
      </c>
      <c r="AD80" s="128"/>
      <c r="AE80" s="71">
        <f>IF($AD80="No",0,IF($AJ80="overworld",IF($X80&lt;64,64+($X80*3),0),0))</f>
        <v>251.5</v>
      </c>
      <c r="AF80" s="71">
        <f>IF($AD80="No",0,IF($AJ80="Overworld",IF($X80&lt;64,($Y80*3),0),0))</f>
        <v>67.5</v>
      </c>
      <c r="AG80" s="32">
        <f>IF($AC80&gt;64,64+(($AC80-64)*2.9),$AC80)</f>
        <v>124.9</v>
      </c>
      <c r="AH80" s="41" t="s">
        <v>327</v>
      </c>
      <c r="AI80" s="42"/>
      <c r="AJ80" s="131" t="s">
        <v>53</v>
      </c>
      <c r="AK80" s="20" t="str">
        <f>IF($X80&gt;64,"uniform",IF($AJ80="Overworld","normal","uniform"))</f>
        <v>normal</v>
      </c>
      <c r="AL80" s="109" t="s">
        <v>328</v>
      </c>
      <c r="AM80" s="110" t="s">
        <v>64</v>
      </c>
      <c r="AN80" s="117"/>
      <c r="AO80" s="118" t="s">
        <v>56</v>
      </c>
      <c r="AP80" s="46"/>
    </row>
    <row r="81" spans="1:42" s="7" customFormat="1" ht="13.5">
      <c r="A81" s="31" t="s">
        <v>323</v>
      </c>
      <c r="B81" s="18"/>
      <c r="C81" s="105" t="s">
        <v>176</v>
      </c>
      <c r="D81" s="97" t="s">
        <v>59</v>
      </c>
      <c r="E81" s="98" t="s">
        <v>66</v>
      </c>
      <c r="F81" s="99" t="s">
        <v>61</v>
      </c>
      <c r="G81" s="37">
        <f>$H81*$I81/2</f>
        <v>32</v>
      </c>
      <c r="H81" s="123">
        <v>8</v>
      </c>
      <c r="I81" s="124">
        <v>8</v>
      </c>
      <c r="J81" s="146">
        <f>$H81/2</f>
        <v>4</v>
      </c>
      <c r="K81" s="147">
        <f>$I81/2</f>
        <v>4</v>
      </c>
      <c r="L81" s="77">
        <f>$G81/VLOOKUP($E81,Ore_Density[],2,FALSE)/Vanilla_COG_Divisor</f>
        <v>2.0039138943248531</v>
      </c>
      <c r="M81" s="82" t="str">
        <f>IF(OR($E81="Layered Veins",$E81="Small Deposits",$E81="Geode"),"Motherlode",IF(OR($E81="Pipe Veins",$E81="Sparse Veins",$E81="Vertical Veins"),"No","ERROR"))</f>
        <v>Motherlode</v>
      </c>
      <c r="N81" s="86">
        <v>1</v>
      </c>
      <c r="O81" s="86">
        <v>1</v>
      </c>
      <c r="P81" s="82" t="str">
        <f>IF(OR($E81="Layered Veins",$E81="Pipe Veins",$E81="Sparse Veins"),"Branches",IF($E81="Vertical Veins","Vertical","none"))</f>
        <v>Branches</v>
      </c>
      <c r="Q81" s="152">
        <f>SQRT($L81)*$N81</f>
        <v>1.4155966566521883</v>
      </c>
      <c r="R81" s="152">
        <f>IF($M81="Motherlode",(($O81*SQRT($L81))^(1/2))^(1/3),"none")</f>
        <v>1.0596357156920035</v>
      </c>
      <c r="S81" s="152">
        <f>IF($P81="Branches",SQRT($L81)^(1/2),IF($P81="Vertical","default",$P81))</f>
        <v>1.189788492401985</v>
      </c>
      <c r="T81" s="153">
        <f>IF($P81="Branches",SQRT(SQRT($L81))^(1/2),IF($P81="Vertical",SQRT($L81)^(1/2),"none"))</f>
        <v>1.0907742628069224</v>
      </c>
      <c r="U81" s="77">
        <f>$G81/VLOOKUP($F81,Ore_Density[],2,FALSE)/Vanilla_COG_Divisor</f>
        <v>2.6122448979591835</v>
      </c>
      <c r="V81" s="158">
        <f>SQRT($U81)</f>
        <v>1.6162440712835371</v>
      </c>
      <c r="W81" s="147">
        <f>SQRT(SQRT($U81))</f>
        <v>1.2713158817868739</v>
      </c>
      <c r="X81" s="70">
        <f>$Y81+$AB81</f>
        <v>56</v>
      </c>
      <c r="Y81" s="71">
        <f>($AC81-$AB81)/2</f>
        <v>16</v>
      </c>
      <c r="Z81" s="71">
        <f>$AA81+$AB81</f>
        <v>63.6</v>
      </c>
      <c r="AA81" s="72">
        <f>($AG81-$AB81)/2</f>
        <v>23.6</v>
      </c>
      <c r="AB81" s="128">
        <v>40</v>
      </c>
      <c r="AC81" s="128">
        <v>72</v>
      </c>
      <c r="AD81" s="128"/>
      <c r="AE81" s="71">
        <f>IF($AD81="No",0,IF($AJ81="overworld",IF($X81&lt;64,64+($X81*3),0),0))</f>
        <v>232</v>
      </c>
      <c r="AF81" s="71">
        <f>IF($AD81="No",0,IF($AJ81="Overworld",IF($X81&lt;64,($Y81*3),0),0))</f>
        <v>48</v>
      </c>
      <c r="AG81" s="32">
        <f>IF($AC81&gt;64,64+(($AC81-64)*2.9),$AC81)</f>
        <v>87.2</v>
      </c>
      <c r="AH81" s="41" t="s">
        <v>324</v>
      </c>
      <c r="AI81" s="42"/>
      <c r="AJ81" s="131" t="s">
        <v>53</v>
      </c>
      <c r="AK81" s="20" t="str">
        <f>IF($X81&gt;64,"uniform",IF($AJ81="Overworld","normal","uniform"))</f>
        <v>normal</v>
      </c>
      <c r="AL81" s="109" t="s">
        <v>325</v>
      </c>
      <c r="AM81" s="110" t="s">
        <v>64</v>
      </c>
      <c r="AN81" s="117"/>
      <c r="AO81" s="118" t="s">
        <v>56</v>
      </c>
      <c r="AP81" s="46"/>
    </row>
    <row r="82" spans="1:42" s="7" customFormat="1" ht="13.5">
      <c r="A82" s="31" t="s">
        <v>323</v>
      </c>
      <c r="B82" s="18"/>
      <c r="C82" s="105" t="s">
        <v>188</v>
      </c>
      <c r="D82" s="97" t="s">
        <v>59</v>
      </c>
      <c r="E82" s="98" t="s">
        <v>66</v>
      </c>
      <c r="F82" s="99" t="s">
        <v>61</v>
      </c>
      <c r="G82" s="37">
        <f>$H82*$I82/2</f>
        <v>12</v>
      </c>
      <c r="H82" s="123">
        <v>6</v>
      </c>
      <c r="I82" s="124">
        <v>4</v>
      </c>
      <c r="J82" s="146">
        <f>$H82/2</f>
        <v>3</v>
      </c>
      <c r="K82" s="147">
        <f>$I82/2</f>
        <v>2</v>
      </c>
      <c r="L82" s="77">
        <f>$G82/VLOOKUP($E82,Ore_Density[],2,FALSE)/Vanilla_COG_Divisor</f>
        <v>0.75146771037181992</v>
      </c>
      <c r="M82" s="82" t="str">
        <f>IF(OR($E82="Layered Veins",$E82="Small Deposits",$E82="Geode"),"Motherlode",IF(OR($E82="Pipe Veins",$E82="Sparse Veins",$E82="Vertical Veins"),"No","ERROR"))</f>
        <v>Motherlode</v>
      </c>
      <c r="N82" s="86">
        <v>1</v>
      </c>
      <c r="O82" s="86">
        <v>1</v>
      </c>
      <c r="P82" s="82" t="str">
        <f>IF(OR($E82="Layered Veins",$E82="Pipe Veins",$E82="Sparse Veins"),"Branches",IF($E82="Vertical Veins","Vertical","none"))</f>
        <v>Branches</v>
      </c>
      <c r="Q82" s="152">
        <f>SQRT($L82)*$N82</f>
        <v>0.86687237259692385</v>
      </c>
      <c r="R82" s="152">
        <f>IF($M82="Motherlode",(($O82*SQRT($L82))^(1/2))^(1/3),"none")</f>
        <v>0.97647064899688185</v>
      </c>
      <c r="S82" s="152">
        <f>IF($P82="Branches",SQRT($L82)^(1/2),IF($P82="Vertical","default",$P82))</f>
        <v>0.93105981150349515</v>
      </c>
      <c r="T82" s="153">
        <f>IF($P82="Branches",SQRT(SQRT($L82))^(1/2),IF($P82="Vertical",SQRT($L82)^(1/2),"none"))</f>
        <v>0.96491440630943792</v>
      </c>
      <c r="U82" s="77">
        <f>$G82/VLOOKUP($F82,Ore_Density[],2,FALSE)/Vanilla_COG_Divisor</f>
        <v>0.97959183673469385</v>
      </c>
      <c r="V82" s="158">
        <f>SQRT($U82)</f>
        <v>0.98974331861078702</v>
      </c>
      <c r="W82" s="147">
        <f>SQRT(SQRT($U82))</f>
        <v>0.99485844149345537</v>
      </c>
      <c r="X82" s="70">
        <f>$Y82+$AB82</f>
        <v>22</v>
      </c>
      <c r="Y82" s="71">
        <f>($AC82-$AB82)/2</f>
        <v>14</v>
      </c>
      <c r="Z82" s="71">
        <f>$AA82+$AB82</f>
        <v>22</v>
      </c>
      <c r="AA82" s="72">
        <f>($AG82-$AB82)/2</f>
        <v>14</v>
      </c>
      <c r="AB82" s="128">
        <v>8</v>
      </c>
      <c r="AC82" s="128">
        <v>36</v>
      </c>
      <c r="AD82" s="128"/>
      <c r="AE82" s="71">
        <f>IF($AD82="No",0,IF($AJ82="overworld",IF($X82&lt;64,64+($X82*3),0),0))</f>
        <v>130</v>
      </c>
      <c r="AF82" s="71">
        <f>IF($AD82="No",0,IF($AJ82="Overworld",IF($X82&lt;64,($Y82*3),0),0))</f>
        <v>42</v>
      </c>
      <c r="AG82" s="32">
        <f>IF($AC82&gt;64,64+(($AC82-64)*2.9),$AC82)</f>
        <v>36</v>
      </c>
      <c r="AH82" s="41" t="s">
        <v>329</v>
      </c>
      <c r="AI82" s="42"/>
      <c r="AJ82" s="131" t="s">
        <v>53</v>
      </c>
      <c r="AK82" s="20" t="str">
        <f>IF($X82&gt;64,"uniform",IF($AJ82="Overworld","normal","uniform"))</f>
        <v>normal</v>
      </c>
      <c r="AL82" s="109" t="s">
        <v>330</v>
      </c>
      <c r="AM82" s="110" t="s">
        <v>64</v>
      </c>
      <c r="AN82" s="117"/>
      <c r="AO82" s="118" t="s">
        <v>56</v>
      </c>
      <c r="AP82" s="46"/>
    </row>
    <row r="83" spans="1:42" s="7" customFormat="1" ht="13.5">
      <c r="A83" s="31" t="s">
        <v>323</v>
      </c>
      <c r="B83" s="18"/>
      <c r="C83" s="105" t="s">
        <v>191</v>
      </c>
      <c r="D83" s="97" t="s">
        <v>59</v>
      </c>
      <c r="E83" s="98" t="s">
        <v>66</v>
      </c>
      <c r="F83" s="99" t="s">
        <v>61</v>
      </c>
      <c r="G83" s="37">
        <f>$H83*$I83/2</f>
        <v>6</v>
      </c>
      <c r="H83" s="123">
        <v>6</v>
      </c>
      <c r="I83" s="124">
        <v>2</v>
      </c>
      <c r="J83" s="146">
        <f>$H83/2</f>
        <v>3</v>
      </c>
      <c r="K83" s="147">
        <f>$I83/2</f>
        <v>1</v>
      </c>
      <c r="L83" s="77">
        <f>$G83/VLOOKUP($E83,Ore_Density[],2,FALSE)/Vanilla_COG_Divisor</f>
        <v>0.37573385518590996</v>
      </c>
      <c r="M83" s="82" t="str">
        <f>IF(OR($E83="Layered Veins",$E83="Small Deposits",$E83="Geode"),"Motherlode",IF(OR($E83="Pipe Veins",$E83="Sparse Veins",$E83="Vertical Veins"),"No","ERROR"))</f>
        <v>Motherlode</v>
      </c>
      <c r="N83" s="86">
        <v>1</v>
      </c>
      <c r="O83" s="86">
        <v>1</v>
      </c>
      <c r="P83" s="82" t="str">
        <f>IF(OR($E83="Layered Veins",$E83="Pipe Veins",$E83="Sparse Veins"),"Branches",IF($E83="Vertical Veins","Vertical","none"))</f>
        <v>Branches</v>
      </c>
      <c r="Q83" s="152">
        <f>SQRT($L83)*$N83</f>
        <v>0.61297133308655627</v>
      </c>
      <c r="R83" s="152">
        <f>IF($M83="Motherlode",(($O83*SQRT($L83))^(1/2))^(1/3),"none")</f>
        <v>0.92166556267577893</v>
      </c>
      <c r="S83" s="152">
        <f>IF($P83="Branches",SQRT($L83)^(1/2),IF($P83="Vertical","default",$P83))</f>
        <v>0.78292485788008814</v>
      </c>
      <c r="T83" s="153">
        <f>IF($P83="Branches",SQRT(SQRT($L83))^(1/2),IF($P83="Vertical",SQRT($L83)^(1/2),"none"))</f>
        <v>0.88483041193218948</v>
      </c>
      <c r="U83" s="77">
        <f>$G83/VLOOKUP($F83,Ore_Density[],2,FALSE)/Vanilla_COG_Divisor</f>
        <v>0.48979591836734693</v>
      </c>
      <c r="V83" s="158">
        <f>SQRT($U83)</f>
        <v>0.6998542122237652</v>
      </c>
      <c r="W83" s="147">
        <f>SQRT(SQRT($U83))</f>
        <v>0.83657289713674399</v>
      </c>
      <c r="X83" s="70">
        <f>$Y83+$AB83</f>
        <v>16</v>
      </c>
      <c r="Y83" s="71">
        <f>($AC83-$AB83)/2</f>
        <v>8</v>
      </c>
      <c r="Z83" s="71">
        <f>$AA83+$AB83</f>
        <v>16</v>
      </c>
      <c r="AA83" s="72">
        <f>($AG83-$AB83)/2</f>
        <v>8</v>
      </c>
      <c r="AB83" s="128">
        <v>8</v>
      </c>
      <c r="AC83" s="128">
        <v>24</v>
      </c>
      <c r="AD83" s="128"/>
      <c r="AE83" s="71">
        <f>IF($AD83="No",0,IF($AJ83="overworld",IF($X83&lt;64,64+($X83*3),0),0))</f>
        <v>112</v>
      </c>
      <c r="AF83" s="71">
        <f>IF($AD83="No",0,IF($AJ83="Overworld",IF($X83&lt;64,($Y83*3),0),0))</f>
        <v>24</v>
      </c>
      <c r="AG83" s="32">
        <f>IF($AC83&gt;64,64+(($AC83-64)*2.9),$AC83)</f>
        <v>24</v>
      </c>
      <c r="AH83" s="41" t="s">
        <v>333</v>
      </c>
      <c r="AI83" s="42"/>
      <c r="AJ83" s="131" t="s">
        <v>53</v>
      </c>
      <c r="AK83" s="20" t="str">
        <f>IF($X83&gt;64,"uniform",IF($AJ83="Overworld","normal","uniform"))</f>
        <v>normal</v>
      </c>
      <c r="AL83" s="109" t="s">
        <v>334</v>
      </c>
      <c r="AM83" s="110" t="s">
        <v>64</v>
      </c>
      <c r="AN83" s="117"/>
      <c r="AO83" s="118" t="s">
        <v>56</v>
      </c>
      <c r="AP83" s="46"/>
    </row>
    <row r="84" spans="1:42" s="7" customFormat="1" ht="13.5">
      <c r="A84" s="31" t="s">
        <v>323</v>
      </c>
      <c r="B84" s="18"/>
      <c r="C84" s="105" t="s">
        <v>173</v>
      </c>
      <c r="D84" s="97" t="s">
        <v>59</v>
      </c>
      <c r="E84" s="98" t="s">
        <v>66</v>
      </c>
      <c r="F84" s="99" t="s">
        <v>61</v>
      </c>
      <c r="G84" s="37">
        <f>$H84*$I84/2</f>
        <v>16</v>
      </c>
      <c r="H84" s="123">
        <v>8</v>
      </c>
      <c r="I84" s="124">
        <v>4</v>
      </c>
      <c r="J84" s="146">
        <f>$H84/2</f>
        <v>4</v>
      </c>
      <c r="K84" s="147">
        <f>$I84/2</f>
        <v>2</v>
      </c>
      <c r="L84" s="77">
        <f>$G84/VLOOKUP($E84,Ore_Density[],2,FALSE)/Vanilla_COG_Divisor</f>
        <v>1.0019569471624266</v>
      </c>
      <c r="M84" s="82" t="str">
        <f>IF(OR($E84="Layered Veins",$E84="Small Deposits",$E84="Geode"),"Motherlode",IF(OR($E84="Pipe Veins",$E84="Sparse Veins",$E84="Vertical Veins"),"No","ERROR"))</f>
        <v>Motherlode</v>
      </c>
      <c r="N84" s="86">
        <v>1</v>
      </c>
      <c r="O84" s="86">
        <v>1</v>
      </c>
      <c r="P84" s="82" t="str">
        <f>IF(OR($E84="Layered Veins",$E84="Pipe Veins",$E84="Sparse Veins"),"Branches",IF($E84="Vertical Veins","Vertical","none"))</f>
        <v>Branches</v>
      </c>
      <c r="Q84" s="152">
        <f>SQRT($L84)*$N84</f>
        <v>1.000977995343767</v>
      </c>
      <c r="R84" s="152">
        <f>IF($M84="Motherlode",(($O84*SQRT($L84))^(1/2))^(1/3),"none")</f>
        <v>1.0001629328417641</v>
      </c>
      <c r="S84" s="152">
        <f>IF($P84="Branches",SQRT($L84)^(1/2),IF($P84="Vertical","default",$P84))</f>
        <v>1.0004888781709504</v>
      </c>
      <c r="T84" s="153">
        <f>IF($P84="Branches",SQRT(SQRT($L84))^(1/2),IF($P84="Vertical",SQRT($L84)^(1/2),"none"))</f>
        <v>1.0002444092175424</v>
      </c>
      <c r="U84" s="77">
        <f>$G84/VLOOKUP($F84,Ore_Density[],2,FALSE)/Vanilla_COG_Divisor</f>
        <v>1.3061224489795917</v>
      </c>
      <c r="V84" s="158">
        <f>SQRT($U84)</f>
        <v>1.1428571428571428</v>
      </c>
      <c r="W84" s="147">
        <f>SQRT(SQRT($U84))</f>
        <v>1.0690449676496976</v>
      </c>
      <c r="X84" s="70">
        <f>$Y84+$AB84</f>
        <v>24</v>
      </c>
      <c r="Y84" s="71">
        <f>($AC84-$AB84)/2</f>
        <v>16</v>
      </c>
      <c r="Z84" s="71">
        <f>$AA84+$AB84</f>
        <v>24</v>
      </c>
      <c r="AA84" s="72">
        <f>($AG84-$AB84)/2</f>
        <v>16</v>
      </c>
      <c r="AB84" s="128">
        <v>8</v>
      </c>
      <c r="AC84" s="128">
        <v>40</v>
      </c>
      <c r="AD84" s="128"/>
      <c r="AE84" s="71">
        <f>IF($AD84="No",0,IF($AJ84="overworld",IF($X84&lt;64,64+($X84*3),0),0))</f>
        <v>136</v>
      </c>
      <c r="AF84" s="71">
        <f>IF($AD84="No",0,IF($AJ84="Overworld",IF($X84&lt;64,($Y84*3),0),0))</f>
        <v>48</v>
      </c>
      <c r="AG84" s="32">
        <f>IF($AC84&gt;64,64+(($AC84-64)*2.9),$AC84)</f>
        <v>40</v>
      </c>
      <c r="AH84" s="41" t="s">
        <v>331</v>
      </c>
      <c r="AI84" s="42"/>
      <c r="AJ84" s="131" t="s">
        <v>53</v>
      </c>
      <c r="AK84" s="20" t="str">
        <f>IF($X84&gt;64,"uniform",IF($AJ84="Overworld","normal","uniform"))</f>
        <v>normal</v>
      </c>
      <c r="AL84" s="109" t="s">
        <v>332</v>
      </c>
      <c r="AM84" s="110" t="s">
        <v>64</v>
      </c>
      <c r="AN84" s="117"/>
      <c r="AO84" s="118" t="s">
        <v>56</v>
      </c>
      <c r="AP84" s="46"/>
    </row>
    <row r="85" spans="1:42" s="7" customFormat="1" ht="13.5">
      <c r="A85" s="31" t="s">
        <v>335</v>
      </c>
      <c r="B85" s="18"/>
      <c r="C85" s="105" t="s">
        <v>176</v>
      </c>
      <c r="D85" s="97" t="s">
        <v>59</v>
      </c>
      <c r="E85" s="98" t="s">
        <v>66</v>
      </c>
      <c r="F85" s="99" t="s">
        <v>61</v>
      </c>
      <c r="G85" s="37">
        <f>$H85*$I85/2</f>
        <v>75</v>
      </c>
      <c r="H85" s="123">
        <v>10</v>
      </c>
      <c r="I85" s="124">
        <v>15</v>
      </c>
      <c r="J85" s="146">
        <f>$H85/2</f>
        <v>5</v>
      </c>
      <c r="K85" s="147">
        <f>$I85/2</f>
        <v>7.5</v>
      </c>
      <c r="L85" s="77">
        <f>$G85/VLOOKUP($E85,Ore_Density[],2,FALSE)/Vanilla_COG_Divisor</f>
        <v>4.6966731898238754</v>
      </c>
      <c r="M85" s="82" t="str">
        <f>IF(OR($E85="Layered Veins",$E85="Small Deposits",$E85="Geode"),"Motherlode",IF(OR($E85="Pipe Veins",$E85="Sparse Veins",$E85="Vertical Veins"),"No","ERROR"))</f>
        <v>Motherlode</v>
      </c>
      <c r="N85" s="86">
        <v>1</v>
      </c>
      <c r="O85" s="86">
        <v>1</v>
      </c>
      <c r="P85" s="82" t="str">
        <f>IF(OR($E85="Layered Veins",$E85="Pipe Veins",$E85="Sparse Veins"),"Branches",IF($E85="Vertical Veins","Vertical","none"))</f>
        <v>Branches</v>
      </c>
      <c r="Q85" s="152">
        <f>SQRT($L85)*$N85</f>
        <v>2.1671809314923096</v>
      </c>
      <c r="R85" s="152">
        <f>IF($M85="Motherlode",(($O85*SQRT($L85))^(1/2))^(1/3),"none")</f>
        <v>1.1375815203434059</v>
      </c>
      <c r="S85" s="152">
        <f>IF($P85="Branches",SQRT($L85)^(1/2),IF($P85="Vertical","default",$P85))</f>
        <v>1.4721348210990424</v>
      </c>
      <c r="T85" s="153">
        <f>IF($P85="Branches",SQRT(SQRT($L85))^(1/2),IF($P85="Vertical",SQRT($L85)^(1/2),"none"))</f>
        <v>1.2133156312761499</v>
      </c>
      <c r="U85" s="77">
        <f>$G85/VLOOKUP($F85,Ore_Density[],2,FALSE)/Vanilla_COG_Divisor</f>
        <v>6.1224489795918364</v>
      </c>
      <c r="V85" s="158">
        <f>SQRT($U85)</f>
        <v>2.4743582965269675</v>
      </c>
      <c r="W85" s="147">
        <f>SQRT(SQRT($U85))</f>
        <v>1.5730093122823423</v>
      </c>
      <c r="X85" s="70">
        <f>$Y85+$AB85</f>
        <v>40</v>
      </c>
      <c r="Y85" s="71">
        <f>($AC85-$AB85)/2</f>
        <v>30</v>
      </c>
      <c r="Z85" s="71">
        <f>$AA85+$AB85</f>
        <v>45.7</v>
      </c>
      <c r="AA85" s="72">
        <f>($AG85-$AB85)/2</f>
        <v>35.700000000000003</v>
      </c>
      <c r="AB85" s="128">
        <v>10</v>
      </c>
      <c r="AC85" s="128">
        <v>70</v>
      </c>
      <c r="AD85" s="128"/>
      <c r="AE85" s="71">
        <f>IF($AD85="No",0,IF($AJ85="overworld",IF($X85&lt;64,64+($X85*3),0),0))</f>
        <v>184</v>
      </c>
      <c r="AF85" s="71">
        <f>IF($AD85="No",0,IF($AJ85="Overworld",IF($X85&lt;64,($Y85*3),0),0))</f>
        <v>90</v>
      </c>
      <c r="AG85" s="32">
        <f>IF($AC85&gt;64,64+(($AC85-64)*2.9),$AC85)</f>
        <v>81.400000000000006</v>
      </c>
      <c r="AH85" s="41" t="s">
        <v>336</v>
      </c>
      <c r="AI85" s="42"/>
      <c r="AJ85" s="131" t="s">
        <v>53</v>
      </c>
      <c r="AK85" s="20" t="str">
        <f>IF($X85&gt;64,"uniform",IF($AJ85="Overworld","normal","uniform"))</f>
        <v>normal</v>
      </c>
      <c r="AL85" s="109" t="s">
        <v>337</v>
      </c>
      <c r="AM85" s="110" t="s">
        <v>64</v>
      </c>
      <c r="AN85" s="117"/>
      <c r="AO85" s="118" t="s">
        <v>56</v>
      </c>
      <c r="AP85" s="46"/>
    </row>
    <row r="86" spans="1:42" s="7" customFormat="1" ht="13.5">
      <c r="A86" s="31" t="s">
        <v>335</v>
      </c>
      <c r="B86" s="18"/>
      <c r="C86" s="105" t="s">
        <v>188</v>
      </c>
      <c r="D86" s="97" t="s">
        <v>59</v>
      </c>
      <c r="E86" s="98" t="s">
        <v>66</v>
      </c>
      <c r="F86" s="99" t="s">
        <v>61</v>
      </c>
      <c r="G86" s="37">
        <f>$H86*$I86/2</f>
        <v>16</v>
      </c>
      <c r="H86" s="123">
        <v>4</v>
      </c>
      <c r="I86" s="124">
        <v>8</v>
      </c>
      <c r="J86" s="146">
        <f>$H86/2</f>
        <v>2</v>
      </c>
      <c r="K86" s="147">
        <f>$I86/2</f>
        <v>4</v>
      </c>
      <c r="L86" s="77">
        <f>$G86/VLOOKUP($E86,Ore_Density[],2,FALSE)/Vanilla_COG_Divisor</f>
        <v>1.0019569471624266</v>
      </c>
      <c r="M86" s="82" t="str">
        <f>IF(OR($E86="Layered Veins",$E86="Small Deposits",$E86="Geode"),"Motherlode",IF(OR($E86="Pipe Veins",$E86="Sparse Veins",$E86="Vertical Veins"),"No","ERROR"))</f>
        <v>Motherlode</v>
      </c>
      <c r="N86" s="86">
        <v>1</v>
      </c>
      <c r="O86" s="86">
        <v>1</v>
      </c>
      <c r="P86" s="82" t="str">
        <f>IF(OR($E86="Layered Veins",$E86="Pipe Veins",$E86="Sparse Veins"),"Branches",IF($E86="Vertical Veins","Vertical","none"))</f>
        <v>Branches</v>
      </c>
      <c r="Q86" s="152">
        <f>SQRT($L86)*$N86</f>
        <v>1.000977995343767</v>
      </c>
      <c r="R86" s="152">
        <f>IF($M86="Motherlode",(($O86*SQRT($L86))^(1/2))^(1/3),"none")</f>
        <v>1.0001629328417641</v>
      </c>
      <c r="S86" s="152">
        <f>IF($P86="Branches",SQRT($L86)^(1/2),IF($P86="Vertical","default",$P86))</f>
        <v>1.0004888781709504</v>
      </c>
      <c r="T86" s="153">
        <f>IF($P86="Branches",SQRT(SQRT($L86))^(1/2),IF($P86="Vertical",SQRT($L86)^(1/2),"none"))</f>
        <v>1.0002444092175424</v>
      </c>
      <c r="U86" s="77">
        <f>$G86/VLOOKUP($F86,Ore_Density[],2,FALSE)/Vanilla_COG_Divisor</f>
        <v>1.3061224489795917</v>
      </c>
      <c r="V86" s="158">
        <f>SQRT($U86)</f>
        <v>1.1428571428571428</v>
      </c>
      <c r="W86" s="147">
        <f>SQRT(SQRT($U86))</f>
        <v>1.0690449676496976</v>
      </c>
      <c r="X86" s="70">
        <f>$Y86+$AB86</f>
        <v>30</v>
      </c>
      <c r="Y86" s="71">
        <f>($AC86-$AB86)/2</f>
        <v>30</v>
      </c>
      <c r="Z86" s="71">
        <f>$AA86+$AB86</f>
        <v>30</v>
      </c>
      <c r="AA86" s="72">
        <f>($AG86-$AB86)/2</f>
        <v>30</v>
      </c>
      <c r="AB86" s="128">
        <v>0</v>
      </c>
      <c r="AC86" s="128">
        <v>60</v>
      </c>
      <c r="AD86" s="128"/>
      <c r="AE86" s="71">
        <f>IF($AD86="No",0,IF($AJ86="overworld",IF($X86&lt;64,64+($X86*3),0),0))</f>
        <v>154</v>
      </c>
      <c r="AF86" s="71">
        <f>IF($AD86="No",0,IF($AJ86="Overworld",IF($X86&lt;64,($Y86*3),0),0))</f>
        <v>90</v>
      </c>
      <c r="AG86" s="32">
        <f>IF($AC86&gt;64,64+(($AC86-64)*2.9),$AC86)</f>
        <v>60</v>
      </c>
      <c r="AH86" s="41" t="s">
        <v>343</v>
      </c>
      <c r="AI86" s="42"/>
      <c r="AJ86" s="131" t="s">
        <v>53</v>
      </c>
      <c r="AK86" s="20" t="str">
        <f>IF($X86&gt;64,"uniform",IF($AJ86="Overworld","normal","uniform"))</f>
        <v>normal</v>
      </c>
      <c r="AL86" s="109" t="s">
        <v>344</v>
      </c>
      <c r="AM86" s="110" t="s">
        <v>64</v>
      </c>
      <c r="AN86" s="117"/>
      <c r="AO86" s="118" t="s">
        <v>56</v>
      </c>
      <c r="AP86" s="46"/>
    </row>
    <row r="87" spans="1:42" s="7" customFormat="1" ht="13.5">
      <c r="A87" s="31" t="s">
        <v>335</v>
      </c>
      <c r="B87" s="18"/>
      <c r="C87" s="105" t="s">
        <v>179</v>
      </c>
      <c r="D87" s="97" t="s">
        <v>59</v>
      </c>
      <c r="E87" s="98" t="s">
        <v>66</v>
      </c>
      <c r="F87" s="99" t="s">
        <v>61</v>
      </c>
      <c r="G87" s="37">
        <f>$H87*$I87/2</f>
        <v>75</v>
      </c>
      <c r="H87" s="123">
        <v>6</v>
      </c>
      <c r="I87" s="124">
        <v>25</v>
      </c>
      <c r="J87" s="146">
        <f>$H87/2</f>
        <v>3</v>
      </c>
      <c r="K87" s="147">
        <f>$I87/2</f>
        <v>12.5</v>
      </c>
      <c r="L87" s="77">
        <f>$G87/VLOOKUP($E87,Ore_Density[],2,FALSE)/Vanilla_COG_Divisor</f>
        <v>4.6966731898238754</v>
      </c>
      <c r="M87" s="82" t="str">
        <f>IF(OR($E87="Layered Veins",$E87="Small Deposits",$E87="Geode"),"Motherlode",IF(OR($E87="Pipe Veins",$E87="Sparse Veins",$E87="Vertical Veins"),"No","ERROR"))</f>
        <v>Motherlode</v>
      </c>
      <c r="N87" s="86">
        <v>1</v>
      </c>
      <c r="O87" s="86">
        <v>1</v>
      </c>
      <c r="P87" s="82" t="str">
        <f>IF(OR($E87="Layered Veins",$E87="Pipe Veins",$E87="Sparse Veins"),"Branches",IF($E87="Vertical Veins","Vertical","none"))</f>
        <v>Branches</v>
      </c>
      <c r="Q87" s="152">
        <f>SQRT($L87)*$N87</f>
        <v>2.1671809314923096</v>
      </c>
      <c r="R87" s="152">
        <f>IF($M87="Motherlode",(($O87*SQRT($L87))^(1/2))^(1/3),"none")</f>
        <v>1.1375815203434059</v>
      </c>
      <c r="S87" s="152">
        <f>IF($P87="Branches",SQRT($L87)^(1/2),IF($P87="Vertical","default",$P87))</f>
        <v>1.4721348210990424</v>
      </c>
      <c r="T87" s="153">
        <f>IF($P87="Branches",SQRT(SQRT($L87))^(1/2),IF($P87="Vertical",SQRT($L87)^(1/2),"none"))</f>
        <v>1.2133156312761499</v>
      </c>
      <c r="U87" s="77">
        <f>$G87/VLOOKUP($F87,Ore_Density[],2,FALSE)/Vanilla_COG_Divisor</f>
        <v>6.1224489795918364</v>
      </c>
      <c r="V87" s="158">
        <f>SQRT($U87)</f>
        <v>2.4743582965269675</v>
      </c>
      <c r="W87" s="147">
        <f>SQRT(SQRT($U87))</f>
        <v>1.5730093122823423</v>
      </c>
      <c r="X87" s="70">
        <f>$Y87+$AB87</f>
        <v>20</v>
      </c>
      <c r="Y87" s="71">
        <f>($AC87-$AB87)/2</f>
        <v>20</v>
      </c>
      <c r="Z87" s="71">
        <f>$AA87+$AB87</f>
        <v>20</v>
      </c>
      <c r="AA87" s="72">
        <f>($AG87-$AB87)/2</f>
        <v>20</v>
      </c>
      <c r="AB87" s="128">
        <v>0</v>
      </c>
      <c r="AC87" s="128">
        <v>40</v>
      </c>
      <c r="AD87" s="128"/>
      <c r="AE87" s="71">
        <f>IF($AD87="No",0,IF($AJ87="overworld",IF($X87&lt;64,64+($X87*3),0),0))</f>
        <v>124</v>
      </c>
      <c r="AF87" s="71">
        <f>IF($AD87="No",0,IF($AJ87="Overworld",IF($X87&lt;64,($Y87*3),0),0))</f>
        <v>60</v>
      </c>
      <c r="AG87" s="32">
        <f>IF($AC87&gt;64,64+(($AC87-64)*2.9),$AC87)</f>
        <v>40</v>
      </c>
      <c r="AH87" s="41" t="s">
        <v>338</v>
      </c>
      <c r="AI87" s="42"/>
      <c r="AJ87" s="131" t="s">
        <v>53</v>
      </c>
      <c r="AK87" s="20" t="str">
        <f>IF($X87&gt;64,"uniform",IF($AJ87="Overworld","normal","uniform"))</f>
        <v>normal</v>
      </c>
      <c r="AL87" s="109" t="s">
        <v>339</v>
      </c>
      <c r="AM87" s="110" t="s">
        <v>64</v>
      </c>
      <c r="AN87" s="117"/>
      <c r="AO87" s="118" t="s">
        <v>56</v>
      </c>
      <c r="AP87" s="46"/>
    </row>
    <row r="88" spans="1:42" s="7" customFormat="1" ht="13.5">
      <c r="A88" s="31" t="s">
        <v>335</v>
      </c>
      <c r="B88" s="18"/>
      <c r="C88" s="105" t="s">
        <v>340</v>
      </c>
      <c r="D88" s="97" t="s">
        <v>59</v>
      </c>
      <c r="E88" s="98" t="s">
        <v>60</v>
      </c>
      <c r="F88" s="99" t="s">
        <v>61</v>
      </c>
      <c r="G88" s="37">
        <f>$H88*$I88/2</f>
        <v>30</v>
      </c>
      <c r="H88" s="123">
        <v>3</v>
      </c>
      <c r="I88" s="124">
        <v>20</v>
      </c>
      <c r="J88" s="146">
        <f>$H88/2</f>
        <v>1.5</v>
      </c>
      <c r="K88" s="147">
        <f>$I88/2</f>
        <v>10</v>
      </c>
      <c r="L88" s="77">
        <f>$G88/VLOOKUP($E88,Ore_Density[],2,FALSE)/Vanilla_COG_Divisor</f>
        <v>11.256664451905428</v>
      </c>
      <c r="M88" s="82" t="str">
        <f>IF(OR($E88="Layered Veins",$E88="Small Deposits",$E88="Geode"),"Motherlode",IF(OR($E88="Pipe Veins",$E88="Sparse Veins",$E88="Vertical Veins"),"No","ERROR"))</f>
        <v>No</v>
      </c>
      <c r="N88" s="86">
        <v>1</v>
      </c>
      <c r="O88" s="86">
        <v>1</v>
      </c>
      <c r="P88" s="82" t="str">
        <f>IF(OR($E88="Layered Veins",$E88="Pipe Veins",$E88="Sparse Veins"),"Branches",IF($E88="Vertical Veins","Vertical","none"))</f>
        <v>Branches</v>
      </c>
      <c r="Q88" s="152">
        <f>SQRT($L88)*$N88</f>
        <v>3.3550952969931314</v>
      </c>
      <c r="R88" s="152" t="str">
        <f>IF($M88="Motherlode",(($O88*SQRT($L88))^(1/2))^(1/3),"none")</f>
        <v>none</v>
      </c>
      <c r="S88" s="152">
        <f>IF($P88="Branches",SQRT($L88)^(1/2),IF($P88="Vertical","default",$P88))</f>
        <v>1.8316919219653538</v>
      </c>
      <c r="T88" s="153">
        <f>IF($P88="Branches",SQRT(SQRT($L88))^(1/2),IF($P88="Vertical",SQRT($L88)^(1/2),"none"))</f>
        <v>1.3534001337244481</v>
      </c>
      <c r="U88" s="77">
        <f>$G88/VLOOKUP($F88,Ore_Density[],2,FALSE)/Vanilla_COG_Divisor</f>
        <v>2.4489795918367347</v>
      </c>
      <c r="V88" s="158">
        <f>SQRT($U88)</f>
        <v>1.5649215928719031</v>
      </c>
      <c r="W88" s="147">
        <f>SQRT(SQRT($U88))</f>
        <v>1.2509682621361355</v>
      </c>
      <c r="X88" s="70">
        <f>$Y88+$AB88</f>
        <v>30</v>
      </c>
      <c r="Y88" s="71">
        <f>($AC88-$AB88)/2</f>
        <v>30</v>
      </c>
      <c r="Z88" s="71">
        <f>$AA88+$AB88</f>
        <v>30</v>
      </c>
      <c r="AA88" s="72">
        <f>($AG88-$AB88)/2</f>
        <v>30</v>
      </c>
      <c r="AB88" s="128">
        <v>0</v>
      </c>
      <c r="AC88" s="128">
        <v>60</v>
      </c>
      <c r="AD88" s="128"/>
      <c r="AE88" s="71">
        <f>IF($AD88="No",0,IF($AJ88="overworld",IF($X88&lt;64,64+($X88*3),0),0))</f>
        <v>154</v>
      </c>
      <c r="AF88" s="71">
        <f>IF($AD88="No",0,IF($AJ88="Overworld",IF($X88&lt;64,($Y88*3),0),0))</f>
        <v>90</v>
      </c>
      <c r="AG88" s="32">
        <f>IF($AC88&gt;64,64+(($AC88-64)*2.9),$AC88)</f>
        <v>60</v>
      </c>
      <c r="AH88" s="41" t="s">
        <v>341</v>
      </c>
      <c r="AI88" s="42"/>
      <c r="AJ88" s="131" t="s">
        <v>53</v>
      </c>
      <c r="AK88" s="20" t="str">
        <f>IF($X88&gt;64,"uniform",IF($AJ88="Overworld","normal","uniform"))</f>
        <v>normal</v>
      </c>
      <c r="AL88" s="109" t="s">
        <v>342</v>
      </c>
      <c r="AM88" s="110" t="s">
        <v>64</v>
      </c>
      <c r="AN88" s="117"/>
      <c r="AO88" s="118" t="s">
        <v>56</v>
      </c>
      <c r="AP88" s="46"/>
    </row>
    <row r="89" spans="1:42" s="7" customFormat="1" ht="13.5">
      <c r="A89" s="31" t="s">
        <v>345</v>
      </c>
      <c r="B89" s="18"/>
      <c r="C89" s="105" t="s">
        <v>176</v>
      </c>
      <c r="D89" s="97" t="s">
        <v>59</v>
      </c>
      <c r="E89" s="98" t="s">
        <v>66</v>
      </c>
      <c r="F89" s="99" t="s">
        <v>61</v>
      </c>
      <c r="G89" s="37">
        <f>$H89*$I89/2</f>
        <v>40</v>
      </c>
      <c r="H89" s="123">
        <v>8</v>
      </c>
      <c r="I89" s="124">
        <v>10</v>
      </c>
      <c r="J89" s="146">
        <f>$H89/2</f>
        <v>4</v>
      </c>
      <c r="K89" s="147">
        <f>$I89/2</f>
        <v>5</v>
      </c>
      <c r="L89" s="77">
        <f>$G89/VLOOKUP($E89,Ore_Density[],2,FALSE)/Vanilla_COG_Divisor</f>
        <v>2.5048923679060664</v>
      </c>
      <c r="M89" s="82" t="str">
        <f>IF(OR($E89="Layered Veins",$E89="Small Deposits",$E89="Geode"),"Motherlode",IF(OR($E89="Pipe Veins",$E89="Sparse Veins",$E89="Vertical Veins"),"No","ERROR"))</f>
        <v>Motherlode</v>
      </c>
      <c r="N89" s="86">
        <v>1</v>
      </c>
      <c r="O89" s="86">
        <v>1</v>
      </c>
      <c r="P89" s="82" t="str">
        <f>IF(OR($E89="Layered Veins",$E89="Pipe Veins",$E89="Sparse Veins"),"Branches",IF($E89="Vertical Veins","Vertical","none"))</f>
        <v>Branches</v>
      </c>
      <c r="Q89" s="152">
        <f>SQRT($L89)*$N89</f>
        <v>1.5826851764978613</v>
      </c>
      <c r="R89" s="152">
        <f>IF($M89="Motherlode",(($O89*SQRT($L89))^(1/2))^(1/3),"none")</f>
        <v>1.0795242993720435</v>
      </c>
      <c r="S89" s="152">
        <f>IF($P89="Branches",SQRT($L89)^(1/2),IF($P89="Vertical","default",$P89))</f>
        <v>1.2580481614381309</v>
      </c>
      <c r="T89" s="153">
        <f>IF($P89="Branches",SQRT(SQRT($L89))^(1/2),IF($P89="Vertical",SQRT($L89)^(1/2),"none"))</f>
        <v>1.1216274610752586</v>
      </c>
      <c r="U89" s="77">
        <f>$G89/VLOOKUP($F89,Ore_Density[],2,FALSE)/Vanilla_COG_Divisor</f>
        <v>3.2653061224489797</v>
      </c>
      <c r="V89" s="158">
        <f>SQRT($U89)</f>
        <v>1.8070158058105026</v>
      </c>
      <c r="W89" s="147">
        <f>SQRT(SQRT($U89))</f>
        <v>1.3442528801570419</v>
      </c>
      <c r="X89" s="70">
        <f>$Y89+$AB89</f>
        <v>55</v>
      </c>
      <c r="Y89" s="71">
        <f>($AC89-$AB89)/2</f>
        <v>25</v>
      </c>
      <c r="Z89" s="71">
        <f>$AA89+$AB89</f>
        <v>70.2</v>
      </c>
      <c r="AA89" s="72">
        <f>($AG89-$AB89)/2</f>
        <v>40.200000000000003</v>
      </c>
      <c r="AB89" s="128">
        <v>30</v>
      </c>
      <c r="AC89" s="128">
        <v>80</v>
      </c>
      <c r="AD89" s="128"/>
      <c r="AE89" s="71">
        <f>IF($AD89="No",0,IF($AJ89="overworld",IF($X89&lt;64,64+($X89*3),0),0))</f>
        <v>229</v>
      </c>
      <c r="AF89" s="71">
        <f>IF($AD89="No",0,IF($AJ89="Overworld",IF($X89&lt;64,($Y89*3),0),0))</f>
        <v>75</v>
      </c>
      <c r="AG89" s="32">
        <f>IF($AC89&gt;64,64+(($AC89-64)*2.9),$AC89)</f>
        <v>110.4</v>
      </c>
      <c r="AH89" s="41" t="s">
        <v>346</v>
      </c>
      <c r="AI89" s="42"/>
      <c r="AJ89" s="131" t="s">
        <v>53</v>
      </c>
      <c r="AK89" s="20" t="str">
        <f>IF($X89&gt;64,"uniform",IF($AJ89="Overworld","normal","uniform"))</f>
        <v>normal</v>
      </c>
      <c r="AL89" s="109" t="s">
        <v>347</v>
      </c>
      <c r="AM89" s="110" t="s">
        <v>64</v>
      </c>
      <c r="AN89" s="117"/>
      <c r="AO89" s="118" t="s">
        <v>56</v>
      </c>
      <c r="AP89" s="46"/>
    </row>
    <row r="90" spans="1:42" s="7" customFormat="1" ht="13.5">
      <c r="A90" s="31" t="s">
        <v>345</v>
      </c>
      <c r="B90" s="18"/>
      <c r="C90" s="105" t="s">
        <v>166</v>
      </c>
      <c r="D90" s="97" t="s">
        <v>49</v>
      </c>
      <c r="E90" s="98" t="s">
        <v>66</v>
      </c>
      <c r="F90" s="99" t="s">
        <v>51</v>
      </c>
      <c r="G90" s="37">
        <f>$H90*$I90/2</f>
        <v>125</v>
      </c>
      <c r="H90" s="123">
        <v>50</v>
      </c>
      <c r="I90" s="124">
        <v>5</v>
      </c>
      <c r="J90" s="146">
        <f>$H90/2</f>
        <v>25</v>
      </c>
      <c r="K90" s="147">
        <f>$I90/2</f>
        <v>2.5</v>
      </c>
      <c r="L90" s="77">
        <f>$G90/VLOOKUP($E90,Ore_Density[],2,FALSE)/Vanilla_COG_Divisor</f>
        <v>7.8277886497064575</v>
      </c>
      <c r="M90" s="82" t="str">
        <f>IF(OR($E90="Layered Veins",$E90="Small Deposits",$E90="Geode"),"Motherlode",IF(OR($E90="Pipe Veins",$E90="Sparse Veins",$E90="Vertical Veins"),"No","ERROR"))</f>
        <v>Motherlode</v>
      </c>
      <c r="N90" s="86">
        <v>1</v>
      </c>
      <c r="O90" s="86">
        <v>1</v>
      </c>
      <c r="P90" s="82" t="str">
        <f>IF(OR($E90="Layered Veins",$E90="Pipe Veins",$E90="Sparse Veins"),"Branches",IF($E90="Vertical Veins","Vertical","none"))</f>
        <v>Branches</v>
      </c>
      <c r="Q90" s="152">
        <f>SQRT($L90)*$N90</f>
        <v>2.7978185519626639</v>
      </c>
      <c r="R90" s="152">
        <f>IF($M90="Motherlode",(($O90*SQRT($L90))^(1/2))^(1/3),"none")</f>
        <v>1.1870524925132131</v>
      </c>
      <c r="S90" s="152">
        <f>IF($P90="Branches",SQRT($L90)^(1/2),IF($P90="Vertical","default",$P90))</f>
        <v>1.6726680937838996</v>
      </c>
      <c r="T90" s="153">
        <f>IF($P90="Branches",SQRT(SQRT($L90))^(1/2),IF($P90="Vertical",SQRT($L90)^(1/2),"none"))</f>
        <v>1.2933167028164059</v>
      </c>
      <c r="U90" s="77">
        <f>$G90/VLOOKUP($F90,Ore_Density[],2,FALSE)/Vanilla_COG_Divisor</f>
        <v>3.4877232142857144</v>
      </c>
      <c r="V90" s="158">
        <f>SQRT($U90)</f>
        <v>1.86754470208499</v>
      </c>
      <c r="W90" s="147">
        <f>SQRT(SQRT($U90))</f>
        <v>1.3665813924113668</v>
      </c>
      <c r="X90" s="70">
        <f>$Y90+$AB90</f>
        <v>40</v>
      </c>
      <c r="Y90" s="71">
        <f>($AC90-$AB90)/2</f>
        <v>24</v>
      </c>
      <c r="Z90" s="71">
        <f>$AA90+$AB90</f>
        <v>40</v>
      </c>
      <c r="AA90" s="72">
        <f>($AG90-$AB90)/2</f>
        <v>24</v>
      </c>
      <c r="AB90" s="128">
        <v>16</v>
      </c>
      <c r="AC90" s="128">
        <v>64</v>
      </c>
      <c r="AD90" s="128"/>
      <c r="AE90" s="71">
        <f>IF($AD90="No",0,IF($AJ90="overworld",IF($X90&lt;64,64+($X90*3),0),0))</f>
        <v>184</v>
      </c>
      <c r="AF90" s="71">
        <f>IF($AD90="No",0,IF($AJ90="Overworld",IF($X90&lt;64,($Y90*3),0),0))</f>
        <v>72</v>
      </c>
      <c r="AG90" s="32">
        <f>IF($AC90&gt;64,64+(($AC90-64)*2.9),$AC90)</f>
        <v>64</v>
      </c>
      <c r="AH90" s="41" t="s">
        <v>364</v>
      </c>
      <c r="AI90" s="42"/>
      <c r="AJ90" s="131" t="s">
        <v>53</v>
      </c>
      <c r="AK90" s="20" t="str">
        <f>IF($X90&gt;64,"uniform",IF($AJ90="Overworld","normal","uniform"))</f>
        <v>normal</v>
      </c>
      <c r="AL90" s="109" t="s">
        <v>365</v>
      </c>
      <c r="AM90" s="110" t="s">
        <v>64</v>
      </c>
      <c r="AN90" s="117"/>
      <c r="AO90" s="118" t="s">
        <v>56</v>
      </c>
      <c r="AP90" s="46"/>
    </row>
    <row r="91" spans="1:42" s="7" customFormat="1" ht="13.5">
      <c r="A91" s="31" t="s">
        <v>345</v>
      </c>
      <c r="B91" s="18"/>
      <c r="C91" s="105" t="s">
        <v>320</v>
      </c>
      <c r="D91" s="97" t="s">
        <v>59</v>
      </c>
      <c r="E91" s="98" t="s">
        <v>60</v>
      </c>
      <c r="F91" s="99" t="s">
        <v>61</v>
      </c>
      <c r="G91" s="37">
        <f>$H91*$I91/2</f>
        <v>24</v>
      </c>
      <c r="H91" s="123">
        <v>6</v>
      </c>
      <c r="I91" s="124">
        <v>8</v>
      </c>
      <c r="J91" s="146">
        <f>$H91/2</f>
        <v>3</v>
      </c>
      <c r="K91" s="147">
        <f>$I91/2</f>
        <v>4</v>
      </c>
      <c r="L91" s="77">
        <f>$G91/VLOOKUP($E91,Ore_Density[],2,FALSE)/Vanilla_COG_Divisor</f>
        <v>9.0053315615243417</v>
      </c>
      <c r="M91" s="82" t="str">
        <f>IF(OR($E91="Layered Veins",$E91="Small Deposits",$E91="Geode"),"Motherlode",IF(OR($E91="Pipe Veins",$E91="Sparse Veins",$E91="Vertical Veins"),"No","ERROR"))</f>
        <v>No</v>
      </c>
      <c r="N91" s="86">
        <v>1</v>
      </c>
      <c r="O91" s="86">
        <v>1</v>
      </c>
      <c r="P91" s="82" t="str">
        <f>IF(OR($E91="Layered Veins",$E91="Pipe Veins",$E91="Sparse Veins"),"Branches",IF($E91="Vertical Veins","Vertical","none"))</f>
        <v>Branches</v>
      </c>
      <c r="Q91" s="152">
        <f>SQRT($L91)*$N91</f>
        <v>3.000888462026595</v>
      </c>
      <c r="R91" s="152" t="str">
        <f>IF($M91="Motherlode",(($O91*SQRT($L91))^(1/2))^(1/3),"none")</f>
        <v>none</v>
      </c>
      <c r="S91" s="152">
        <f>IF($P91="Branches",SQRT($L91)^(1/2),IF($P91="Vertical","default",$P91))</f>
        <v>1.7323072654776333</v>
      </c>
      <c r="T91" s="153">
        <f>IF($P91="Branches",SQRT(SQRT($L91))^(1/2),IF($P91="Vertical",SQRT($L91)^(1/2),"none"))</f>
        <v>1.3161714422816024</v>
      </c>
      <c r="U91" s="77">
        <f>$G91/VLOOKUP($F91,Ore_Density[],2,FALSE)/Vanilla_COG_Divisor</f>
        <v>1.9591836734693877</v>
      </c>
      <c r="V91" s="158">
        <f>SQRT($U91)</f>
        <v>1.3997084244475304</v>
      </c>
      <c r="W91" s="147">
        <f>SQRT(SQRT($U91))</f>
        <v>1.1830927370445354</v>
      </c>
      <c r="X91" s="70">
        <f>$Y91+$AB91</f>
        <v>40</v>
      </c>
      <c r="Y91" s="71">
        <f>($AC91-$AB91)/2</f>
        <v>40</v>
      </c>
      <c r="Z91" s="71">
        <f>$AA91+$AB91</f>
        <v>55.2</v>
      </c>
      <c r="AA91" s="72">
        <f>($AG91-$AB91)/2</f>
        <v>55.2</v>
      </c>
      <c r="AB91" s="128">
        <v>0</v>
      </c>
      <c r="AC91" s="128">
        <v>80</v>
      </c>
      <c r="AD91" s="128"/>
      <c r="AE91" s="71">
        <f>IF($AD91="No",0,IF($AJ91="overworld",IF($X91&lt;64,64+($X91*3),0),0))</f>
        <v>184</v>
      </c>
      <c r="AF91" s="71">
        <f>IF($AD91="No",0,IF($AJ91="Overworld",IF($X91&lt;64,($Y91*3),0),0))</f>
        <v>120</v>
      </c>
      <c r="AG91" s="32">
        <f>IF($AC91&gt;64,64+(($AC91-64)*2.9),$AC91)</f>
        <v>110.4</v>
      </c>
      <c r="AH91" s="41" t="s">
        <v>360</v>
      </c>
      <c r="AI91" s="42"/>
      <c r="AJ91" s="131" t="s">
        <v>53</v>
      </c>
      <c r="AK91" s="20" t="str">
        <f>IF($X91&gt;64,"uniform",IF($AJ91="Overworld","normal","uniform"))</f>
        <v>normal</v>
      </c>
      <c r="AL91" s="109" t="s">
        <v>361</v>
      </c>
      <c r="AM91" s="110" t="s">
        <v>64</v>
      </c>
      <c r="AN91" s="117"/>
      <c r="AO91" s="118" t="s">
        <v>56</v>
      </c>
      <c r="AP91" s="46"/>
    </row>
    <row r="92" spans="1:42" s="7" customFormat="1" ht="13.5">
      <c r="A92" s="31" t="s">
        <v>345</v>
      </c>
      <c r="B92" s="18"/>
      <c r="C92" s="105" t="s">
        <v>351</v>
      </c>
      <c r="D92" s="97" t="s">
        <v>59</v>
      </c>
      <c r="E92" s="98" t="s">
        <v>79</v>
      </c>
      <c r="F92" s="99" t="s">
        <v>61</v>
      </c>
      <c r="G92" s="37">
        <f>$H92*$I92/2</f>
        <v>12</v>
      </c>
      <c r="H92" s="123">
        <v>8</v>
      </c>
      <c r="I92" s="124">
        <v>3</v>
      </c>
      <c r="J92" s="146">
        <f>$H92/2</f>
        <v>4</v>
      </c>
      <c r="K92" s="147">
        <f>$I92/2</f>
        <v>1.5</v>
      </c>
      <c r="L92" s="77">
        <f>$G92/VLOOKUP($E92,Ore_Density[],2,FALSE)/Vanilla_COG_Divisor</f>
        <v>1.7492682810780253</v>
      </c>
      <c r="M92" s="82" t="str">
        <f>IF(OR($E92="Layered Veins",$E92="Small Deposits",$E92="Geode"),"Motherlode",IF(OR($E92="Pipe Veins",$E92="Sparse Veins",$E92="Vertical Veins"),"No","ERROR"))</f>
        <v>No</v>
      </c>
      <c r="N92" s="86">
        <v>1</v>
      </c>
      <c r="O92" s="86">
        <v>1</v>
      </c>
      <c r="P92" s="82" t="str">
        <f>IF(OR($E92="Layered Veins",$E92="Pipe Veins",$E92="Sparse Veins"),"Branches",IF($E92="Vertical Veins","Vertical","none"))</f>
        <v>Branches</v>
      </c>
      <c r="Q92" s="152">
        <f>SQRT($L92)*$N92</f>
        <v>1.3225990628599529</v>
      </c>
      <c r="R92" s="152" t="str">
        <f>IF($M92="Motherlode",(($O92*SQRT($L92))^(1/2))^(1/3),"none")</f>
        <v>none</v>
      </c>
      <c r="S92" s="152">
        <f>IF($P92="Branches",SQRT($L92)^(1/2),IF($P92="Vertical","default",$P92))</f>
        <v>1.1500430700021425</v>
      </c>
      <c r="T92" s="153">
        <f>IF($P92="Branches",SQRT(SQRT($L92))^(1/2),IF($P92="Vertical",SQRT($L92)^(1/2),"none"))</f>
        <v>1.0724006107803847</v>
      </c>
      <c r="U92" s="77">
        <f>$G92/VLOOKUP($F92,Ore_Density[],2,FALSE)/Vanilla_COG_Divisor</f>
        <v>0.97959183673469385</v>
      </c>
      <c r="V92" s="158">
        <f>SQRT($U92)</f>
        <v>0.98974331861078702</v>
      </c>
      <c r="W92" s="147">
        <f>SQRT(SQRT($U92))</f>
        <v>0.99485844149345537</v>
      </c>
      <c r="X92" s="70">
        <f>$Y92+$AB92</f>
        <v>6</v>
      </c>
      <c r="Y92" s="71">
        <f>($AC92-$AB92)/2</f>
        <v>6</v>
      </c>
      <c r="Z92" s="71">
        <f>$AA92+$AB92</f>
        <v>6</v>
      </c>
      <c r="AA92" s="72">
        <f>($AG92-$AB92)/2</f>
        <v>6</v>
      </c>
      <c r="AB92" s="128">
        <v>0</v>
      </c>
      <c r="AC92" s="128">
        <v>12</v>
      </c>
      <c r="AD92" s="128" t="s">
        <v>790</v>
      </c>
      <c r="AE92" s="71">
        <f>IF($AD92="No",0,IF($AJ92="overworld",IF($X92&lt;64,64+($X92*3),0),0))</f>
        <v>0</v>
      </c>
      <c r="AF92" s="71">
        <f>IF($AD92="No",0,IF($AJ92="Overworld",IF($X92&lt;64,($Y92*3),0),0))</f>
        <v>0</v>
      </c>
      <c r="AG92" s="32">
        <f>IF($AC92&gt;64,64+(($AC92-64)*2.9),$AC92)</f>
        <v>12</v>
      </c>
      <c r="AH92" s="41" t="s">
        <v>352</v>
      </c>
      <c r="AI92" s="42" t="s">
        <v>353</v>
      </c>
      <c r="AJ92" s="131" t="s">
        <v>53</v>
      </c>
      <c r="AK92" s="20" t="str">
        <f>IF($X92&gt;64,"uniform",IF($AJ92="Overworld","normal","uniform"))</f>
        <v>normal</v>
      </c>
      <c r="AL92" s="109" t="s">
        <v>354</v>
      </c>
      <c r="AM92" s="110" t="s">
        <v>64</v>
      </c>
      <c r="AN92" s="117" t="s">
        <v>83</v>
      </c>
      <c r="AO92" s="118" t="s">
        <v>84</v>
      </c>
      <c r="AP92" s="46"/>
    </row>
    <row r="93" spans="1:42" s="7" customFormat="1" ht="13.5">
      <c r="A93" s="31" t="s">
        <v>345</v>
      </c>
      <c r="B93" s="18"/>
      <c r="C93" s="105" t="s">
        <v>357</v>
      </c>
      <c r="D93" s="97" t="s">
        <v>59</v>
      </c>
      <c r="E93" s="98" t="s">
        <v>50</v>
      </c>
      <c r="F93" s="99" t="s">
        <v>61</v>
      </c>
      <c r="G93" s="37">
        <f>$H93*$I93/2</f>
        <v>15</v>
      </c>
      <c r="H93" s="123">
        <v>6</v>
      </c>
      <c r="I93" s="124">
        <v>5</v>
      </c>
      <c r="J93" s="146">
        <f>$H93/2</f>
        <v>3</v>
      </c>
      <c r="K93" s="147">
        <f>$I93/2</f>
        <v>2.5</v>
      </c>
      <c r="L93" s="77">
        <f>$G93/VLOOKUP($E93,Ore_Density[],2,FALSE)/Vanilla_COG_Divisor</f>
        <v>1.469723691945914</v>
      </c>
      <c r="M93" s="82" t="str">
        <f>IF(OR($E93="Layered Veins",$E93="Small Deposits",$E93="Geode"),"Motherlode",IF(OR($E93="Pipe Veins",$E93="Sparse Veins",$E93="Vertical Veins"),"No","ERROR"))</f>
        <v>Motherlode</v>
      </c>
      <c r="N93" s="86">
        <v>1</v>
      </c>
      <c r="O93" s="86">
        <v>1</v>
      </c>
      <c r="P93" s="82" t="str">
        <f>IF(OR($E93="Layered Veins",$E93="Pipe Veins",$E93="Sparse Veins"),"Branches",IF($E93="Vertical Veins","Vertical","none"))</f>
        <v>none</v>
      </c>
      <c r="Q93" s="152">
        <f>SQRT($L93)*$N93</f>
        <v>1.2123216124221798</v>
      </c>
      <c r="R93" s="152">
        <f>IF($M93="Motherlode",(($O93*SQRT($L93))^(1/2))^(1/3),"none")</f>
        <v>1.0326099557661947</v>
      </c>
      <c r="S93" s="152" t="str">
        <f>IF($P93="Branches",SQRT($L93)^(1/2),IF($P93="Vertical","default",$P93))</f>
        <v>none</v>
      </c>
      <c r="T93" s="153" t="str">
        <f>IF($P93="Branches",SQRT(SQRT($L93))^(1/2),IF($P93="Vertical",SQRT($L93)^(1/2),"none"))</f>
        <v>none</v>
      </c>
      <c r="U93" s="77">
        <f>$G93/VLOOKUP($F93,Ore_Density[],2,FALSE)/Vanilla_COG_Divisor</f>
        <v>1.2244897959183674</v>
      </c>
      <c r="V93" s="158">
        <f>SQRT($U93)</f>
        <v>1.1065666703449764</v>
      </c>
      <c r="W93" s="147">
        <f>SQRT(SQRT($U93))</f>
        <v>1.0519347272264454</v>
      </c>
      <c r="X93" s="70">
        <f>$Y93+$AB93</f>
        <v>10</v>
      </c>
      <c r="Y93" s="71">
        <f>($AC93-$AB93)/2</f>
        <v>10</v>
      </c>
      <c r="Z93" s="71">
        <f>$AA93+$AB93</f>
        <v>10</v>
      </c>
      <c r="AA93" s="72">
        <f>($AG93-$AB93)/2</f>
        <v>10</v>
      </c>
      <c r="AB93" s="128">
        <v>0</v>
      </c>
      <c r="AC93" s="128">
        <v>20</v>
      </c>
      <c r="AD93" s="128"/>
      <c r="AE93" s="71">
        <f>IF($AD93="No",0,IF($AJ93="overworld",IF($X93&lt;64,64+($X93*3),0),0))</f>
        <v>94</v>
      </c>
      <c r="AF93" s="71">
        <f>IF($AD93="No",0,IF($AJ93="Overworld",IF($X93&lt;64,($Y93*3),0),0))</f>
        <v>30</v>
      </c>
      <c r="AG93" s="32">
        <f>IF($AC93&gt;64,64+(($AC93-64)*2.9),$AC93)</f>
        <v>20</v>
      </c>
      <c r="AH93" s="41" t="s">
        <v>358</v>
      </c>
      <c r="AI93" s="42"/>
      <c r="AJ93" s="131" t="s">
        <v>53</v>
      </c>
      <c r="AK93" s="20" t="str">
        <f>IF($X93&gt;64,"uniform",IF($AJ93="Overworld","normal","uniform"))</f>
        <v>normal</v>
      </c>
      <c r="AL93" s="109" t="s">
        <v>359</v>
      </c>
      <c r="AM93" s="110" t="s">
        <v>64</v>
      </c>
      <c r="AN93" s="117"/>
      <c r="AO93" s="118" t="s">
        <v>56</v>
      </c>
      <c r="AP93" s="46"/>
    </row>
    <row r="94" spans="1:42" s="7" customFormat="1" ht="13.5">
      <c r="A94" s="31" t="s">
        <v>345</v>
      </c>
      <c r="B94" s="18"/>
      <c r="C94" s="105" t="s">
        <v>348</v>
      </c>
      <c r="D94" s="97" t="s">
        <v>59</v>
      </c>
      <c r="E94" s="98" t="s">
        <v>60</v>
      </c>
      <c r="F94" s="99" t="s">
        <v>61</v>
      </c>
      <c r="G94" s="37">
        <f>$H94*$I94/2</f>
        <v>6</v>
      </c>
      <c r="H94" s="123">
        <v>6</v>
      </c>
      <c r="I94" s="124">
        <v>2</v>
      </c>
      <c r="J94" s="146">
        <f>$H94/2</f>
        <v>3</v>
      </c>
      <c r="K94" s="147">
        <f>$I94/2</f>
        <v>1</v>
      </c>
      <c r="L94" s="77">
        <f>$G94/VLOOKUP($E94,Ore_Density[],2,FALSE)/Vanilla_COG_Divisor</f>
        <v>2.2513328903810854</v>
      </c>
      <c r="M94" s="82" t="str">
        <f>IF(OR($E94="Layered Veins",$E94="Small Deposits",$E94="Geode"),"Motherlode",IF(OR($E94="Pipe Veins",$E94="Sparse Veins",$E94="Vertical Veins"),"No","ERROR"))</f>
        <v>No</v>
      </c>
      <c r="N94" s="86">
        <v>1</v>
      </c>
      <c r="O94" s="86">
        <v>1</v>
      </c>
      <c r="P94" s="82" t="str">
        <f>IF(OR($E94="Layered Veins",$E94="Pipe Veins",$E94="Sparse Veins"),"Branches",IF($E94="Vertical Veins","Vertical","none"))</f>
        <v>Branches</v>
      </c>
      <c r="Q94" s="152">
        <f>SQRT($L94)*$N94</f>
        <v>1.5004442310132975</v>
      </c>
      <c r="R94" s="152" t="str">
        <f>IF($M94="Motherlode",(($O94*SQRT($L94))^(1/2))^(1/3),"none")</f>
        <v>none</v>
      </c>
      <c r="S94" s="152">
        <f>IF($P94="Branches",SQRT($L94)^(1/2),IF($P94="Vertical","default",$P94))</f>
        <v>1.2249262145179591</v>
      </c>
      <c r="T94" s="153">
        <f>IF($P94="Branches",SQRT(SQRT($L94))^(1/2),IF($P94="Vertical",SQRT($L94)^(1/2),"none"))</f>
        <v>1.1067638476739106</v>
      </c>
      <c r="U94" s="77">
        <f>$G94/VLOOKUP($F94,Ore_Density[],2,FALSE)/Vanilla_COG_Divisor</f>
        <v>0.48979591836734693</v>
      </c>
      <c r="V94" s="158">
        <f>SQRT($U94)</f>
        <v>0.6998542122237652</v>
      </c>
      <c r="W94" s="147">
        <f>SQRT(SQRT($U94))</f>
        <v>0.83657289713674399</v>
      </c>
      <c r="X94" s="70">
        <f>$Y94+$AB94</f>
        <v>5</v>
      </c>
      <c r="Y94" s="71">
        <f>($AC94-$AB94)/2</f>
        <v>5</v>
      </c>
      <c r="Z94" s="71">
        <f>$AA94+$AB94</f>
        <v>5</v>
      </c>
      <c r="AA94" s="72">
        <f>($AG94-$AB94)/2</f>
        <v>5</v>
      </c>
      <c r="AB94" s="128">
        <v>0</v>
      </c>
      <c r="AC94" s="128">
        <v>10</v>
      </c>
      <c r="AD94" s="128"/>
      <c r="AE94" s="71">
        <f>IF($AD94="No",0,IF($AJ94="overworld",IF($X94&lt;64,64+($X94*3),0),0))</f>
        <v>79</v>
      </c>
      <c r="AF94" s="71">
        <f>IF($AD94="No",0,IF($AJ94="Overworld",IF($X94&lt;64,($Y94*3),0),0))</f>
        <v>15</v>
      </c>
      <c r="AG94" s="32">
        <f>IF($AC94&gt;64,64+(($AC94-64)*2.9),$AC94)</f>
        <v>10</v>
      </c>
      <c r="AH94" s="41" t="s">
        <v>349</v>
      </c>
      <c r="AI94" s="42"/>
      <c r="AJ94" s="131" t="s">
        <v>53</v>
      </c>
      <c r="AK94" s="20" t="str">
        <f>IF($X94&gt;64,"uniform",IF($AJ94="Overworld","normal","uniform"))</f>
        <v>normal</v>
      </c>
      <c r="AL94" s="109" t="s">
        <v>350</v>
      </c>
      <c r="AM94" s="110" t="s">
        <v>64</v>
      </c>
      <c r="AN94" s="117"/>
      <c r="AO94" s="118" t="s">
        <v>56</v>
      </c>
      <c r="AP94" s="46"/>
    </row>
    <row r="95" spans="1:42" s="7" customFormat="1" ht="13.5">
      <c r="A95" s="31" t="s">
        <v>345</v>
      </c>
      <c r="B95" s="18"/>
      <c r="C95" s="105" t="s">
        <v>340</v>
      </c>
      <c r="D95" s="97" t="s">
        <v>59</v>
      </c>
      <c r="E95" s="98" t="s">
        <v>60</v>
      </c>
      <c r="F95" s="99" t="s">
        <v>61</v>
      </c>
      <c r="G95" s="37">
        <f>$H95*$I95/2</f>
        <v>4.5</v>
      </c>
      <c r="H95" s="123">
        <v>3</v>
      </c>
      <c r="I95" s="124">
        <v>3</v>
      </c>
      <c r="J95" s="146">
        <f>$H95/2</f>
        <v>1.5</v>
      </c>
      <c r="K95" s="147">
        <f>$I95/2</f>
        <v>1.5</v>
      </c>
      <c r="L95" s="77">
        <f>$G95/VLOOKUP($E95,Ore_Density[],2,FALSE)/Vanilla_COG_Divisor</f>
        <v>1.6884996677858142</v>
      </c>
      <c r="M95" s="82" t="str">
        <f>IF(OR($E95="Layered Veins",$E95="Small Deposits",$E95="Geode"),"Motherlode",IF(OR($E95="Pipe Veins",$E95="Sparse Veins",$E95="Vertical Veins"),"No","ERROR"))</f>
        <v>No</v>
      </c>
      <c r="N95" s="86">
        <v>1</v>
      </c>
      <c r="O95" s="86">
        <v>1</v>
      </c>
      <c r="P95" s="82" t="str">
        <f>IF(OR($E95="Layered Veins",$E95="Pipe Veins",$E95="Sparse Veins"),"Branches",IF($E95="Vertical Veins","Vertical","none"))</f>
        <v>Branches</v>
      </c>
      <c r="Q95" s="152">
        <f>SQRT($L95)*$N95</f>
        <v>1.2994228210193224</v>
      </c>
      <c r="R95" s="152" t="str">
        <f>IF($M95="Motherlode",(($O95*SQRT($L95))^(1/2))^(1/3),"none")</f>
        <v>none</v>
      </c>
      <c r="S95" s="152">
        <f>IF($P95="Branches",SQRT($L95)^(1/2),IF($P95="Vertical","default",$P95))</f>
        <v>1.1399222872719537</v>
      </c>
      <c r="T95" s="153">
        <f>IF($P95="Branches",SQRT(SQRT($L95))^(1/2),IF($P95="Vertical",SQRT($L95)^(1/2),"none"))</f>
        <v>1.0676714322636687</v>
      </c>
      <c r="U95" s="77">
        <f>$G95/VLOOKUP($F95,Ore_Density[],2,FALSE)/Vanilla_COG_Divisor</f>
        <v>0.36734693877551022</v>
      </c>
      <c r="V95" s="158">
        <f>SQRT($U95)</f>
        <v>0.60609152673132649</v>
      </c>
      <c r="W95" s="147">
        <f>SQRT(SQRT($U95))</f>
        <v>0.7785188030685749</v>
      </c>
      <c r="X95" s="70">
        <f>$Y95+$AB95</f>
        <v>40</v>
      </c>
      <c r="Y95" s="71">
        <f>($AC95-$AB95)/2</f>
        <v>40</v>
      </c>
      <c r="Z95" s="71">
        <f>$AA95+$AB95</f>
        <v>55.2</v>
      </c>
      <c r="AA95" s="72">
        <f>($AG95-$AB95)/2</f>
        <v>55.2</v>
      </c>
      <c r="AB95" s="128">
        <v>0</v>
      </c>
      <c r="AC95" s="128">
        <v>80</v>
      </c>
      <c r="AD95" s="128"/>
      <c r="AE95" s="71">
        <f>IF($AD95="No",0,IF($AJ95="overworld",IF($X95&lt;64,64+($X95*3),0),0))</f>
        <v>184</v>
      </c>
      <c r="AF95" s="71">
        <f>IF($AD95="No",0,IF($AJ95="Overworld",IF($X95&lt;64,($Y95*3),0),0))</f>
        <v>120</v>
      </c>
      <c r="AG95" s="32">
        <f>IF($AC95&gt;64,64+(($AC95-64)*2.9),$AC95)</f>
        <v>110.4</v>
      </c>
      <c r="AH95" s="41" t="s">
        <v>355</v>
      </c>
      <c r="AI95" s="42"/>
      <c r="AJ95" s="131" t="s">
        <v>53</v>
      </c>
      <c r="AK95" s="20" t="str">
        <f>IF($X95&gt;64,"uniform",IF($AJ95="Overworld","normal","uniform"))</f>
        <v>normal</v>
      </c>
      <c r="AL95" s="109" t="s">
        <v>356</v>
      </c>
      <c r="AM95" s="110" t="s">
        <v>64</v>
      </c>
      <c r="AN95" s="117"/>
      <c r="AO95" s="118" t="s">
        <v>56</v>
      </c>
      <c r="AP95" s="46"/>
    </row>
    <row r="96" spans="1:42" s="7" customFormat="1" ht="13.5">
      <c r="A96" s="31" t="s">
        <v>345</v>
      </c>
      <c r="B96" s="18"/>
      <c r="C96" s="105" t="s">
        <v>240</v>
      </c>
      <c r="D96" s="97" t="s">
        <v>59</v>
      </c>
      <c r="E96" s="98" t="s">
        <v>66</v>
      </c>
      <c r="F96" s="99" t="s">
        <v>61</v>
      </c>
      <c r="G96" s="37">
        <f>$H96*$I96/2</f>
        <v>12</v>
      </c>
      <c r="H96" s="123">
        <v>6</v>
      </c>
      <c r="I96" s="124">
        <v>4</v>
      </c>
      <c r="J96" s="146">
        <f>$H96/2</f>
        <v>3</v>
      </c>
      <c r="K96" s="147">
        <f>$I96/2</f>
        <v>2</v>
      </c>
      <c r="L96" s="77">
        <f>$G96/VLOOKUP($E96,Ore_Density[],2,FALSE)/Vanilla_COG_Divisor</f>
        <v>0.75146771037181992</v>
      </c>
      <c r="M96" s="82" t="str">
        <f>IF(OR($E96="Layered Veins",$E96="Small Deposits",$E96="Geode"),"Motherlode",IF(OR($E96="Pipe Veins",$E96="Sparse Veins",$E96="Vertical Veins"),"No","ERROR"))</f>
        <v>Motherlode</v>
      </c>
      <c r="N96" s="86">
        <v>1</v>
      </c>
      <c r="O96" s="86">
        <v>1</v>
      </c>
      <c r="P96" s="82" t="str">
        <f>IF(OR($E96="Layered Veins",$E96="Pipe Veins",$E96="Sparse Veins"),"Branches",IF($E96="Vertical Veins","Vertical","none"))</f>
        <v>Branches</v>
      </c>
      <c r="Q96" s="152">
        <f>SQRT($L96)*$N96</f>
        <v>0.86687237259692385</v>
      </c>
      <c r="R96" s="152">
        <f>IF($M96="Motherlode",(($O96*SQRT($L96))^(1/2))^(1/3),"none")</f>
        <v>0.97647064899688185</v>
      </c>
      <c r="S96" s="152">
        <f>IF($P96="Branches",SQRT($L96)^(1/2),IF($P96="Vertical","default",$P96))</f>
        <v>0.93105981150349515</v>
      </c>
      <c r="T96" s="153">
        <f>IF($P96="Branches",SQRT(SQRT($L96))^(1/2),IF($P96="Vertical",SQRT($L96)^(1/2),"none"))</f>
        <v>0.96491440630943792</v>
      </c>
      <c r="U96" s="77">
        <f>$G96/VLOOKUP($F96,Ore_Density[],2,FALSE)/Vanilla_COG_Divisor</f>
        <v>0.97959183673469385</v>
      </c>
      <c r="V96" s="158">
        <f>SQRT($U96)</f>
        <v>0.98974331861078702</v>
      </c>
      <c r="W96" s="147">
        <f>SQRT(SQRT($U96))</f>
        <v>0.99485844149345537</v>
      </c>
      <c r="X96" s="70">
        <f>$Y96+$AB96</f>
        <v>40</v>
      </c>
      <c r="Y96" s="71">
        <f>($AC96-$AB96)/2</f>
        <v>40</v>
      </c>
      <c r="Z96" s="71">
        <f>$AA96+$AB96</f>
        <v>55.2</v>
      </c>
      <c r="AA96" s="72">
        <f>($AG96-$AB96)/2</f>
        <v>55.2</v>
      </c>
      <c r="AB96" s="128">
        <v>0</v>
      </c>
      <c r="AC96" s="128">
        <v>80</v>
      </c>
      <c r="AD96" s="128"/>
      <c r="AE96" s="71">
        <f>IF($AD96="No",0,IF($AJ96="overworld",IF($X96&lt;64,64+($X96*3),0),0))</f>
        <v>184</v>
      </c>
      <c r="AF96" s="71">
        <f>IF($AD96="No",0,IF($AJ96="Overworld",IF($X96&lt;64,($Y96*3),0),0))</f>
        <v>120</v>
      </c>
      <c r="AG96" s="32">
        <f>IF($AC96&gt;64,64+(($AC96-64)*2.9),$AC96)</f>
        <v>110.4</v>
      </c>
      <c r="AH96" s="41" t="s">
        <v>362</v>
      </c>
      <c r="AI96" s="42"/>
      <c r="AJ96" s="131" t="s">
        <v>53</v>
      </c>
      <c r="AK96" s="20" t="str">
        <f>IF($X96&gt;64,"uniform",IF($AJ96="Overworld","normal","uniform"))</f>
        <v>normal</v>
      </c>
      <c r="AL96" s="109" t="s">
        <v>363</v>
      </c>
      <c r="AM96" s="110" t="s">
        <v>64</v>
      </c>
      <c r="AN96" s="117"/>
      <c r="AO96" s="118" t="s">
        <v>56</v>
      </c>
      <c r="AP96" s="46"/>
    </row>
    <row r="97" spans="1:42" s="7" customFormat="1" ht="13.5">
      <c r="A97" s="31" t="s">
        <v>366</v>
      </c>
      <c r="B97" s="18"/>
      <c r="C97" s="105" t="s">
        <v>326</v>
      </c>
      <c r="D97" s="97" t="s">
        <v>59</v>
      </c>
      <c r="E97" s="98" t="s">
        <v>66</v>
      </c>
      <c r="F97" s="99" t="s">
        <v>61</v>
      </c>
      <c r="G97" s="37">
        <f>$H97*$I97/2</f>
        <v>64</v>
      </c>
      <c r="H97" s="123">
        <v>8</v>
      </c>
      <c r="I97" s="124">
        <v>16</v>
      </c>
      <c r="J97" s="146">
        <f>$H97/2</f>
        <v>4</v>
      </c>
      <c r="K97" s="147">
        <f>$I97/2</f>
        <v>8</v>
      </c>
      <c r="L97" s="77">
        <f>$G97/VLOOKUP($E97,Ore_Density[],2,FALSE)/Vanilla_COG_Divisor</f>
        <v>4.0078277886497062</v>
      </c>
      <c r="M97" s="82" t="str">
        <f>IF(OR($E97="Layered Veins",$E97="Small Deposits",$E97="Geode"),"Motherlode",IF(OR($E97="Pipe Veins",$E97="Sparse Veins",$E97="Vertical Veins"),"No","ERROR"))</f>
        <v>Motherlode</v>
      </c>
      <c r="N97" s="86">
        <v>1</v>
      </c>
      <c r="O97" s="86">
        <v>1</v>
      </c>
      <c r="P97" s="82" t="str">
        <f>IF(OR($E97="Layered Veins",$E97="Pipe Veins",$E97="Sparse Veins"),"Branches",IF($E97="Vertical Veins","Vertical","none"))</f>
        <v>Branches</v>
      </c>
      <c r="Q97" s="152">
        <f>SQRT($L97)*$N97</f>
        <v>2.0019559906875339</v>
      </c>
      <c r="R97" s="152">
        <f>IF($M97="Motherlode",(($O97*SQRT($L97))^(1/2))^(1/3),"none")</f>
        <v>1.1226449342406764</v>
      </c>
      <c r="S97" s="152">
        <f>IF($P97="Branches",SQRT($L97)^(1/2),IF($P97="Vertical","default",$P97))</f>
        <v>1.4149049405128014</v>
      </c>
      <c r="T97" s="153">
        <f>IF($P97="Branches",SQRT(SQRT($L97))^(1/2),IF($P97="Vertical",SQRT($L97)^(1/2),"none"))</f>
        <v>1.1894977681831949</v>
      </c>
      <c r="U97" s="77">
        <f>$G97/VLOOKUP($F97,Ore_Density[],2,FALSE)/Vanilla_COG_Divisor</f>
        <v>5.2244897959183669</v>
      </c>
      <c r="V97" s="158">
        <f>SQRT($U97)</f>
        <v>2.2857142857142856</v>
      </c>
      <c r="W97" s="147">
        <f>SQRT(SQRT($U97))</f>
        <v>1.5118578920369088</v>
      </c>
      <c r="X97" s="70">
        <f>$Y97+$AB97</f>
        <v>96</v>
      </c>
      <c r="Y97" s="71">
        <f>($AC97-$AB97)/2</f>
        <v>32</v>
      </c>
      <c r="Z97" s="71">
        <f>$AA97+$AB97</f>
        <v>156.80000000000001</v>
      </c>
      <c r="AA97" s="72">
        <f>($AG97-$AB97)/2</f>
        <v>92.8</v>
      </c>
      <c r="AB97" s="128">
        <v>64</v>
      </c>
      <c r="AC97" s="128">
        <v>128</v>
      </c>
      <c r="AD97" s="128"/>
      <c r="AE97" s="71">
        <f>IF($AD97="No",0,IF($AJ97="overworld",IF($X97&lt;64,64+($X97*3),0),0))</f>
        <v>0</v>
      </c>
      <c r="AF97" s="71">
        <f>IF($AD97="No",0,IF($AJ97="Overworld",IF($X97&lt;64,($Y97*3),0),0))</f>
        <v>0</v>
      </c>
      <c r="AG97" s="32">
        <f>IF($AC97&gt;64,64+(($AC97-64)*2.9),$AC97)</f>
        <v>249.6</v>
      </c>
      <c r="AH97" s="41" t="s">
        <v>367</v>
      </c>
      <c r="AI97" s="42"/>
      <c r="AJ97" s="131" t="s">
        <v>53</v>
      </c>
      <c r="AK97" s="20" t="str">
        <f>IF($X97&gt;64,"uniform",IF($AJ97="Overworld","normal","uniform"))</f>
        <v>uniform</v>
      </c>
      <c r="AL97" s="109" t="s">
        <v>368</v>
      </c>
      <c r="AM97" s="110" t="s">
        <v>64</v>
      </c>
      <c r="AN97" s="117"/>
      <c r="AO97" s="118" t="s">
        <v>56</v>
      </c>
      <c r="AP97" s="46"/>
    </row>
    <row r="98" spans="1:42" s="7" customFormat="1" ht="13.5">
      <c r="A98" s="31" t="s">
        <v>366</v>
      </c>
      <c r="B98" s="18"/>
      <c r="C98" s="105" t="s">
        <v>176</v>
      </c>
      <c r="D98" s="97" t="s">
        <v>59</v>
      </c>
      <c r="E98" s="98" t="s">
        <v>66</v>
      </c>
      <c r="F98" s="99" t="s">
        <v>61</v>
      </c>
      <c r="G98" s="37">
        <f>$H98*$I98/2</f>
        <v>30</v>
      </c>
      <c r="H98" s="123">
        <v>5</v>
      </c>
      <c r="I98" s="124">
        <v>12</v>
      </c>
      <c r="J98" s="146">
        <f>$H98/2</f>
        <v>2.5</v>
      </c>
      <c r="K98" s="147">
        <f>$I98/2</f>
        <v>6</v>
      </c>
      <c r="L98" s="77">
        <f>$G98/VLOOKUP($E98,Ore_Density[],2,FALSE)/Vanilla_COG_Divisor</f>
        <v>1.8786692759295498</v>
      </c>
      <c r="M98" s="82" t="str">
        <f>IF(OR($E98="Layered Veins",$E98="Small Deposits",$E98="Geode"),"Motherlode",IF(OR($E98="Pipe Veins",$E98="Sparse Veins",$E98="Vertical Veins"),"No","ERROR"))</f>
        <v>Motherlode</v>
      </c>
      <c r="N98" s="86">
        <v>1</v>
      </c>
      <c r="O98" s="86">
        <v>1</v>
      </c>
      <c r="P98" s="82" t="str">
        <f>IF(OR($E98="Layered Veins",$E98="Pipe Veins",$E98="Sparse Veins"),"Branches",IF($E98="Vertical Veins","Vertical","none"))</f>
        <v>Branches</v>
      </c>
      <c r="Q98" s="152">
        <f>SQRT($L98)*$N98</f>
        <v>1.370645569040206</v>
      </c>
      <c r="R98" s="152">
        <f>IF($M98="Motherlode",(($O98*SQRT($L98))^(1/2))^(1/3),"none")</f>
        <v>1.0539520698099061</v>
      </c>
      <c r="S98" s="152">
        <f>IF($P98="Branches",SQRT($L98)^(1/2),IF($P98="Vertical","default",$P98))</f>
        <v>1.1707457320187873</v>
      </c>
      <c r="T98" s="153">
        <f>IF($P98="Branches",SQRT(SQRT($L98))^(1/2),IF($P98="Vertical",SQRT($L98)^(1/2),"none"))</f>
        <v>1.0820100424759409</v>
      </c>
      <c r="U98" s="77">
        <f>$G98/VLOOKUP($F98,Ore_Density[],2,FALSE)/Vanilla_COG_Divisor</f>
        <v>2.4489795918367347</v>
      </c>
      <c r="V98" s="158">
        <f>SQRT($U98)</f>
        <v>1.5649215928719031</v>
      </c>
      <c r="W98" s="147">
        <f>SQRT(SQRT($U98))</f>
        <v>1.2509682621361355</v>
      </c>
      <c r="X98" s="70">
        <f>$Y98+$AB98</f>
        <v>32.5</v>
      </c>
      <c r="Y98" s="71">
        <f>($AC98-$AB98)/2</f>
        <v>31.5</v>
      </c>
      <c r="Z98" s="71">
        <f>$AA98+$AB98</f>
        <v>32.5</v>
      </c>
      <c r="AA98" s="72">
        <f>($AG98-$AB98)/2</f>
        <v>31.5</v>
      </c>
      <c r="AB98" s="128">
        <v>1</v>
      </c>
      <c r="AC98" s="128">
        <v>64</v>
      </c>
      <c r="AD98" s="128"/>
      <c r="AE98" s="71">
        <f>IF($AD98="No",0,IF($AJ98="overworld",IF($X98&lt;64,64+($X98*3),0),0))</f>
        <v>161.5</v>
      </c>
      <c r="AF98" s="71">
        <f>IF($AD98="No",0,IF($AJ98="Overworld",IF($X98&lt;64,($Y98*3),0),0))</f>
        <v>94.5</v>
      </c>
      <c r="AG98" s="32">
        <f>IF($AC98&gt;64,64+(($AC98-64)*2.9),$AC98)</f>
        <v>64</v>
      </c>
      <c r="AH98" s="41" t="s">
        <v>369</v>
      </c>
      <c r="AI98" s="42"/>
      <c r="AJ98" s="131" t="s">
        <v>53</v>
      </c>
      <c r="AK98" s="20" t="str">
        <f>IF($X98&gt;64,"uniform",IF($AJ98="Overworld","normal","uniform"))</f>
        <v>normal</v>
      </c>
      <c r="AL98" s="109" t="s">
        <v>370</v>
      </c>
      <c r="AM98" s="110" t="s">
        <v>64</v>
      </c>
      <c r="AN98" s="117"/>
      <c r="AO98" s="118" t="s">
        <v>56</v>
      </c>
      <c r="AP98" s="46"/>
    </row>
    <row r="99" spans="1:42" s="7" customFormat="1" ht="13.5">
      <c r="A99" s="31" t="s">
        <v>371</v>
      </c>
      <c r="B99" s="18"/>
      <c r="C99" s="105" t="s">
        <v>176</v>
      </c>
      <c r="D99" s="97" t="s">
        <v>59</v>
      </c>
      <c r="E99" s="98" t="s">
        <v>66</v>
      </c>
      <c r="F99" s="99" t="s">
        <v>61</v>
      </c>
      <c r="G99" s="37">
        <f>$H99*$I99/2</f>
        <v>64</v>
      </c>
      <c r="H99" s="123">
        <v>8</v>
      </c>
      <c r="I99" s="124">
        <v>16</v>
      </c>
      <c r="J99" s="146">
        <f>$H99/2</f>
        <v>4</v>
      </c>
      <c r="K99" s="147">
        <f>$I99/2</f>
        <v>8</v>
      </c>
      <c r="L99" s="77">
        <f>$G99/VLOOKUP($E99,Ore_Density[],2,FALSE)/Vanilla_COG_Divisor</f>
        <v>4.0078277886497062</v>
      </c>
      <c r="M99" s="82" t="str">
        <f>IF(OR($E99="Layered Veins",$E99="Small Deposits",$E99="Geode"),"Motherlode",IF(OR($E99="Pipe Veins",$E99="Sparse Veins",$E99="Vertical Veins"),"No","ERROR"))</f>
        <v>Motherlode</v>
      </c>
      <c r="N99" s="86">
        <v>1</v>
      </c>
      <c r="O99" s="86">
        <v>1</v>
      </c>
      <c r="P99" s="82" t="str">
        <f>IF(OR($E99="Layered Veins",$E99="Pipe Veins",$E99="Sparse Veins"),"Branches",IF($E99="Vertical Veins","Vertical","none"))</f>
        <v>Branches</v>
      </c>
      <c r="Q99" s="152">
        <f>SQRT($L99)*$N99</f>
        <v>2.0019559906875339</v>
      </c>
      <c r="R99" s="152">
        <f>IF($M99="Motherlode",(($O99*SQRT($L99))^(1/2))^(1/3),"none")</f>
        <v>1.1226449342406764</v>
      </c>
      <c r="S99" s="152">
        <f>IF($P99="Branches",SQRT($L99)^(1/2),IF($P99="Vertical","default",$P99))</f>
        <v>1.4149049405128014</v>
      </c>
      <c r="T99" s="153">
        <f>IF($P99="Branches",SQRT(SQRT($L99))^(1/2),IF($P99="Vertical",SQRT($L99)^(1/2),"none"))</f>
        <v>1.1894977681831949</v>
      </c>
      <c r="U99" s="77">
        <f>$G99/VLOOKUP($F99,Ore_Density[],2,FALSE)/Vanilla_COG_Divisor</f>
        <v>5.2244897959183669</v>
      </c>
      <c r="V99" s="158">
        <f>SQRT($U99)</f>
        <v>2.2857142857142856</v>
      </c>
      <c r="W99" s="147">
        <f>SQRT(SQRT($U99))</f>
        <v>1.5118578920369088</v>
      </c>
      <c r="X99" s="70">
        <f>$Y99+$AB99</f>
        <v>33</v>
      </c>
      <c r="Y99" s="71">
        <f>($AC99-$AB99)/2</f>
        <v>27</v>
      </c>
      <c r="Z99" s="71">
        <f>$AA99+$AB99</f>
        <v>33</v>
      </c>
      <c r="AA99" s="72">
        <f>($AG99-$AB99)/2</f>
        <v>27</v>
      </c>
      <c r="AB99" s="128">
        <v>6</v>
      </c>
      <c r="AC99" s="128">
        <v>60</v>
      </c>
      <c r="AD99" s="128"/>
      <c r="AE99" s="71">
        <f>IF($AD99="No",0,IF($AJ99="overworld",IF($X99&lt;64,64+($X99*3),0),0))</f>
        <v>163</v>
      </c>
      <c r="AF99" s="71">
        <f>IF($AD99="No",0,IF($AJ99="Overworld",IF($X99&lt;64,($Y99*3),0),0))</f>
        <v>81</v>
      </c>
      <c r="AG99" s="32">
        <f>IF($AC99&gt;64,64+(($AC99-64)*2.9),$AC99)</f>
        <v>60</v>
      </c>
      <c r="AH99" s="41" t="s">
        <v>375</v>
      </c>
      <c r="AI99" s="42"/>
      <c r="AJ99" s="131" t="s">
        <v>53</v>
      </c>
      <c r="AK99" s="20" t="str">
        <f>IF($X99&gt;64,"uniform",IF($AJ99="Overworld","normal","uniform"))</f>
        <v>normal</v>
      </c>
      <c r="AL99" s="109" t="s">
        <v>376</v>
      </c>
      <c r="AM99" s="110" t="s">
        <v>64</v>
      </c>
      <c r="AN99" s="117"/>
      <c r="AO99" s="118" t="s">
        <v>56</v>
      </c>
      <c r="AP99" s="46"/>
    </row>
    <row r="100" spans="1:42" s="7" customFormat="1" ht="13.5">
      <c r="A100" s="31" t="s">
        <v>371</v>
      </c>
      <c r="B100" s="18"/>
      <c r="C100" s="105" t="s">
        <v>372</v>
      </c>
      <c r="D100" s="97" t="s">
        <v>59</v>
      </c>
      <c r="E100" s="98" t="s">
        <v>66</v>
      </c>
      <c r="F100" s="99" t="s">
        <v>61</v>
      </c>
      <c r="G100" s="37">
        <f>$H100*$I100/2</f>
        <v>48</v>
      </c>
      <c r="H100" s="123">
        <v>8</v>
      </c>
      <c r="I100" s="124">
        <v>12</v>
      </c>
      <c r="J100" s="146">
        <f>$H100/2</f>
        <v>4</v>
      </c>
      <c r="K100" s="147">
        <f>$I100/2</f>
        <v>6</v>
      </c>
      <c r="L100" s="77">
        <f>$G100/VLOOKUP($E100,Ore_Density[],2,FALSE)/Vanilla_COG_Divisor</f>
        <v>3.0058708414872797</v>
      </c>
      <c r="M100" s="82" t="str">
        <f>IF(OR($E100="Layered Veins",$E100="Small Deposits",$E100="Geode"),"Motherlode",IF(OR($E100="Pipe Veins",$E100="Sparse Veins",$E100="Vertical Veins"),"No","ERROR"))</f>
        <v>Motherlode</v>
      </c>
      <c r="N100" s="86">
        <v>1</v>
      </c>
      <c r="O100" s="86">
        <v>1</v>
      </c>
      <c r="P100" s="82" t="str">
        <f>IF(OR($E100="Layered Veins",$E100="Pipe Veins",$E100="Sparse Veins"),"Branches",IF($E100="Vertical Veins","Vertical","none"))</f>
        <v>Branches</v>
      </c>
      <c r="Q100" s="152">
        <f>SQRT($L100)*$N100</f>
        <v>1.7337447451938477</v>
      </c>
      <c r="R100" s="152">
        <f>IF($M100="Motherlode",(($O100*SQRT($L100))^(1/2))^(1/3),"none")</f>
        <v>1.0960512447870228</v>
      </c>
      <c r="S100" s="152">
        <f>IF($P100="Branches",SQRT($L100)^(1/2),IF($P100="Vertical","default",$P100))</f>
        <v>1.3167174128087802</v>
      </c>
      <c r="T100" s="153">
        <f>IF($P100="Branches",SQRT(SQRT($L100))^(1/2),IF($P100="Vertical",SQRT($L100)^(1/2),"none"))</f>
        <v>1.1474830773518101</v>
      </c>
      <c r="U100" s="77">
        <f>$G100/VLOOKUP($F100,Ore_Density[],2,FALSE)/Vanilla_COG_Divisor</f>
        <v>3.9183673469387754</v>
      </c>
      <c r="V100" s="158">
        <f>SQRT($U100)</f>
        <v>1.979486637221574</v>
      </c>
      <c r="W100" s="147">
        <f>SQRT(SQRT($U100))</f>
        <v>1.406942300601405</v>
      </c>
      <c r="X100" s="70">
        <f>$Y100+$AB100</f>
        <v>33</v>
      </c>
      <c r="Y100" s="71">
        <f>($AC100-$AB100)/2</f>
        <v>27</v>
      </c>
      <c r="Z100" s="71">
        <f>$AA100+$AB100</f>
        <v>33</v>
      </c>
      <c r="AA100" s="72">
        <f>($AG100-$AB100)/2</f>
        <v>27</v>
      </c>
      <c r="AB100" s="128">
        <v>6</v>
      </c>
      <c r="AC100" s="128">
        <v>60</v>
      </c>
      <c r="AD100" s="128"/>
      <c r="AE100" s="71">
        <f>IF($AD100="No",0,IF($AJ100="overworld",IF($X100&lt;64,64+($X100*3),0),0))</f>
        <v>163</v>
      </c>
      <c r="AF100" s="71">
        <f>IF($AD100="No",0,IF($AJ100="Overworld",IF($X100&lt;64,($Y100*3),0),0))</f>
        <v>81</v>
      </c>
      <c r="AG100" s="32">
        <f>IF($AC100&gt;64,64+(($AC100-64)*2.9),$AC100)</f>
        <v>60</v>
      </c>
      <c r="AH100" s="41" t="s">
        <v>373</v>
      </c>
      <c r="AI100" s="42"/>
      <c r="AJ100" s="131" t="s">
        <v>53</v>
      </c>
      <c r="AK100" s="20" t="str">
        <f>IF($X100&gt;64,"uniform",IF($AJ100="Overworld","normal","uniform"))</f>
        <v>normal</v>
      </c>
      <c r="AL100" s="109" t="s">
        <v>374</v>
      </c>
      <c r="AM100" s="110" t="s">
        <v>64</v>
      </c>
      <c r="AN100" s="117"/>
      <c r="AO100" s="118" t="s">
        <v>56</v>
      </c>
      <c r="AP100" s="46"/>
    </row>
    <row r="101" spans="1:42" s="7" customFormat="1" ht="13.5">
      <c r="A101" s="31" t="s">
        <v>371</v>
      </c>
      <c r="B101" s="18"/>
      <c r="C101" s="105" t="s">
        <v>179</v>
      </c>
      <c r="D101" s="97" t="s">
        <v>59</v>
      </c>
      <c r="E101" s="98" t="s">
        <v>66</v>
      </c>
      <c r="F101" s="99" t="s">
        <v>61</v>
      </c>
      <c r="G101" s="37">
        <f>$H101*$I101/2</f>
        <v>56</v>
      </c>
      <c r="H101" s="123">
        <v>8</v>
      </c>
      <c r="I101" s="124">
        <v>14</v>
      </c>
      <c r="J101" s="146">
        <f>$H101/2</f>
        <v>4</v>
      </c>
      <c r="K101" s="147">
        <f>$I101/2</f>
        <v>7</v>
      </c>
      <c r="L101" s="77">
        <f>$G101/VLOOKUP($E101,Ore_Density[],2,FALSE)/Vanilla_COG_Divisor</f>
        <v>3.506849315068493</v>
      </c>
      <c r="M101" s="82" t="str">
        <f>IF(OR($E101="Layered Veins",$E101="Small Deposits",$E101="Geode"),"Motherlode",IF(OR($E101="Pipe Veins",$E101="Sparse Veins",$E101="Vertical Veins"),"No","ERROR"))</f>
        <v>Motherlode</v>
      </c>
      <c r="N101" s="86">
        <v>1</v>
      </c>
      <c r="O101" s="86">
        <v>1</v>
      </c>
      <c r="P101" s="82" t="str">
        <f>IF(OR($E101="Layered Veins",$E101="Pipe Veins",$E101="Sparse Veins"),"Branches",IF($E101="Vertical Veins","Vertical","none"))</f>
        <v>Branches</v>
      </c>
      <c r="Q101" s="152">
        <f>SQRT($L101)*$N101</f>
        <v>1.8726583551380889</v>
      </c>
      <c r="R101" s="152">
        <f>IF($M101="Motherlode",(($O101*SQRT($L101))^(1/2))^(1/3),"none")</f>
        <v>1.1102218204593779</v>
      </c>
      <c r="S101" s="152">
        <f>IF($P101="Branches",SQRT($L101)^(1/2),IF($P101="Vertical","default",$P101))</f>
        <v>1.3684510788252859</v>
      </c>
      <c r="T101" s="153">
        <f>IF($P101="Branches",SQRT(SQRT($L101))^(1/2),IF($P101="Vertical",SQRT($L101)^(1/2),"none"))</f>
        <v>1.1698081376128677</v>
      </c>
      <c r="U101" s="77">
        <f>$G101/VLOOKUP($F101,Ore_Density[],2,FALSE)/Vanilla_COG_Divisor</f>
        <v>4.5714285714285712</v>
      </c>
      <c r="V101" s="158">
        <f>SQRT($U101)</f>
        <v>2.1380899352993952</v>
      </c>
      <c r="W101" s="147">
        <f>SQRT(SQRT($U101))</f>
        <v>1.4622208914180495</v>
      </c>
      <c r="X101" s="70">
        <f>$Y101+$AB101</f>
        <v>33</v>
      </c>
      <c r="Y101" s="71">
        <f>($AC101-$AB101)/2</f>
        <v>27</v>
      </c>
      <c r="Z101" s="71">
        <f>$AA101+$AB101</f>
        <v>33</v>
      </c>
      <c r="AA101" s="72">
        <f>($AG101-$AB101)/2</f>
        <v>27</v>
      </c>
      <c r="AB101" s="128">
        <v>6</v>
      </c>
      <c r="AC101" s="128">
        <v>60</v>
      </c>
      <c r="AD101" s="128"/>
      <c r="AE101" s="71">
        <f>IF($AD101="No",0,IF($AJ101="overworld",IF($X101&lt;64,64+($X101*3),0),0))</f>
        <v>163</v>
      </c>
      <c r="AF101" s="71">
        <f>IF($AD101="No",0,IF($AJ101="Overworld",IF($X101&lt;64,($Y101*3),0),0))</f>
        <v>81</v>
      </c>
      <c r="AG101" s="32">
        <f>IF($AC101&gt;64,64+(($AC101-64)*2.9),$AC101)</f>
        <v>60</v>
      </c>
      <c r="AH101" s="41" t="s">
        <v>377</v>
      </c>
      <c r="AI101" s="42"/>
      <c r="AJ101" s="131" t="s">
        <v>53</v>
      </c>
      <c r="AK101" s="20" t="str">
        <f>IF($X101&gt;64,"uniform",IF($AJ101="Overworld","normal","uniform"))</f>
        <v>normal</v>
      </c>
      <c r="AL101" s="109" t="s">
        <v>378</v>
      </c>
      <c r="AM101" s="110" t="s">
        <v>64</v>
      </c>
      <c r="AN101" s="117"/>
      <c r="AO101" s="118" t="s">
        <v>56</v>
      </c>
      <c r="AP101" s="46"/>
    </row>
    <row r="102" spans="1:42" s="7" customFormat="1" ht="13.5">
      <c r="A102" s="31" t="s">
        <v>379</v>
      </c>
      <c r="B102" s="18"/>
      <c r="C102" s="105" t="s">
        <v>435</v>
      </c>
      <c r="D102" s="97" t="s">
        <v>59</v>
      </c>
      <c r="E102" s="98" t="s">
        <v>66</v>
      </c>
      <c r="F102" s="99" t="s">
        <v>61</v>
      </c>
      <c r="G102" s="37">
        <f>$H102*$I102/2</f>
        <v>3</v>
      </c>
      <c r="H102" s="123">
        <v>3</v>
      </c>
      <c r="I102" s="124">
        <v>2</v>
      </c>
      <c r="J102" s="146">
        <f>$H102/2</f>
        <v>1.5</v>
      </c>
      <c r="K102" s="147">
        <f>$I102/2</f>
        <v>1</v>
      </c>
      <c r="L102" s="77">
        <f>$G102/VLOOKUP($E102,Ore_Density[],2,FALSE)/Vanilla_COG_Divisor</f>
        <v>0.18786692759295498</v>
      </c>
      <c r="M102" s="82" t="str">
        <f>IF(OR($E102="Layered Veins",$E102="Small Deposits",$E102="Geode"),"Motherlode",IF(OR($E102="Pipe Veins",$E102="Sparse Veins",$E102="Vertical Veins"),"No","ERROR"))</f>
        <v>Motherlode</v>
      </c>
      <c r="N102" s="86">
        <v>1</v>
      </c>
      <c r="O102" s="86">
        <v>1</v>
      </c>
      <c r="P102" s="82" t="str">
        <f>IF(OR($E102="Layered Veins",$E102="Pipe Veins",$E102="Sparse Veins"),"Branches",IF($E102="Vertical Veins","Vertical","none"))</f>
        <v>Branches</v>
      </c>
      <c r="Q102" s="152">
        <f>SQRT($L102)*$N102</f>
        <v>0.43343618629846192</v>
      </c>
      <c r="R102" s="152">
        <f>IF($M102="Motherlode",(($O102*SQRT($L102))^(1/2))^(1/3),"none")</f>
        <v>0.86993644949298721</v>
      </c>
      <c r="S102" s="152">
        <f>IF($P102="Branches",SQRT($L102)^(1/2),IF($P102="Vertical","default",$P102))</f>
        <v>0.65835870640439009</v>
      </c>
      <c r="T102" s="153">
        <f>IF($P102="Branches",SQRT(SQRT($L102))^(1/2),IF($P102="Vertical",SQRT($L102)^(1/2),"none"))</f>
        <v>0.81139306529227262</v>
      </c>
      <c r="U102" s="77">
        <f>$G102/VLOOKUP($F102,Ore_Density[],2,FALSE)/Vanilla_COG_Divisor</f>
        <v>0.24489795918367346</v>
      </c>
      <c r="V102" s="158">
        <f>SQRT($U102)</f>
        <v>0.49487165930539351</v>
      </c>
      <c r="W102" s="147">
        <f>SQRT(SQRT($U102))</f>
        <v>0.70347115030070251</v>
      </c>
      <c r="X102" s="70">
        <f>$Y102+$AB102</f>
        <v>67</v>
      </c>
      <c r="Y102" s="71">
        <f>($AC102-$AB102)/2</f>
        <v>61</v>
      </c>
      <c r="Z102" s="71">
        <f>$AA102+$AB102</f>
        <v>127.8</v>
      </c>
      <c r="AA102" s="72">
        <f>($AG102-$AB102)/2</f>
        <v>121.8</v>
      </c>
      <c r="AB102" s="128">
        <v>6</v>
      </c>
      <c r="AC102" s="128">
        <v>128</v>
      </c>
      <c r="AD102" s="128"/>
      <c r="AE102" s="71">
        <f>IF($AD102="No",0,IF($AJ102="overworld",IF($X102&lt;64,64+($X102*3),0),0))</f>
        <v>0</v>
      </c>
      <c r="AF102" s="71">
        <f>IF($AD102="No",0,IF($AJ102="Overworld",IF($X102&lt;64,($Y102*3),0),0))</f>
        <v>0</v>
      </c>
      <c r="AG102" s="32">
        <f>IF($AC102&gt;64,64+(($AC102-64)*2.9),$AC102)</f>
        <v>249.6</v>
      </c>
      <c r="AH102" s="41" t="s">
        <v>436</v>
      </c>
      <c r="AI102" s="42"/>
      <c r="AJ102" s="131" t="s">
        <v>53</v>
      </c>
      <c r="AK102" s="20" t="str">
        <f>IF($X102&gt;64,"uniform",IF($AJ102="Overworld","normal","uniform"))</f>
        <v>uniform</v>
      </c>
      <c r="AL102" s="109" t="s">
        <v>437</v>
      </c>
      <c r="AM102" s="110" t="s">
        <v>64</v>
      </c>
      <c r="AN102" s="117"/>
      <c r="AO102" s="118" t="s">
        <v>56</v>
      </c>
      <c r="AP102" s="46"/>
    </row>
    <row r="103" spans="1:42" s="7" customFormat="1" ht="13.5">
      <c r="A103" s="31" t="s">
        <v>379</v>
      </c>
      <c r="B103" s="18"/>
      <c r="C103" s="105" t="s">
        <v>459</v>
      </c>
      <c r="D103" s="97" t="s">
        <v>59</v>
      </c>
      <c r="E103" s="98" t="s">
        <v>66</v>
      </c>
      <c r="F103" s="99" t="s">
        <v>61</v>
      </c>
      <c r="G103" s="37">
        <f>$H103*$I103/2</f>
        <v>6</v>
      </c>
      <c r="H103" s="123">
        <v>4</v>
      </c>
      <c r="I103" s="124">
        <v>3</v>
      </c>
      <c r="J103" s="146">
        <f>$H103/2</f>
        <v>2</v>
      </c>
      <c r="K103" s="147">
        <f>$I103/2</f>
        <v>1.5</v>
      </c>
      <c r="L103" s="77">
        <f>$G103/VLOOKUP($E103,Ore_Density[],2,FALSE)/Vanilla_COG_Divisor</f>
        <v>0.37573385518590996</v>
      </c>
      <c r="M103" s="82" t="str">
        <f>IF(OR($E103="Layered Veins",$E103="Small Deposits",$E103="Geode"),"Motherlode",IF(OR($E103="Pipe Veins",$E103="Sparse Veins",$E103="Vertical Veins"),"No","ERROR"))</f>
        <v>Motherlode</v>
      </c>
      <c r="N103" s="86">
        <v>1</v>
      </c>
      <c r="O103" s="86">
        <v>1</v>
      </c>
      <c r="P103" s="82" t="str">
        <f>IF(OR($E103="Layered Veins",$E103="Pipe Veins",$E103="Sparse Veins"),"Branches",IF($E103="Vertical Veins","Vertical","none"))</f>
        <v>Branches</v>
      </c>
      <c r="Q103" s="152">
        <f>SQRT($L103)*$N103</f>
        <v>0.61297133308655627</v>
      </c>
      <c r="R103" s="152">
        <f>IF($M103="Motherlode",(($O103*SQRT($L103))^(1/2))^(1/3),"none")</f>
        <v>0.92166556267577893</v>
      </c>
      <c r="S103" s="152">
        <f>IF($P103="Branches",SQRT($L103)^(1/2),IF($P103="Vertical","default",$P103))</f>
        <v>0.78292485788008814</v>
      </c>
      <c r="T103" s="153">
        <f>IF($P103="Branches",SQRT(SQRT($L103))^(1/2),IF($P103="Vertical",SQRT($L103)^(1/2),"none"))</f>
        <v>0.88483041193218948</v>
      </c>
      <c r="U103" s="77">
        <f>$G103/VLOOKUP($F103,Ore_Density[],2,FALSE)/Vanilla_COG_Divisor</f>
        <v>0.48979591836734693</v>
      </c>
      <c r="V103" s="158">
        <f>SQRT($U103)</f>
        <v>0.6998542122237652</v>
      </c>
      <c r="W103" s="147">
        <f>SQRT(SQRT($U103))</f>
        <v>0.83657289713674399</v>
      </c>
      <c r="X103" s="70">
        <f>$Y103+$AB103</f>
        <v>67</v>
      </c>
      <c r="Y103" s="71">
        <f>($AC103-$AB103)/2</f>
        <v>61</v>
      </c>
      <c r="Z103" s="71">
        <f>$AA103+$AB103</f>
        <v>127.8</v>
      </c>
      <c r="AA103" s="72">
        <f>($AG103-$AB103)/2</f>
        <v>121.8</v>
      </c>
      <c r="AB103" s="128">
        <v>6</v>
      </c>
      <c r="AC103" s="128">
        <v>128</v>
      </c>
      <c r="AD103" s="128"/>
      <c r="AE103" s="71">
        <f>IF($AD103="No",0,IF($AJ103="overworld",IF($X103&lt;64,64+($X103*3),0),0))</f>
        <v>0</v>
      </c>
      <c r="AF103" s="71">
        <f>IF($AD103="No",0,IF($AJ103="Overworld",IF($X103&lt;64,($Y103*3),0),0))</f>
        <v>0</v>
      </c>
      <c r="AG103" s="32">
        <f>IF($AC103&gt;64,64+(($AC103-64)*2.9),$AC103)</f>
        <v>249.6</v>
      </c>
      <c r="AH103" s="41" t="s">
        <v>460</v>
      </c>
      <c r="AI103" s="42"/>
      <c r="AJ103" s="131" t="s">
        <v>96</v>
      </c>
      <c r="AK103" s="20" t="str">
        <f>IF($X103&gt;64,"uniform",IF($AJ103="Overworld","normal","uniform"))</f>
        <v>uniform</v>
      </c>
      <c r="AL103" s="109" t="s">
        <v>461</v>
      </c>
      <c r="AM103" s="110" t="s">
        <v>98</v>
      </c>
      <c r="AN103" s="117"/>
      <c r="AO103" s="118" t="s">
        <v>56</v>
      </c>
      <c r="AP103" s="46"/>
    </row>
    <row r="104" spans="1:42" s="7" customFormat="1" ht="13.5">
      <c r="A104" s="31" t="s">
        <v>379</v>
      </c>
      <c r="B104" s="18"/>
      <c r="C104" s="105" t="s">
        <v>420</v>
      </c>
      <c r="D104" s="97" t="s">
        <v>59</v>
      </c>
      <c r="E104" s="98" t="s">
        <v>66</v>
      </c>
      <c r="F104" s="99" t="s">
        <v>61</v>
      </c>
      <c r="G104" s="37">
        <f>$H104*$I104/2</f>
        <v>6</v>
      </c>
      <c r="H104" s="123">
        <v>3</v>
      </c>
      <c r="I104" s="124">
        <v>4</v>
      </c>
      <c r="J104" s="146">
        <f>$H104/2</f>
        <v>1.5</v>
      </c>
      <c r="K104" s="147">
        <f>$I104/2</f>
        <v>2</v>
      </c>
      <c r="L104" s="77">
        <f>$G104/VLOOKUP($E104,Ore_Density[],2,FALSE)/Vanilla_COG_Divisor</f>
        <v>0.37573385518590996</v>
      </c>
      <c r="M104" s="82" t="str">
        <f>IF(OR($E104="Layered Veins",$E104="Small Deposits",$E104="Geode"),"Motherlode",IF(OR($E104="Pipe Veins",$E104="Sparse Veins",$E104="Vertical Veins"),"No","ERROR"))</f>
        <v>Motherlode</v>
      </c>
      <c r="N104" s="86">
        <v>1</v>
      </c>
      <c r="O104" s="86">
        <v>1</v>
      </c>
      <c r="P104" s="82" t="str">
        <f>IF(OR($E104="Layered Veins",$E104="Pipe Veins",$E104="Sparse Veins"),"Branches",IF($E104="Vertical Veins","Vertical","none"))</f>
        <v>Branches</v>
      </c>
      <c r="Q104" s="152">
        <f>SQRT($L104)*$N104</f>
        <v>0.61297133308655627</v>
      </c>
      <c r="R104" s="152">
        <f>IF($M104="Motherlode",(($O104*SQRT($L104))^(1/2))^(1/3),"none")</f>
        <v>0.92166556267577893</v>
      </c>
      <c r="S104" s="152">
        <f>IF($P104="Branches",SQRT($L104)^(1/2),IF($P104="Vertical","default",$P104))</f>
        <v>0.78292485788008814</v>
      </c>
      <c r="T104" s="153">
        <f>IF($P104="Branches",SQRT(SQRT($L104))^(1/2),IF($P104="Vertical",SQRT($L104)^(1/2),"none"))</f>
        <v>0.88483041193218948</v>
      </c>
      <c r="U104" s="77">
        <f>$G104/VLOOKUP($F104,Ore_Density[],2,FALSE)/Vanilla_COG_Divisor</f>
        <v>0.48979591836734693</v>
      </c>
      <c r="V104" s="158">
        <f>SQRT($U104)</f>
        <v>0.6998542122237652</v>
      </c>
      <c r="W104" s="147">
        <f>SQRT(SQRT($U104))</f>
        <v>0.83657289713674399</v>
      </c>
      <c r="X104" s="70">
        <f>$Y104+$AB104</f>
        <v>67</v>
      </c>
      <c r="Y104" s="71">
        <f>($AC104-$AB104)/2</f>
        <v>61</v>
      </c>
      <c r="Z104" s="71">
        <f>$AA104+$AB104</f>
        <v>127.8</v>
      </c>
      <c r="AA104" s="72">
        <f>($AG104-$AB104)/2</f>
        <v>121.8</v>
      </c>
      <c r="AB104" s="128">
        <v>6</v>
      </c>
      <c r="AC104" s="128">
        <v>128</v>
      </c>
      <c r="AD104" s="128"/>
      <c r="AE104" s="71">
        <f>IF($AD104="No",0,IF($AJ104="overworld",IF($X104&lt;64,64+($X104*3),0),0))</f>
        <v>0</v>
      </c>
      <c r="AF104" s="71">
        <f>IF($AD104="No",0,IF($AJ104="Overworld",IF($X104&lt;64,($Y104*3),0),0))</f>
        <v>0</v>
      </c>
      <c r="AG104" s="32">
        <f>IF($AC104&gt;64,64+(($AC104-64)*2.9),$AC104)</f>
        <v>249.6</v>
      </c>
      <c r="AH104" s="41" t="s">
        <v>421</v>
      </c>
      <c r="AI104" s="42"/>
      <c r="AJ104" s="131" t="s">
        <v>53</v>
      </c>
      <c r="AK104" s="20" t="str">
        <f>IF($X104&gt;64,"uniform",IF($AJ104="Overworld","normal","uniform"))</f>
        <v>uniform</v>
      </c>
      <c r="AL104" s="109" t="s">
        <v>422</v>
      </c>
      <c r="AM104" s="110" t="s">
        <v>64</v>
      </c>
      <c r="AN104" s="117"/>
      <c r="AO104" s="118" t="s">
        <v>56</v>
      </c>
      <c r="AP104" s="46"/>
    </row>
    <row r="105" spans="1:42" s="7" customFormat="1" ht="13.5">
      <c r="A105" s="31" t="s">
        <v>379</v>
      </c>
      <c r="B105" s="18"/>
      <c r="C105" s="105" t="s">
        <v>438</v>
      </c>
      <c r="D105" s="97" t="s">
        <v>59</v>
      </c>
      <c r="E105" s="98" t="s">
        <v>66</v>
      </c>
      <c r="F105" s="99" t="s">
        <v>61</v>
      </c>
      <c r="G105" s="37">
        <f>$H105*$I105/2</f>
        <v>3</v>
      </c>
      <c r="H105" s="123">
        <v>3</v>
      </c>
      <c r="I105" s="124">
        <v>2</v>
      </c>
      <c r="J105" s="146">
        <f>$H105/2</f>
        <v>1.5</v>
      </c>
      <c r="K105" s="147">
        <f>$I105/2</f>
        <v>1</v>
      </c>
      <c r="L105" s="77">
        <f>$G105/VLOOKUP($E105,Ore_Density[],2,FALSE)/Vanilla_COG_Divisor</f>
        <v>0.18786692759295498</v>
      </c>
      <c r="M105" s="82" t="str">
        <f>IF(OR($E105="Layered Veins",$E105="Small Deposits",$E105="Geode"),"Motherlode",IF(OR($E105="Pipe Veins",$E105="Sparse Veins",$E105="Vertical Veins"),"No","ERROR"))</f>
        <v>Motherlode</v>
      </c>
      <c r="N105" s="86">
        <v>1</v>
      </c>
      <c r="O105" s="86">
        <v>1</v>
      </c>
      <c r="P105" s="82" t="str">
        <f>IF(OR($E105="Layered Veins",$E105="Pipe Veins",$E105="Sparse Veins"),"Branches",IF($E105="Vertical Veins","Vertical","none"))</f>
        <v>Branches</v>
      </c>
      <c r="Q105" s="152">
        <f>SQRT($L105)*$N105</f>
        <v>0.43343618629846192</v>
      </c>
      <c r="R105" s="152">
        <f>IF($M105="Motherlode",(($O105*SQRT($L105))^(1/2))^(1/3),"none")</f>
        <v>0.86993644949298721</v>
      </c>
      <c r="S105" s="152">
        <f>IF($P105="Branches",SQRT($L105)^(1/2),IF($P105="Vertical","default",$P105))</f>
        <v>0.65835870640439009</v>
      </c>
      <c r="T105" s="153">
        <f>IF($P105="Branches",SQRT(SQRT($L105))^(1/2),IF($P105="Vertical",SQRT($L105)^(1/2),"none"))</f>
        <v>0.81139306529227262</v>
      </c>
      <c r="U105" s="77">
        <f>$G105/VLOOKUP($F105,Ore_Density[],2,FALSE)/Vanilla_COG_Divisor</f>
        <v>0.24489795918367346</v>
      </c>
      <c r="V105" s="158">
        <f>SQRT($U105)</f>
        <v>0.49487165930539351</v>
      </c>
      <c r="W105" s="147">
        <f>SQRT(SQRT($U105))</f>
        <v>0.70347115030070251</v>
      </c>
      <c r="X105" s="70">
        <f>$Y105+$AB105</f>
        <v>67</v>
      </c>
      <c r="Y105" s="71">
        <f>($AC105-$AB105)/2</f>
        <v>61</v>
      </c>
      <c r="Z105" s="71">
        <f>$AA105+$AB105</f>
        <v>127.8</v>
      </c>
      <c r="AA105" s="72">
        <f>($AG105-$AB105)/2</f>
        <v>121.8</v>
      </c>
      <c r="AB105" s="128">
        <v>6</v>
      </c>
      <c r="AC105" s="128">
        <v>128</v>
      </c>
      <c r="AD105" s="128"/>
      <c r="AE105" s="71">
        <f>IF($AD105="No",0,IF($AJ105="overworld",IF($X105&lt;64,64+($X105*3),0),0))</f>
        <v>0</v>
      </c>
      <c r="AF105" s="71">
        <f>IF($AD105="No",0,IF($AJ105="Overworld",IF($X105&lt;64,($Y105*3),0),0))</f>
        <v>0</v>
      </c>
      <c r="AG105" s="32">
        <f>IF($AC105&gt;64,64+(($AC105-64)*2.9),$AC105)</f>
        <v>249.6</v>
      </c>
      <c r="AH105" s="41" t="s">
        <v>439</v>
      </c>
      <c r="AI105" s="42"/>
      <c r="AJ105" s="131" t="s">
        <v>53</v>
      </c>
      <c r="AK105" s="20" t="str">
        <f>IF($X105&gt;64,"uniform",IF($AJ105="Overworld","normal","uniform"))</f>
        <v>uniform</v>
      </c>
      <c r="AL105" s="109" t="s">
        <v>440</v>
      </c>
      <c r="AM105" s="110" t="s">
        <v>64</v>
      </c>
      <c r="AN105" s="117"/>
      <c r="AO105" s="118" t="s">
        <v>56</v>
      </c>
      <c r="AP105" s="46"/>
    </row>
    <row r="106" spans="1:42" s="7" customFormat="1" ht="13.5">
      <c r="A106" s="31" t="s">
        <v>379</v>
      </c>
      <c r="B106" s="18"/>
      <c r="C106" s="105" t="s">
        <v>390</v>
      </c>
      <c r="D106" s="97" t="s">
        <v>59</v>
      </c>
      <c r="E106" s="98" t="s">
        <v>60</v>
      </c>
      <c r="F106" s="99" t="s">
        <v>61</v>
      </c>
      <c r="G106" s="37">
        <f>$H106*$I106/2</f>
        <v>8</v>
      </c>
      <c r="H106" s="123">
        <v>4</v>
      </c>
      <c r="I106" s="124">
        <v>4</v>
      </c>
      <c r="J106" s="146">
        <f>$H106/2</f>
        <v>2</v>
      </c>
      <c r="K106" s="147">
        <f>$I106/2</f>
        <v>2</v>
      </c>
      <c r="L106" s="77">
        <f>$G106/VLOOKUP($E106,Ore_Density[],2,FALSE)/Vanilla_COG_Divisor</f>
        <v>3.0017771871747807</v>
      </c>
      <c r="M106" s="82" t="str">
        <f>IF(OR($E106="Layered Veins",$E106="Small Deposits",$E106="Geode"),"Motherlode",IF(OR($E106="Pipe Veins",$E106="Sparse Veins",$E106="Vertical Veins"),"No","ERROR"))</f>
        <v>No</v>
      </c>
      <c r="N106" s="86">
        <v>1</v>
      </c>
      <c r="O106" s="86">
        <v>1</v>
      </c>
      <c r="P106" s="82" t="str">
        <f>IF(OR($E106="Layered Veins",$E106="Pipe Veins",$E106="Sparse Veins"),"Branches",IF($E106="Vertical Veins","Vertical","none"))</f>
        <v>Branches</v>
      </c>
      <c r="Q106" s="152">
        <f>SQRT($L106)*$N106</f>
        <v>1.7325637613590965</v>
      </c>
      <c r="R106" s="152" t="str">
        <f>IF($M106="Motherlode",(($O106*SQRT($L106))^(1/2))^(1/3),"none")</f>
        <v>none</v>
      </c>
      <c r="S106" s="152">
        <f>IF($P106="Branches",SQRT($L106)^(1/2),IF($P106="Vertical","default",$P106))</f>
        <v>1.3162688788234327</v>
      </c>
      <c r="T106" s="153">
        <f>IF($P106="Branches",SQRT(SQRT($L106))^(1/2),IF($P106="Vertical",SQRT($L106)^(1/2),"none"))</f>
        <v>1.1472876181775138</v>
      </c>
      <c r="U106" s="77">
        <f>$G106/VLOOKUP($F106,Ore_Density[],2,FALSE)/Vanilla_COG_Divisor</f>
        <v>0.65306122448979587</v>
      </c>
      <c r="V106" s="158">
        <f>SQRT($U106)</f>
        <v>0.80812203564176854</v>
      </c>
      <c r="W106" s="147">
        <f>SQRT(SQRT($U106))</f>
        <v>0.89895608104165381</v>
      </c>
      <c r="X106" s="70">
        <f>$Y106+$AB106</f>
        <v>67</v>
      </c>
      <c r="Y106" s="71">
        <f>($AC106-$AB106)/2</f>
        <v>61</v>
      </c>
      <c r="Z106" s="71">
        <f>$AA106+$AB106</f>
        <v>127.8</v>
      </c>
      <c r="AA106" s="72">
        <f>($AG106-$AB106)/2</f>
        <v>121.8</v>
      </c>
      <c r="AB106" s="128">
        <v>6</v>
      </c>
      <c r="AC106" s="128">
        <v>128</v>
      </c>
      <c r="AD106" s="128"/>
      <c r="AE106" s="71">
        <f>IF($AD106="No",0,IF($AJ106="overworld",IF($X106&lt;64,64+($X106*3),0),0))</f>
        <v>0</v>
      </c>
      <c r="AF106" s="71">
        <f>IF($AD106="No",0,IF($AJ106="Overworld",IF($X106&lt;64,($Y106*3),0),0))</f>
        <v>0</v>
      </c>
      <c r="AG106" s="32">
        <f>IF($AC106&gt;64,64+(($AC106-64)*2.9),$AC106)</f>
        <v>249.6</v>
      </c>
      <c r="AH106" s="41" t="s">
        <v>62</v>
      </c>
      <c r="AI106" s="42"/>
      <c r="AJ106" s="131" t="s">
        <v>53</v>
      </c>
      <c r="AK106" s="20" t="str">
        <f>IF($X106&gt;64,"uniform",IF($AJ106="Overworld","normal","uniform"))</f>
        <v>uniform</v>
      </c>
      <c r="AL106" s="109" t="s">
        <v>391</v>
      </c>
      <c r="AM106" s="110" t="s">
        <v>64</v>
      </c>
      <c r="AN106" s="117"/>
      <c r="AO106" s="118" t="s">
        <v>56</v>
      </c>
      <c r="AP106" s="46"/>
    </row>
    <row r="107" spans="1:42" s="7" customFormat="1" ht="13.5">
      <c r="A107" s="31" t="s">
        <v>379</v>
      </c>
      <c r="B107" s="18"/>
      <c r="C107" s="105" t="s">
        <v>423</v>
      </c>
      <c r="D107" s="97" t="s">
        <v>59</v>
      </c>
      <c r="E107" s="98" t="s">
        <v>66</v>
      </c>
      <c r="F107" s="99" t="s">
        <v>61</v>
      </c>
      <c r="G107" s="37">
        <f>$H107*$I107/2</f>
        <v>4.5</v>
      </c>
      <c r="H107" s="123">
        <v>3</v>
      </c>
      <c r="I107" s="124">
        <v>3</v>
      </c>
      <c r="J107" s="146">
        <f>$H107/2</f>
        <v>1.5</v>
      </c>
      <c r="K107" s="147">
        <f>$I107/2</f>
        <v>1.5</v>
      </c>
      <c r="L107" s="77">
        <f>$G107/VLOOKUP($E107,Ore_Density[],2,FALSE)/Vanilla_COG_Divisor</f>
        <v>0.28180039138943247</v>
      </c>
      <c r="M107" s="82" t="str">
        <f>IF(OR($E107="Layered Veins",$E107="Small Deposits",$E107="Geode"),"Motherlode",IF(OR($E107="Pipe Veins",$E107="Sparse Veins",$E107="Vertical Veins"),"No","ERROR"))</f>
        <v>Motherlode</v>
      </c>
      <c r="N107" s="86">
        <v>1</v>
      </c>
      <c r="O107" s="86">
        <v>1</v>
      </c>
      <c r="P107" s="82" t="str">
        <f>IF(OR($E107="Layered Veins",$E107="Pipe Veins",$E107="Sparse Veins"),"Branches",IF($E107="Vertical Veins","Vertical","none"))</f>
        <v>Branches</v>
      </c>
      <c r="Q107" s="152">
        <f>SQRT($L107)*$N107</f>
        <v>0.53084874624457057</v>
      </c>
      <c r="R107" s="152">
        <f>IF($M107="Motherlode",(($O107*SQRT($L107))^(1/2))^(1/3),"none")</f>
        <v>0.89983275783574757</v>
      </c>
      <c r="S107" s="152">
        <f>IF($P107="Branches",SQRT($L107)^(1/2),IF($P107="Vertical","default",$P107))</f>
        <v>0.72859367705503086</v>
      </c>
      <c r="T107" s="153">
        <f>IF($P107="Branches",SQRT(SQRT($L107))^(1/2),IF($P107="Vertical",SQRT($L107)^(1/2),"none"))</f>
        <v>0.85357698952996086</v>
      </c>
      <c r="U107" s="77">
        <f>$G107/VLOOKUP($F107,Ore_Density[],2,FALSE)/Vanilla_COG_Divisor</f>
        <v>0.36734693877551022</v>
      </c>
      <c r="V107" s="158">
        <f>SQRT($U107)</f>
        <v>0.60609152673132649</v>
      </c>
      <c r="W107" s="147">
        <f>SQRT(SQRT($U107))</f>
        <v>0.7785188030685749</v>
      </c>
      <c r="X107" s="70">
        <f>$Y107+$AB107</f>
        <v>67</v>
      </c>
      <c r="Y107" s="71">
        <f>($AC107-$AB107)/2</f>
        <v>61</v>
      </c>
      <c r="Z107" s="71">
        <f>$AA107+$AB107</f>
        <v>127.8</v>
      </c>
      <c r="AA107" s="72">
        <f>($AG107-$AB107)/2</f>
        <v>121.8</v>
      </c>
      <c r="AB107" s="128">
        <v>6</v>
      </c>
      <c r="AC107" s="128">
        <v>128</v>
      </c>
      <c r="AD107" s="128"/>
      <c r="AE107" s="71">
        <f>IF($AD107="No",0,IF($AJ107="overworld",IF($X107&lt;64,64+($X107*3),0),0))</f>
        <v>0</v>
      </c>
      <c r="AF107" s="71">
        <f>IF($AD107="No",0,IF($AJ107="Overworld",IF($X107&lt;64,($Y107*3),0),0))</f>
        <v>0</v>
      </c>
      <c r="AG107" s="32">
        <f>IF($AC107&gt;64,64+(($AC107-64)*2.9),$AC107)</f>
        <v>249.6</v>
      </c>
      <c r="AH107" s="41" t="s">
        <v>424</v>
      </c>
      <c r="AI107" s="42"/>
      <c r="AJ107" s="131" t="s">
        <v>53</v>
      </c>
      <c r="AK107" s="20" t="str">
        <f>IF($X107&gt;64,"uniform",IF($AJ107="Overworld","normal","uniform"))</f>
        <v>uniform</v>
      </c>
      <c r="AL107" s="109" t="s">
        <v>425</v>
      </c>
      <c r="AM107" s="110" t="s">
        <v>64</v>
      </c>
      <c r="AN107" s="117"/>
      <c r="AO107" s="118" t="s">
        <v>56</v>
      </c>
      <c r="AP107" s="46"/>
    </row>
    <row r="108" spans="1:42" s="7" customFormat="1" ht="13.5">
      <c r="A108" s="31" t="s">
        <v>379</v>
      </c>
      <c r="B108" s="18"/>
      <c r="C108" s="105" t="s">
        <v>456</v>
      </c>
      <c r="D108" s="97" t="s">
        <v>59</v>
      </c>
      <c r="E108" s="98" t="s">
        <v>66</v>
      </c>
      <c r="F108" s="99" t="s">
        <v>61</v>
      </c>
      <c r="G108" s="37">
        <f>$H108*$I108/2</f>
        <v>8</v>
      </c>
      <c r="H108" s="123">
        <v>4</v>
      </c>
      <c r="I108" s="124">
        <v>4</v>
      </c>
      <c r="J108" s="146">
        <f>$H108/2</f>
        <v>2</v>
      </c>
      <c r="K108" s="147">
        <f>$I108/2</f>
        <v>2</v>
      </c>
      <c r="L108" s="77">
        <f>$G108/VLOOKUP($E108,Ore_Density[],2,FALSE)/Vanilla_COG_Divisor</f>
        <v>0.50097847358121328</v>
      </c>
      <c r="M108" s="82" t="str">
        <f>IF(OR($E108="Layered Veins",$E108="Small Deposits",$E108="Geode"),"Motherlode",IF(OR($E108="Pipe Veins",$E108="Sparse Veins",$E108="Vertical Veins"),"No","ERROR"))</f>
        <v>Motherlode</v>
      </c>
      <c r="N108" s="86">
        <v>1</v>
      </c>
      <c r="O108" s="86">
        <v>1</v>
      </c>
      <c r="P108" s="82" t="str">
        <f>IF(OR($E108="Layered Veins",$E108="Pipe Veins",$E108="Sparse Veins"),"Branches",IF($E108="Vertical Veins","Vertical","none"))</f>
        <v>Branches</v>
      </c>
      <c r="Q108" s="152">
        <f>SQRT($L108)*$N108</f>
        <v>0.70779832832609413</v>
      </c>
      <c r="R108" s="152">
        <f>IF($M108="Motherlode",(($O108*SQRT($L108))^(1/2))^(1/3),"none")</f>
        <v>0.94402810080572686</v>
      </c>
      <c r="S108" s="152">
        <f>IF($P108="Branches",SQRT($L108)^(1/2),IF($P108="Vertical","default",$P108))</f>
        <v>0.84130751115516267</v>
      </c>
      <c r="T108" s="153">
        <f>IF($P108="Branches",SQRT(SQRT($L108))^(1/2),IF($P108="Vertical",SQRT($L108)^(1/2),"none"))</f>
        <v>0.91722816744535418</v>
      </c>
      <c r="U108" s="77">
        <f>$G108/VLOOKUP($F108,Ore_Density[],2,FALSE)/Vanilla_COG_Divisor</f>
        <v>0.65306122448979587</v>
      </c>
      <c r="V108" s="158">
        <f>SQRT($U108)</f>
        <v>0.80812203564176854</v>
      </c>
      <c r="W108" s="147">
        <f>SQRT(SQRT($U108))</f>
        <v>0.89895608104165381</v>
      </c>
      <c r="X108" s="70">
        <f>$Y108+$AB108</f>
        <v>67</v>
      </c>
      <c r="Y108" s="71">
        <f>($AC108-$AB108)/2</f>
        <v>61</v>
      </c>
      <c r="Z108" s="71">
        <f>$AA108+$AB108</f>
        <v>127.8</v>
      </c>
      <c r="AA108" s="72">
        <f>($AG108-$AB108)/2</f>
        <v>121.8</v>
      </c>
      <c r="AB108" s="128">
        <v>6</v>
      </c>
      <c r="AC108" s="128">
        <v>128</v>
      </c>
      <c r="AD108" s="128"/>
      <c r="AE108" s="71">
        <f>IF($AD108="No",0,IF($AJ108="overworld",IF($X108&lt;64,64+($X108*3),0),0))</f>
        <v>0</v>
      </c>
      <c r="AF108" s="71">
        <f>IF($AD108="No",0,IF($AJ108="Overworld",IF($X108&lt;64,($Y108*3),0),0))</f>
        <v>0</v>
      </c>
      <c r="AG108" s="32">
        <f>IF($AC108&gt;64,64+(($AC108-64)*2.9),$AC108)</f>
        <v>249.6</v>
      </c>
      <c r="AH108" s="41" t="s">
        <v>457</v>
      </c>
      <c r="AI108" s="42"/>
      <c r="AJ108" s="131" t="s">
        <v>96</v>
      </c>
      <c r="AK108" s="20" t="str">
        <f>IF($X108&gt;64,"uniform",IF($AJ108="Overworld","normal","uniform"))</f>
        <v>uniform</v>
      </c>
      <c r="AL108" s="109" t="s">
        <v>458</v>
      </c>
      <c r="AM108" s="110" t="s">
        <v>98</v>
      </c>
      <c r="AN108" s="117"/>
      <c r="AO108" s="118" t="s">
        <v>56</v>
      </c>
      <c r="AP108" s="46"/>
    </row>
    <row r="109" spans="1:42" s="7" customFormat="1" ht="13.5">
      <c r="A109" s="31" t="s">
        <v>379</v>
      </c>
      <c r="B109" s="18"/>
      <c r="C109" s="105" t="s">
        <v>176</v>
      </c>
      <c r="D109" s="97" t="s">
        <v>59</v>
      </c>
      <c r="E109" s="98" t="s">
        <v>66</v>
      </c>
      <c r="F109" s="99" t="s">
        <v>61</v>
      </c>
      <c r="G109" s="37">
        <f>$H109*$I109/2</f>
        <v>36</v>
      </c>
      <c r="H109" s="123">
        <v>6</v>
      </c>
      <c r="I109" s="124">
        <v>12</v>
      </c>
      <c r="J109" s="146">
        <f>$H109/2</f>
        <v>3</v>
      </c>
      <c r="K109" s="147">
        <f>$I109/2</f>
        <v>6</v>
      </c>
      <c r="L109" s="77">
        <f>$G109/VLOOKUP($E109,Ore_Density[],2,FALSE)/Vanilla_COG_Divisor</f>
        <v>2.2544031311154598</v>
      </c>
      <c r="M109" s="82" t="str">
        <f>IF(OR($E109="Layered Veins",$E109="Small Deposits",$E109="Geode"),"Motherlode",IF(OR($E109="Pipe Veins",$E109="Sparse Veins",$E109="Vertical Veins"),"No","ERROR"))</f>
        <v>Motherlode</v>
      </c>
      <c r="N109" s="86">
        <v>1</v>
      </c>
      <c r="O109" s="86">
        <v>1</v>
      </c>
      <c r="P109" s="82" t="str">
        <f>IF(OR($E109="Layered Veins",$E109="Pipe Veins",$E109="Sparse Veins"),"Branches",IF($E109="Vertical Veins","Vertical","none"))</f>
        <v>Branches</v>
      </c>
      <c r="Q109" s="152">
        <f>SQRT($L109)*$N109</f>
        <v>1.5014669930156506</v>
      </c>
      <c r="R109" s="152">
        <f>IF($M109="Motherlode",(($O109*SQRT($L109))^(1/2))^(1/3),"none")</f>
        <v>1.0700875179307914</v>
      </c>
      <c r="S109" s="152">
        <f>IF($P109="Branches",SQRT($L109)^(1/2),IF($P109="Vertical","default",$P109))</f>
        <v>1.225343622424196</v>
      </c>
      <c r="T109" s="153">
        <f>IF($P109="Branches",SQRT(SQRT($L109))^(1/2),IF($P109="Vertical",SQRT($L109)^(1/2),"none"))</f>
        <v>1.1069524029623838</v>
      </c>
      <c r="U109" s="77">
        <f>$G109/VLOOKUP($F109,Ore_Density[],2,FALSE)/Vanilla_COG_Divisor</f>
        <v>2.9387755102040818</v>
      </c>
      <c r="V109" s="158">
        <f>SQRT($U109)</f>
        <v>1.7142857142857144</v>
      </c>
      <c r="W109" s="147">
        <f>SQRT(SQRT($U109))</f>
        <v>1.3093073414159544</v>
      </c>
      <c r="X109" s="70">
        <f>$Y109+$AB109</f>
        <v>67</v>
      </c>
      <c r="Y109" s="71">
        <f>($AC109-$AB109)/2</f>
        <v>61</v>
      </c>
      <c r="Z109" s="71">
        <f>$AA109+$AB109</f>
        <v>127.8</v>
      </c>
      <c r="AA109" s="72">
        <f>($AG109-$AB109)/2</f>
        <v>121.8</v>
      </c>
      <c r="AB109" s="128">
        <v>6</v>
      </c>
      <c r="AC109" s="128">
        <v>128</v>
      </c>
      <c r="AD109" s="128"/>
      <c r="AE109" s="71">
        <f>IF($AD109="No",0,IF($AJ109="overworld",IF($X109&lt;64,64+($X109*3),0),0))</f>
        <v>0</v>
      </c>
      <c r="AF109" s="71">
        <f>IF($AD109="No",0,IF($AJ109="Overworld",IF($X109&lt;64,($Y109*3),0),0))</f>
        <v>0</v>
      </c>
      <c r="AG109" s="32">
        <f>IF($AC109&gt;64,64+(($AC109-64)*2.9),$AC109)</f>
        <v>249.6</v>
      </c>
      <c r="AH109" s="41" t="s">
        <v>395</v>
      </c>
      <c r="AI109" s="42"/>
      <c r="AJ109" s="131" t="s">
        <v>53</v>
      </c>
      <c r="AK109" s="20" t="str">
        <f>IF($X109&gt;64,"uniform",IF($AJ109="Overworld","normal","uniform"))</f>
        <v>uniform</v>
      </c>
      <c r="AL109" s="109" t="s">
        <v>396</v>
      </c>
      <c r="AM109" s="110" t="s">
        <v>64</v>
      </c>
      <c r="AN109" s="117"/>
      <c r="AO109" s="118" t="s">
        <v>56</v>
      </c>
      <c r="AP109" s="46"/>
    </row>
    <row r="110" spans="1:42" s="7" customFormat="1" ht="13.5">
      <c r="A110" s="31" t="s">
        <v>379</v>
      </c>
      <c r="B110" s="18"/>
      <c r="C110" s="105" t="s">
        <v>411</v>
      </c>
      <c r="D110" s="97" t="s">
        <v>59</v>
      </c>
      <c r="E110" s="98" t="s">
        <v>66</v>
      </c>
      <c r="F110" s="99" t="s">
        <v>61</v>
      </c>
      <c r="G110" s="37">
        <f>$H110*$I110/2</f>
        <v>10</v>
      </c>
      <c r="H110" s="123">
        <v>4</v>
      </c>
      <c r="I110" s="124">
        <v>5</v>
      </c>
      <c r="J110" s="146">
        <f>$H110/2</f>
        <v>2</v>
      </c>
      <c r="K110" s="147">
        <f>$I110/2</f>
        <v>2.5</v>
      </c>
      <c r="L110" s="77">
        <f>$G110/VLOOKUP($E110,Ore_Density[],2,FALSE)/Vanilla_COG_Divisor</f>
        <v>0.6262230919765166</v>
      </c>
      <c r="M110" s="82" t="str">
        <f>IF(OR($E110="Layered Veins",$E110="Small Deposits",$E110="Geode"),"Motherlode",IF(OR($E110="Pipe Veins",$E110="Sparse Veins",$E110="Vertical Veins"),"No","ERROR"))</f>
        <v>Motherlode</v>
      </c>
      <c r="N110" s="86">
        <v>1</v>
      </c>
      <c r="O110" s="86">
        <v>1</v>
      </c>
      <c r="P110" s="82" t="str">
        <f>IF(OR($E110="Layered Veins",$E110="Pipe Veins",$E110="Sparse Veins"),"Branches",IF($E110="Vertical Veins","Vertical","none"))</f>
        <v>Branches</v>
      </c>
      <c r="Q110" s="152">
        <f>SQRT($L110)*$N110</f>
        <v>0.79134258824893067</v>
      </c>
      <c r="R110" s="152">
        <f>IF($M110="Motherlode",(($O110*SQRT($L110))^(1/2))^(1/3),"none")</f>
        <v>0.96174681451190136</v>
      </c>
      <c r="S110" s="152">
        <f>IF($P110="Branches",SQRT($L110)^(1/2),IF($P110="Vertical","default",$P110))</f>
        <v>0.88957438601217076</v>
      </c>
      <c r="T110" s="153">
        <f>IF($P110="Branches",SQRT(SQRT($L110))^(1/2),IF($P110="Vertical",SQRT($L110)^(1/2),"none"))</f>
        <v>0.94317251126831025</v>
      </c>
      <c r="U110" s="77">
        <f>$G110/VLOOKUP($F110,Ore_Density[],2,FALSE)/Vanilla_COG_Divisor</f>
        <v>0.81632653061224492</v>
      </c>
      <c r="V110" s="158">
        <f>SQRT($U110)</f>
        <v>0.90350790290525129</v>
      </c>
      <c r="W110" s="147">
        <f>SQRT(SQRT($U110))</f>
        <v>0.95053032718859176</v>
      </c>
      <c r="X110" s="70">
        <f>$Y110+$AB110</f>
        <v>67</v>
      </c>
      <c r="Y110" s="71">
        <f>($AC110-$AB110)/2</f>
        <v>61</v>
      </c>
      <c r="Z110" s="71">
        <f>$AA110+$AB110</f>
        <v>127.8</v>
      </c>
      <c r="AA110" s="72">
        <f>($AG110-$AB110)/2</f>
        <v>121.8</v>
      </c>
      <c r="AB110" s="128">
        <v>6</v>
      </c>
      <c r="AC110" s="128">
        <v>128</v>
      </c>
      <c r="AD110" s="128"/>
      <c r="AE110" s="71">
        <f>IF($AD110="No",0,IF($AJ110="overworld",IF($X110&lt;64,64+($X110*3),0),0))</f>
        <v>0</v>
      </c>
      <c r="AF110" s="71">
        <f>IF($AD110="No",0,IF($AJ110="Overworld",IF($X110&lt;64,($Y110*3),0),0))</f>
        <v>0</v>
      </c>
      <c r="AG110" s="32">
        <f>IF($AC110&gt;64,64+(($AC110-64)*2.9),$AC110)</f>
        <v>249.6</v>
      </c>
      <c r="AH110" s="41" t="s">
        <v>412</v>
      </c>
      <c r="AI110" s="42"/>
      <c r="AJ110" s="131" t="s">
        <v>53</v>
      </c>
      <c r="AK110" s="20" t="str">
        <f>IF($X110&gt;64,"uniform",IF($AJ110="Overworld","normal","uniform"))</f>
        <v>uniform</v>
      </c>
      <c r="AL110" s="109" t="s">
        <v>413</v>
      </c>
      <c r="AM110" s="110" t="s">
        <v>64</v>
      </c>
      <c r="AN110" s="117"/>
      <c r="AO110" s="118" t="s">
        <v>56</v>
      </c>
      <c r="AP110" s="46"/>
    </row>
    <row r="111" spans="1:42" s="7" customFormat="1" ht="13.5">
      <c r="A111" s="31" t="s">
        <v>379</v>
      </c>
      <c r="B111" s="18"/>
      <c r="C111" s="105" t="s">
        <v>471</v>
      </c>
      <c r="D111" s="97" t="s">
        <v>59</v>
      </c>
      <c r="E111" s="98" t="s">
        <v>66</v>
      </c>
      <c r="F111" s="99" t="s">
        <v>61</v>
      </c>
      <c r="G111" s="37">
        <f>$H111*$I111/2</f>
        <v>12</v>
      </c>
      <c r="H111" s="123">
        <v>4</v>
      </c>
      <c r="I111" s="124">
        <v>6</v>
      </c>
      <c r="J111" s="146">
        <f>$H111/2</f>
        <v>2</v>
      </c>
      <c r="K111" s="147">
        <f>$I111/2</f>
        <v>3</v>
      </c>
      <c r="L111" s="77">
        <f>$G111/VLOOKUP($E111,Ore_Density[],2,FALSE)/Vanilla_COG_Divisor</f>
        <v>0.75146771037181992</v>
      </c>
      <c r="M111" s="82" t="str">
        <f>IF(OR($E111="Layered Veins",$E111="Small Deposits",$E111="Geode"),"Motherlode",IF(OR($E111="Pipe Veins",$E111="Sparse Veins",$E111="Vertical Veins"),"No","ERROR"))</f>
        <v>Motherlode</v>
      </c>
      <c r="N111" s="86">
        <v>1</v>
      </c>
      <c r="O111" s="86">
        <v>1</v>
      </c>
      <c r="P111" s="82" t="str">
        <f>IF(OR($E111="Layered Veins",$E111="Pipe Veins",$E111="Sparse Veins"),"Branches",IF($E111="Vertical Veins","Vertical","none"))</f>
        <v>Branches</v>
      </c>
      <c r="Q111" s="152">
        <f>SQRT($L111)*$N111</f>
        <v>0.86687237259692385</v>
      </c>
      <c r="R111" s="152">
        <f>IF($M111="Motherlode",(($O111*SQRT($L111))^(1/2))^(1/3),"none")</f>
        <v>0.97647064899688185</v>
      </c>
      <c r="S111" s="152">
        <f>IF($P111="Branches",SQRT($L111)^(1/2),IF($P111="Vertical","default",$P111))</f>
        <v>0.93105981150349515</v>
      </c>
      <c r="T111" s="153">
        <f>IF($P111="Branches",SQRT(SQRT($L111))^(1/2),IF($P111="Vertical",SQRT($L111)^(1/2),"none"))</f>
        <v>0.96491440630943792</v>
      </c>
      <c r="U111" s="77">
        <f>$G111/VLOOKUP($F111,Ore_Density[],2,FALSE)/Vanilla_COG_Divisor</f>
        <v>0.97959183673469385</v>
      </c>
      <c r="V111" s="158">
        <f>SQRT($U111)</f>
        <v>0.98974331861078702</v>
      </c>
      <c r="W111" s="147">
        <f>SQRT(SQRT($U111))</f>
        <v>0.99485844149345537</v>
      </c>
      <c r="X111" s="70">
        <f>$Y111+$AB111</f>
        <v>35</v>
      </c>
      <c r="Y111" s="71">
        <f>($AC111-$AB111)/2</f>
        <v>29</v>
      </c>
      <c r="Z111" s="71">
        <f>$AA111+$AB111</f>
        <v>35</v>
      </c>
      <c r="AA111" s="72">
        <f>($AG111-$AB111)/2</f>
        <v>29</v>
      </c>
      <c r="AB111" s="128">
        <v>6</v>
      </c>
      <c r="AC111" s="128">
        <v>64</v>
      </c>
      <c r="AD111" s="128"/>
      <c r="AE111" s="71">
        <f>IF($AD111="No",0,IF($AJ111="overworld",IF($X111&lt;64,64+($X111*3),0),0))</f>
        <v>0</v>
      </c>
      <c r="AF111" s="71">
        <f>IF($AD111="No",0,IF($AJ111="Overworld",IF($X111&lt;64,($Y111*3),0),0))</f>
        <v>0</v>
      </c>
      <c r="AG111" s="32">
        <f>IF($AC111&gt;64,64+(($AC111-64)*2.9),$AC111)</f>
        <v>64</v>
      </c>
      <c r="AH111" s="41" t="s">
        <v>472</v>
      </c>
      <c r="AI111" s="42"/>
      <c r="AJ111" s="131" t="s">
        <v>119</v>
      </c>
      <c r="AK111" s="20" t="str">
        <f>IF($X111&gt;64,"uniform",IF($AJ111="Overworld","normal","uniform"))</f>
        <v>uniform</v>
      </c>
      <c r="AL111" s="109" t="s">
        <v>473</v>
      </c>
      <c r="AM111" s="110" t="s">
        <v>121</v>
      </c>
      <c r="AN111" s="117"/>
      <c r="AO111" s="118" t="s">
        <v>56</v>
      </c>
      <c r="AP111" s="46" t="s">
        <v>474</v>
      </c>
    </row>
    <row r="112" spans="1:42" s="7" customFormat="1" ht="13.5">
      <c r="A112" s="31" t="s">
        <v>379</v>
      </c>
      <c r="B112" s="18"/>
      <c r="C112" s="105" t="s">
        <v>441</v>
      </c>
      <c r="D112" s="97" t="s">
        <v>59</v>
      </c>
      <c r="E112" s="98" t="s">
        <v>66</v>
      </c>
      <c r="F112" s="99" t="s">
        <v>61</v>
      </c>
      <c r="G112" s="37">
        <f>$H112*$I112/2</f>
        <v>27</v>
      </c>
      <c r="H112" s="123">
        <v>6</v>
      </c>
      <c r="I112" s="124">
        <v>9</v>
      </c>
      <c r="J112" s="146">
        <f>$H112/2</f>
        <v>3</v>
      </c>
      <c r="K112" s="147">
        <f>$I112/2</f>
        <v>4.5</v>
      </c>
      <c r="L112" s="77">
        <f>$G112/VLOOKUP($E112,Ore_Density[],2,FALSE)/Vanilla_COG_Divisor</f>
        <v>1.6908023483365948</v>
      </c>
      <c r="M112" s="82" t="str">
        <f>IF(OR($E112="Layered Veins",$E112="Small Deposits",$E112="Geode"),"Motherlode",IF(OR($E112="Pipe Veins",$E112="Sparse Veins",$E112="Vertical Veins"),"No","ERROR"))</f>
        <v>Motherlode</v>
      </c>
      <c r="N112" s="86">
        <v>1</v>
      </c>
      <c r="O112" s="86">
        <v>1</v>
      </c>
      <c r="P112" s="82" t="str">
        <f>IF(OR($E112="Layered Veins",$E112="Pipe Veins",$E112="Sparse Veins"),"Branches",IF($E112="Vertical Veins","Vertical","none"))</f>
        <v>Branches</v>
      </c>
      <c r="Q112" s="152">
        <f>SQRT($L112)*$N112</f>
        <v>1.3003085588953858</v>
      </c>
      <c r="R112" s="152">
        <f>IF($M112="Motherlode",(($O112*SQRT($L112))^(1/2))^(1/3),"none")</f>
        <v>1.0447388308507306</v>
      </c>
      <c r="S112" s="152">
        <f>IF($P112="Branches",SQRT($L112)^(1/2),IF($P112="Vertical","default",$P112))</f>
        <v>1.1403107290977252</v>
      </c>
      <c r="T112" s="153">
        <f>IF($P112="Branches",SQRT(SQRT($L112))^(1/2),IF($P112="Vertical",SQRT($L112)^(1/2),"none"))</f>
        <v>1.0678533275210249</v>
      </c>
      <c r="U112" s="77">
        <f>$G112/VLOOKUP($F112,Ore_Density[],2,FALSE)/Vanilla_COG_Divisor</f>
        <v>2.2040816326530615</v>
      </c>
      <c r="V112" s="158">
        <f>SQRT($U112)</f>
        <v>1.4846149779161806</v>
      </c>
      <c r="W112" s="147">
        <f>SQRT(SQRT($U112))</f>
        <v>1.2184477739797388</v>
      </c>
      <c r="X112" s="70">
        <f>$Y112+$AB112</f>
        <v>67</v>
      </c>
      <c r="Y112" s="71">
        <f>($AC112-$AB112)/2</f>
        <v>61</v>
      </c>
      <c r="Z112" s="71">
        <f>$AA112+$AB112</f>
        <v>127.8</v>
      </c>
      <c r="AA112" s="72">
        <f>($AG112-$AB112)/2</f>
        <v>121.8</v>
      </c>
      <c r="AB112" s="128">
        <v>6</v>
      </c>
      <c r="AC112" s="128">
        <v>128</v>
      </c>
      <c r="AD112" s="128"/>
      <c r="AE112" s="71">
        <f>IF($AD112="No",0,IF($AJ112="overworld",IF($X112&lt;64,64+($X112*3),0),0))</f>
        <v>0</v>
      </c>
      <c r="AF112" s="71">
        <f>IF($AD112="No",0,IF($AJ112="Overworld",IF($X112&lt;64,($Y112*3),0),0))</f>
        <v>0</v>
      </c>
      <c r="AG112" s="32">
        <f>IF($AC112&gt;64,64+(($AC112-64)*2.9),$AC112)</f>
        <v>249.6</v>
      </c>
      <c r="AH112" s="41" t="s">
        <v>442</v>
      </c>
      <c r="AI112" s="42"/>
      <c r="AJ112" s="131" t="s">
        <v>96</v>
      </c>
      <c r="AK112" s="20" t="str">
        <f>IF($X112&gt;64,"uniform",IF($AJ112="Overworld","normal","uniform"))</f>
        <v>uniform</v>
      </c>
      <c r="AL112" s="109" t="s">
        <v>443</v>
      </c>
      <c r="AM112" s="110" t="s">
        <v>98</v>
      </c>
      <c r="AN112" s="117"/>
      <c r="AO112" s="118" t="s">
        <v>56</v>
      </c>
      <c r="AP112" s="46"/>
    </row>
    <row r="113" spans="1:42" s="7" customFormat="1" ht="13.5">
      <c r="A113" s="31" t="s">
        <v>379</v>
      </c>
      <c r="B113" s="18"/>
      <c r="C113" s="105" t="s">
        <v>414</v>
      </c>
      <c r="D113" s="97" t="s">
        <v>59</v>
      </c>
      <c r="E113" s="98" t="s">
        <v>66</v>
      </c>
      <c r="F113" s="99" t="s">
        <v>61</v>
      </c>
      <c r="G113" s="37">
        <f>$H113*$I113/2</f>
        <v>10</v>
      </c>
      <c r="H113" s="123">
        <v>4</v>
      </c>
      <c r="I113" s="124">
        <v>5</v>
      </c>
      <c r="J113" s="146">
        <f>$H113/2</f>
        <v>2</v>
      </c>
      <c r="K113" s="147">
        <f>$I113/2</f>
        <v>2.5</v>
      </c>
      <c r="L113" s="77">
        <f>$G113/VLOOKUP($E113,Ore_Density[],2,FALSE)/Vanilla_COG_Divisor</f>
        <v>0.6262230919765166</v>
      </c>
      <c r="M113" s="82" t="str">
        <f>IF(OR($E113="Layered Veins",$E113="Small Deposits",$E113="Geode"),"Motherlode",IF(OR($E113="Pipe Veins",$E113="Sparse Veins",$E113="Vertical Veins"),"No","ERROR"))</f>
        <v>Motherlode</v>
      </c>
      <c r="N113" s="86">
        <v>1</v>
      </c>
      <c r="O113" s="86">
        <v>1</v>
      </c>
      <c r="P113" s="82" t="str">
        <f>IF(OR($E113="Layered Veins",$E113="Pipe Veins",$E113="Sparse Veins"),"Branches",IF($E113="Vertical Veins","Vertical","none"))</f>
        <v>Branches</v>
      </c>
      <c r="Q113" s="152">
        <f>SQRT($L113)*$N113</f>
        <v>0.79134258824893067</v>
      </c>
      <c r="R113" s="152">
        <f>IF($M113="Motherlode",(($O113*SQRT($L113))^(1/2))^(1/3),"none")</f>
        <v>0.96174681451190136</v>
      </c>
      <c r="S113" s="152">
        <f>IF($P113="Branches",SQRT($L113)^(1/2),IF($P113="Vertical","default",$P113))</f>
        <v>0.88957438601217076</v>
      </c>
      <c r="T113" s="153">
        <f>IF($P113="Branches",SQRT(SQRT($L113))^(1/2),IF($P113="Vertical",SQRT($L113)^(1/2),"none"))</f>
        <v>0.94317251126831025</v>
      </c>
      <c r="U113" s="77">
        <f>$G113/VLOOKUP($F113,Ore_Density[],2,FALSE)/Vanilla_COG_Divisor</f>
        <v>0.81632653061224492</v>
      </c>
      <c r="V113" s="158">
        <f>SQRT($U113)</f>
        <v>0.90350790290525129</v>
      </c>
      <c r="W113" s="147">
        <f>SQRT(SQRT($U113))</f>
        <v>0.95053032718859176</v>
      </c>
      <c r="X113" s="70">
        <f>$Y113+$AB113</f>
        <v>67</v>
      </c>
      <c r="Y113" s="71">
        <f>($AC113-$AB113)/2</f>
        <v>61</v>
      </c>
      <c r="Z113" s="71">
        <f>$AA113+$AB113</f>
        <v>127.8</v>
      </c>
      <c r="AA113" s="72">
        <f>($AG113-$AB113)/2</f>
        <v>121.8</v>
      </c>
      <c r="AB113" s="128">
        <v>6</v>
      </c>
      <c r="AC113" s="128">
        <v>128</v>
      </c>
      <c r="AD113" s="128"/>
      <c r="AE113" s="71">
        <f>IF($AD113="No",0,IF($AJ113="overworld",IF($X113&lt;64,64+($X113*3),0),0))</f>
        <v>0</v>
      </c>
      <c r="AF113" s="71">
        <f>IF($AD113="No",0,IF($AJ113="Overworld",IF($X113&lt;64,($Y113*3),0),0))</f>
        <v>0</v>
      </c>
      <c r="AG113" s="32">
        <f>IF($AC113&gt;64,64+(($AC113-64)*2.9),$AC113)</f>
        <v>249.6</v>
      </c>
      <c r="AH113" s="41" t="s">
        <v>415</v>
      </c>
      <c r="AI113" s="42"/>
      <c r="AJ113" s="131" t="s">
        <v>53</v>
      </c>
      <c r="AK113" s="20" t="str">
        <f>IF($X113&gt;64,"uniform",IF($AJ113="Overworld","normal","uniform"))</f>
        <v>uniform</v>
      </c>
      <c r="AL113" s="109" t="s">
        <v>416</v>
      </c>
      <c r="AM113" s="110" t="s">
        <v>64</v>
      </c>
      <c r="AN113" s="117"/>
      <c r="AO113" s="118" t="s">
        <v>56</v>
      </c>
      <c r="AP113" s="46"/>
    </row>
    <row r="114" spans="1:42" s="7" customFormat="1" ht="13.5">
      <c r="A114" s="31" t="s">
        <v>379</v>
      </c>
      <c r="B114" s="18"/>
      <c r="C114" s="105" t="s">
        <v>462</v>
      </c>
      <c r="D114" s="97" t="s">
        <v>59</v>
      </c>
      <c r="E114" s="98" t="s">
        <v>66</v>
      </c>
      <c r="F114" s="99" t="s">
        <v>61</v>
      </c>
      <c r="G114" s="37">
        <f>$H114*$I114/2</f>
        <v>6</v>
      </c>
      <c r="H114" s="123">
        <v>4</v>
      </c>
      <c r="I114" s="124">
        <v>3</v>
      </c>
      <c r="J114" s="146">
        <f>$H114/2</f>
        <v>2</v>
      </c>
      <c r="K114" s="147">
        <f>$I114/2</f>
        <v>1.5</v>
      </c>
      <c r="L114" s="77">
        <f>$G114/VLOOKUP($E114,Ore_Density[],2,FALSE)/Vanilla_COG_Divisor</f>
        <v>0.37573385518590996</v>
      </c>
      <c r="M114" s="82" t="str">
        <f>IF(OR($E114="Layered Veins",$E114="Small Deposits",$E114="Geode"),"Motherlode",IF(OR($E114="Pipe Veins",$E114="Sparse Veins",$E114="Vertical Veins"),"No","ERROR"))</f>
        <v>Motherlode</v>
      </c>
      <c r="N114" s="86">
        <v>1</v>
      </c>
      <c r="O114" s="86">
        <v>1</v>
      </c>
      <c r="P114" s="82" t="str">
        <f>IF(OR($E114="Layered Veins",$E114="Pipe Veins",$E114="Sparse Veins"),"Branches",IF($E114="Vertical Veins","Vertical","none"))</f>
        <v>Branches</v>
      </c>
      <c r="Q114" s="152">
        <f>SQRT($L114)*$N114</f>
        <v>0.61297133308655627</v>
      </c>
      <c r="R114" s="152">
        <f>IF($M114="Motherlode",(($O114*SQRT($L114))^(1/2))^(1/3),"none")</f>
        <v>0.92166556267577893</v>
      </c>
      <c r="S114" s="152">
        <f>IF($P114="Branches",SQRT($L114)^(1/2),IF($P114="Vertical","default",$P114))</f>
        <v>0.78292485788008814</v>
      </c>
      <c r="T114" s="153">
        <f>IF($P114="Branches",SQRT(SQRT($L114))^(1/2),IF($P114="Vertical",SQRT($L114)^(1/2),"none"))</f>
        <v>0.88483041193218948</v>
      </c>
      <c r="U114" s="77">
        <f>$G114/VLOOKUP($F114,Ore_Density[],2,FALSE)/Vanilla_COG_Divisor</f>
        <v>0.48979591836734693</v>
      </c>
      <c r="V114" s="158">
        <f>SQRT($U114)</f>
        <v>0.6998542122237652</v>
      </c>
      <c r="W114" s="147">
        <f>SQRT(SQRT($U114))</f>
        <v>0.83657289713674399</v>
      </c>
      <c r="X114" s="70">
        <f>$Y114+$AB114</f>
        <v>67</v>
      </c>
      <c r="Y114" s="71">
        <f>($AC114-$AB114)/2</f>
        <v>61</v>
      </c>
      <c r="Z114" s="71">
        <f>$AA114+$AB114</f>
        <v>127.8</v>
      </c>
      <c r="AA114" s="72">
        <f>($AG114-$AB114)/2</f>
        <v>121.8</v>
      </c>
      <c r="AB114" s="128">
        <v>6</v>
      </c>
      <c r="AC114" s="128">
        <v>128</v>
      </c>
      <c r="AD114" s="128"/>
      <c r="AE114" s="71">
        <f>IF($AD114="No",0,IF($AJ114="overworld",IF($X114&lt;64,64+($X114*3),0),0))</f>
        <v>0</v>
      </c>
      <c r="AF114" s="71">
        <f>IF($AD114="No",0,IF($AJ114="Overworld",IF($X114&lt;64,($Y114*3),0),0))</f>
        <v>0</v>
      </c>
      <c r="AG114" s="32">
        <f>IF($AC114&gt;64,64+(($AC114-64)*2.9),$AC114)</f>
        <v>249.6</v>
      </c>
      <c r="AH114" s="41" t="s">
        <v>463</v>
      </c>
      <c r="AI114" s="42"/>
      <c r="AJ114" s="131" t="s">
        <v>96</v>
      </c>
      <c r="AK114" s="20" t="str">
        <f>IF($X114&gt;64,"uniform",IF($AJ114="Overworld","normal","uniform"))</f>
        <v>uniform</v>
      </c>
      <c r="AL114" s="109" t="s">
        <v>464</v>
      </c>
      <c r="AM114" s="110" t="s">
        <v>98</v>
      </c>
      <c r="AN114" s="117"/>
      <c r="AO114" s="118" t="s">
        <v>56</v>
      </c>
      <c r="AP114" s="46"/>
    </row>
    <row r="115" spans="1:42" s="7" customFormat="1" ht="13.5">
      <c r="A115" s="31" t="s">
        <v>379</v>
      </c>
      <c r="B115" s="18"/>
      <c r="C115" s="105" t="s">
        <v>447</v>
      </c>
      <c r="D115" s="97" t="s">
        <v>59</v>
      </c>
      <c r="E115" s="98" t="s">
        <v>66</v>
      </c>
      <c r="F115" s="99" t="s">
        <v>61</v>
      </c>
      <c r="G115" s="37">
        <f>$H115*$I115/2</f>
        <v>18</v>
      </c>
      <c r="H115" s="123">
        <v>6</v>
      </c>
      <c r="I115" s="124">
        <v>6</v>
      </c>
      <c r="J115" s="146">
        <f>$H115/2</f>
        <v>3</v>
      </c>
      <c r="K115" s="147">
        <f>$I115/2</f>
        <v>3</v>
      </c>
      <c r="L115" s="77">
        <f>$G115/VLOOKUP($E115,Ore_Density[],2,FALSE)/Vanilla_COG_Divisor</f>
        <v>1.1272015655577299</v>
      </c>
      <c r="M115" s="82" t="str">
        <f>IF(OR($E115="Layered Veins",$E115="Small Deposits",$E115="Geode"),"Motherlode",IF(OR($E115="Pipe Veins",$E115="Sparse Veins",$E115="Vertical Veins"),"No","ERROR"))</f>
        <v>Motherlode</v>
      </c>
      <c r="N115" s="86">
        <v>1</v>
      </c>
      <c r="O115" s="86">
        <v>1</v>
      </c>
      <c r="P115" s="82" t="str">
        <f>IF(OR($E115="Layered Veins",$E115="Pipe Veins",$E115="Sparse Veins"),"Branches",IF($E115="Vertical Veins","Vertical","none"))</f>
        <v>Branches</v>
      </c>
      <c r="Q115" s="152">
        <f>SQRT($L115)*$N115</f>
        <v>1.0616974924891411</v>
      </c>
      <c r="R115" s="152">
        <f>IF($M115="Motherlode",(($O115*SQRT($L115))^(1/2))^(1/3),"none")</f>
        <v>1.0100281204961852</v>
      </c>
      <c r="S115" s="152">
        <f>IF($P115="Branches",SQRT($L115)^(1/2),IF($P115="Vertical","default",$P115))</f>
        <v>1.0303870595505076</v>
      </c>
      <c r="T115" s="153">
        <f>IF($P115="Branches",SQRT(SQRT($L115))^(1/2),IF($P115="Vertical",SQRT($L115)^(1/2),"none"))</f>
        <v>1.0150798291516325</v>
      </c>
      <c r="U115" s="77">
        <f>$G115/VLOOKUP($F115,Ore_Density[],2,FALSE)/Vanilla_COG_Divisor</f>
        <v>1.4693877551020409</v>
      </c>
      <c r="V115" s="158">
        <f>SQRT($U115)</f>
        <v>1.212183053462653</v>
      </c>
      <c r="W115" s="147">
        <f>SQRT(SQRT($U115))</f>
        <v>1.1009918498620472</v>
      </c>
      <c r="X115" s="70">
        <f>$Y115+$AB115</f>
        <v>67</v>
      </c>
      <c r="Y115" s="71">
        <f>($AC115-$AB115)/2</f>
        <v>61</v>
      </c>
      <c r="Z115" s="71">
        <f>$AA115+$AB115</f>
        <v>127.8</v>
      </c>
      <c r="AA115" s="72">
        <f>($AG115-$AB115)/2</f>
        <v>121.8</v>
      </c>
      <c r="AB115" s="128">
        <v>6</v>
      </c>
      <c r="AC115" s="128">
        <v>128</v>
      </c>
      <c r="AD115" s="128"/>
      <c r="AE115" s="71">
        <f>IF($AD115="No",0,IF($AJ115="overworld",IF($X115&lt;64,64+($X115*3),0),0))</f>
        <v>0</v>
      </c>
      <c r="AF115" s="71">
        <f>IF($AD115="No",0,IF($AJ115="Overworld",IF($X115&lt;64,($Y115*3),0),0))</f>
        <v>0</v>
      </c>
      <c r="AG115" s="32">
        <f>IF($AC115&gt;64,64+(($AC115-64)*2.9),$AC115)</f>
        <v>249.6</v>
      </c>
      <c r="AH115" s="41" t="s">
        <v>448</v>
      </c>
      <c r="AI115" s="42"/>
      <c r="AJ115" s="131" t="s">
        <v>96</v>
      </c>
      <c r="AK115" s="20" t="str">
        <f>IF($X115&gt;64,"uniform",IF($AJ115="Overworld","normal","uniform"))</f>
        <v>uniform</v>
      </c>
      <c r="AL115" s="109" t="s">
        <v>449</v>
      </c>
      <c r="AM115" s="110" t="s">
        <v>98</v>
      </c>
      <c r="AN115" s="117"/>
      <c r="AO115" s="118" t="s">
        <v>56</v>
      </c>
      <c r="AP115" s="46"/>
    </row>
    <row r="116" spans="1:42" s="7" customFormat="1" ht="13.5">
      <c r="A116" s="31" t="s">
        <v>379</v>
      </c>
      <c r="B116" s="18"/>
      <c r="C116" s="105" t="s">
        <v>387</v>
      </c>
      <c r="D116" s="97" t="s">
        <v>59</v>
      </c>
      <c r="E116" s="98" t="s">
        <v>60</v>
      </c>
      <c r="F116" s="99" t="s">
        <v>61</v>
      </c>
      <c r="G116" s="37">
        <f>$H116*$I116/2</f>
        <v>8</v>
      </c>
      <c r="H116" s="123">
        <v>4</v>
      </c>
      <c r="I116" s="124">
        <v>4</v>
      </c>
      <c r="J116" s="146">
        <f>$H116/2</f>
        <v>2</v>
      </c>
      <c r="K116" s="147">
        <f>$I116/2</f>
        <v>2</v>
      </c>
      <c r="L116" s="77">
        <f>$G116/VLOOKUP($E116,Ore_Density[],2,FALSE)/Vanilla_COG_Divisor</f>
        <v>3.0017771871747807</v>
      </c>
      <c r="M116" s="82" t="str">
        <f>IF(OR($E116="Layered Veins",$E116="Small Deposits",$E116="Geode"),"Motherlode",IF(OR($E116="Pipe Veins",$E116="Sparse Veins",$E116="Vertical Veins"),"No","ERROR"))</f>
        <v>No</v>
      </c>
      <c r="N116" s="86">
        <v>1</v>
      </c>
      <c r="O116" s="86">
        <v>1</v>
      </c>
      <c r="P116" s="82" t="str">
        <f>IF(OR($E116="Layered Veins",$E116="Pipe Veins",$E116="Sparse Veins"),"Branches",IF($E116="Vertical Veins","Vertical","none"))</f>
        <v>Branches</v>
      </c>
      <c r="Q116" s="152">
        <f>SQRT($L116)*$N116</f>
        <v>1.7325637613590965</v>
      </c>
      <c r="R116" s="152" t="str">
        <f>IF($M116="Motherlode",(($O116*SQRT($L116))^(1/2))^(1/3),"none")</f>
        <v>none</v>
      </c>
      <c r="S116" s="152">
        <f>IF($P116="Branches",SQRT($L116)^(1/2),IF($P116="Vertical","default",$P116))</f>
        <v>1.3162688788234327</v>
      </c>
      <c r="T116" s="153">
        <f>IF($P116="Branches",SQRT(SQRT($L116))^(1/2),IF($P116="Vertical",SQRT($L116)^(1/2),"none"))</f>
        <v>1.1472876181775138</v>
      </c>
      <c r="U116" s="77">
        <f>$G116/VLOOKUP($F116,Ore_Density[],2,FALSE)/Vanilla_COG_Divisor</f>
        <v>0.65306122448979587</v>
      </c>
      <c r="V116" s="158">
        <f>SQRT($U116)</f>
        <v>0.80812203564176854</v>
      </c>
      <c r="W116" s="147">
        <f>SQRT(SQRT($U116))</f>
        <v>0.89895608104165381</v>
      </c>
      <c r="X116" s="70">
        <f>$Y116+$AB116</f>
        <v>67</v>
      </c>
      <c r="Y116" s="71">
        <f>($AC116-$AB116)/2</f>
        <v>61</v>
      </c>
      <c r="Z116" s="71">
        <f>$AA116+$AB116</f>
        <v>127.8</v>
      </c>
      <c r="AA116" s="72">
        <f>($AG116-$AB116)/2</f>
        <v>121.8</v>
      </c>
      <c r="AB116" s="128">
        <v>6</v>
      </c>
      <c r="AC116" s="128">
        <v>128</v>
      </c>
      <c r="AD116" s="128"/>
      <c r="AE116" s="71">
        <f>IF($AD116="No",0,IF($AJ116="overworld",IF($X116&lt;64,64+($X116*3),0),0))</f>
        <v>0</v>
      </c>
      <c r="AF116" s="71">
        <f>IF($AD116="No",0,IF($AJ116="Overworld",IF($X116&lt;64,($Y116*3),0),0))</f>
        <v>0</v>
      </c>
      <c r="AG116" s="32">
        <f>IF($AC116&gt;64,64+(($AC116-64)*2.9),$AC116)</f>
        <v>249.6</v>
      </c>
      <c r="AH116" s="41" t="s">
        <v>388</v>
      </c>
      <c r="AI116" s="42"/>
      <c r="AJ116" s="131" t="s">
        <v>53</v>
      </c>
      <c r="AK116" s="20" t="str">
        <f>IF($X116&gt;64,"uniform",IF($AJ116="Overworld","normal","uniform"))</f>
        <v>uniform</v>
      </c>
      <c r="AL116" s="109" t="s">
        <v>389</v>
      </c>
      <c r="AM116" s="110" t="s">
        <v>64</v>
      </c>
      <c r="AN116" s="117"/>
      <c r="AO116" s="118" t="s">
        <v>56</v>
      </c>
      <c r="AP116" s="46"/>
    </row>
    <row r="117" spans="1:42" s="7" customFormat="1" ht="13.5">
      <c r="A117" s="31" t="s">
        <v>379</v>
      </c>
      <c r="B117" s="18"/>
      <c r="C117" s="105" t="s">
        <v>399</v>
      </c>
      <c r="D117" s="97" t="s">
        <v>59</v>
      </c>
      <c r="E117" s="98" t="s">
        <v>66</v>
      </c>
      <c r="F117" s="99" t="s">
        <v>61</v>
      </c>
      <c r="G117" s="37">
        <f>$H117*$I117/2</f>
        <v>10</v>
      </c>
      <c r="H117" s="123">
        <v>4</v>
      </c>
      <c r="I117" s="124">
        <v>5</v>
      </c>
      <c r="J117" s="146">
        <f>$H117/2</f>
        <v>2</v>
      </c>
      <c r="K117" s="147">
        <f>$I117/2</f>
        <v>2.5</v>
      </c>
      <c r="L117" s="77">
        <f>$G117/VLOOKUP($E117,Ore_Density[],2,FALSE)/Vanilla_COG_Divisor</f>
        <v>0.6262230919765166</v>
      </c>
      <c r="M117" s="82" t="str">
        <f>IF(OR($E117="Layered Veins",$E117="Small Deposits",$E117="Geode"),"Motherlode",IF(OR($E117="Pipe Veins",$E117="Sparse Veins",$E117="Vertical Veins"),"No","ERROR"))</f>
        <v>Motherlode</v>
      </c>
      <c r="N117" s="86">
        <v>1</v>
      </c>
      <c r="O117" s="86">
        <v>1</v>
      </c>
      <c r="P117" s="82" t="str">
        <f>IF(OR($E117="Layered Veins",$E117="Pipe Veins",$E117="Sparse Veins"),"Branches",IF($E117="Vertical Veins","Vertical","none"))</f>
        <v>Branches</v>
      </c>
      <c r="Q117" s="152">
        <f>SQRT($L117)*$N117</f>
        <v>0.79134258824893067</v>
      </c>
      <c r="R117" s="152">
        <f>IF($M117="Motherlode",(($O117*SQRT($L117))^(1/2))^(1/3),"none")</f>
        <v>0.96174681451190136</v>
      </c>
      <c r="S117" s="152">
        <f>IF($P117="Branches",SQRT($L117)^(1/2),IF($P117="Vertical","default",$P117))</f>
        <v>0.88957438601217076</v>
      </c>
      <c r="T117" s="153">
        <f>IF($P117="Branches",SQRT(SQRT($L117))^(1/2),IF($P117="Vertical",SQRT($L117)^(1/2),"none"))</f>
        <v>0.94317251126831025</v>
      </c>
      <c r="U117" s="77">
        <f>$G117/VLOOKUP($F117,Ore_Density[],2,FALSE)/Vanilla_COG_Divisor</f>
        <v>0.81632653061224492</v>
      </c>
      <c r="V117" s="158">
        <f>SQRT($U117)</f>
        <v>0.90350790290525129</v>
      </c>
      <c r="W117" s="147">
        <f>SQRT(SQRT($U117))</f>
        <v>0.95053032718859176</v>
      </c>
      <c r="X117" s="70">
        <f>$Y117+$AB117</f>
        <v>67</v>
      </c>
      <c r="Y117" s="71">
        <f>($AC117-$AB117)/2</f>
        <v>61</v>
      </c>
      <c r="Z117" s="71">
        <f>$AA117+$AB117</f>
        <v>127.8</v>
      </c>
      <c r="AA117" s="72">
        <f>($AG117-$AB117)/2</f>
        <v>121.8</v>
      </c>
      <c r="AB117" s="128">
        <v>6</v>
      </c>
      <c r="AC117" s="128">
        <v>128</v>
      </c>
      <c r="AD117" s="128"/>
      <c r="AE117" s="71">
        <f>IF($AD117="No",0,IF($AJ117="overworld",IF($X117&lt;64,64+($X117*3),0),0))</f>
        <v>0</v>
      </c>
      <c r="AF117" s="71">
        <f>IF($AD117="No",0,IF($AJ117="Overworld",IF($X117&lt;64,($Y117*3),0),0))</f>
        <v>0</v>
      </c>
      <c r="AG117" s="32">
        <f>IF($AC117&gt;64,64+(($AC117-64)*2.9),$AC117)</f>
        <v>249.6</v>
      </c>
      <c r="AH117" s="41" t="s">
        <v>400</v>
      </c>
      <c r="AI117" s="42"/>
      <c r="AJ117" s="131" t="s">
        <v>53</v>
      </c>
      <c r="AK117" s="20" t="str">
        <f>IF($X117&gt;64,"uniform",IF($AJ117="Overworld","normal","uniform"))</f>
        <v>uniform</v>
      </c>
      <c r="AL117" s="109" t="s">
        <v>401</v>
      </c>
      <c r="AM117" s="110" t="s">
        <v>64</v>
      </c>
      <c r="AN117" s="117"/>
      <c r="AO117" s="118" t="s">
        <v>56</v>
      </c>
      <c r="AP117" s="46"/>
    </row>
    <row r="118" spans="1:42" s="7" customFormat="1" ht="13.5">
      <c r="A118" s="31" t="s">
        <v>379</v>
      </c>
      <c r="B118" s="18"/>
      <c r="C118" s="105" t="s">
        <v>475</v>
      </c>
      <c r="D118" s="97" t="s">
        <v>59</v>
      </c>
      <c r="E118" s="98" t="s">
        <v>66</v>
      </c>
      <c r="F118" s="99" t="s">
        <v>61</v>
      </c>
      <c r="G118" s="37">
        <f>$H118*$I118/2</f>
        <v>4.5</v>
      </c>
      <c r="H118" s="123">
        <v>3</v>
      </c>
      <c r="I118" s="124">
        <v>3</v>
      </c>
      <c r="J118" s="146">
        <f>$H118/2</f>
        <v>1.5</v>
      </c>
      <c r="K118" s="147">
        <f>$I118/2</f>
        <v>1.5</v>
      </c>
      <c r="L118" s="77">
        <f>$G118/VLOOKUP($E118,Ore_Density[],2,FALSE)/Vanilla_COG_Divisor</f>
        <v>0.28180039138943247</v>
      </c>
      <c r="M118" s="82" t="str">
        <f>IF(OR($E118="Layered Veins",$E118="Small Deposits",$E118="Geode"),"Motherlode",IF(OR($E118="Pipe Veins",$E118="Sparse Veins",$E118="Vertical Veins"),"No","ERROR"))</f>
        <v>Motherlode</v>
      </c>
      <c r="N118" s="86">
        <v>1</v>
      </c>
      <c r="O118" s="86">
        <v>1</v>
      </c>
      <c r="P118" s="82" t="str">
        <f>IF(OR($E118="Layered Veins",$E118="Pipe Veins",$E118="Sparse Veins"),"Branches",IF($E118="Vertical Veins","Vertical","none"))</f>
        <v>Branches</v>
      </c>
      <c r="Q118" s="152">
        <f>SQRT($L118)*$N118</f>
        <v>0.53084874624457057</v>
      </c>
      <c r="R118" s="152">
        <f>IF($M118="Motherlode",(($O118*SQRT($L118))^(1/2))^(1/3),"none")</f>
        <v>0.89983275783574757</v>
      </c>
      <c r="S118" s="152">
        <f>IF($P118="Branches",SQRT($L118)^(1/2),IF($P118="Vertical","default",$P118))</f>
        <v>0.72859367705503086</v>
      </c>
      <c r="T118" s="153">
        <f>IF($P118="Branches",SQRT(SQRT($L118))^(1/2),IF($P118="Vertical",SQRT($L118)^(1/2),"none"))</f>
        <v>0.85357698952996086</v>
      </c>
      <c r="U118" s="77">
        <f>$G118/VLOOKUP($F118,Ore_Density[],2,FALSE)/Vanilla_COG_Divisor</f>
        <v>0.36734693877551022</v>
      </c>
      <c r="V118" s="158">
        <f>SQRT($U118)</f>
        <v>0.60609152673132649</v>
      </c>
      <c r="W118" s="147">
        <f>SQRT(SQRT($U118))</f>
        <v>0.7785188030685749</v>
      </c>
      <c r="X118" s="70">
        <f>$Y118+$AB118</f>
        <v>35</v>
      </c>
      <c r="Y118" s="71">
        <f>($AC118-$AB118)/2</f>
        <v>29</v>
      </c>
      <c r="Z118" s="71">
        <f>$AA118+$AB118</f>
        <v>35</v>
      </c>
      <c r="AA118" s="72">
        <f>($AG118-$AB118)/2</f>
        <v>29</v>
      </c>
      <c r="AB118" s="128">
        <v>6</v>
      </c>
      <c r="AC118" s="128">
        <v>64</v>
      </c>
      <c r="AD118" s="128"/>
      <c r="AE118" s="71">
        <f>IF($AD118="No",0,IF($AJ118="overworld",IF($X118&lt;64,64+($X118*3),0),0))</f>
        <v>0</v>
      </c>
      <c r="AF118" s="71">
        <f>IF($AD118="No",0,IF($AJ118="Overworld",IF($X118&lt;64,($Y118*3),0),0))</f>
        <v>0</v>
      </c>
      <c r="AG118" s="32">
        <f>IF($AC118&gt;64,64+(($AC118-64)*2.9),$AC118)</f>
        <v>64</v>
      </c>
      <c r="AH118" s="41" t="s">
        <v>476</v>
      </c>
      <c r="AI118" s="42"/>
      <c r="AJ118" s="131" t="s">
        <v>119</v>
      </c>
      <c r="AK118" s="20" t="str">
        <f>IF($X118&gt;64,"uniform",IF($AJ118="Overworld","normal","uniform"))</f>
        <v>uniform</v>
      </c>
      <c r="AL118" s="109" t="s">
        <v>477</v>
      </c>
      <c r="AM118" s="110" t="s">
        <v>121</v>
      </c>
      <c r="AN118" s="117"/>
      <c r="AO118" s="118" t="s">
        <v>56</v>
      </c>
      <c r="AP118" s="46" t="s">
        <v>474</v>
      </c>
    </row>
    <row r="119" spans="1:42" s="7" customFormat="1" ht="13.5">
      <c r="A119" s="31" t="s">
        <v>379</v>
      </c>
      <c r="B119" s="18"/>
      <c r="C119" s="105" t="s">
        <v>450</v>
      </c>
      <c r="D119" s="97" t="s">
        <v>59</v>
      </c>
      <c r="E119" s="98" t="s">
        <v>66</v>
      </c>
      <c r="F119" s="99" t="s">
        <v>61</v>
      </c>
      <c r="G119" s="37">
        <f>$H119*$I119/2</f>
        <v>15</v>
      </c>
      <c r="H119" s="123">
        <v>6</v>
      </c>
      <c r="I119" s="124">
        <v>5</v>
      </c>
      <c r="J119" s="146">
        <f>$H119/2</f>
        <v>3</v>
      </c>
      <c r="K119" s="147">
        <f>$I119/2</f>
        <v>2.5</v>
      </c>
      <c r="L119" s="77">
        <f>$G119/VLOOKUP($E119,Ore_Density[],2,FALSE)/Vanilla_COG_Divisor</f>
        <v>0.9393346379647749</v>
      </c>
      <c r="M119" s="82" t="str">
        <f>IF(OR($E119="Layered Veins",$E119="Small Deposits",$E119="Geode"),"Motherlode",IF(OR($E119="Pipe Veins",$E119="Sparse Veins",$E119="Vertical Veins"),"No","ERROR"))</f>
        <v>Motherlode</v>
      </c>
      <c r="N119" s="86">
        <v>1</v>
      </c>
      <c r="O119" s="86">
        <v>1</v>
      </c>
      <c r="P119" s="82" t="str">
        <f>IF(OR($E119="Layered Veins",$E119="Pipe Veins",$E119="Sparse Veins"),"Branches",IF($E119="Vertical Veins","Vertical","none"))</f>
        <v>Branches</v>
      </c>
      <c r="Q119" s="152">
        <f>SQRT($L119)*$N119</f>
        <v>0.96919277647162383</v>
      </c>
      <c r="R119" s="152">
        <f>IF($M119="Motherlode",(($O119*SQRT($L119))^(1/2))^(1/3),"none")</f>
        <v>0.99479828549127336</v>
      </c>
      <c r="S119" s="152">
        <f>IF($P119="Branches",SQRT($L119)^(1/2),IF($P119="Vertical","default",$P119))</f>
        <v>0.98447588922818408</v>
      </c>
      <c r="T119" s="153">
        <f>IF($P119="Branches",SQRT(SQRT($L119))^(1/2),IF($P119="Vertical",SQRT($L119)^(1/2),"none"))</f>
        <v>0.99220758373849571</v>
      </c>
      <c r="U119" s="77">
        <f>$G119/VLOOKUP($F119,Ore_Density[],2,FALSE)/Vanilla_COG_Divisor</f>
        <v>1.2244897959183674</v>
      </c>
      <c r="V119" s="158">
        <f>SQRT($U119)</f>
        <v>1.1065666703449764</v>
      </c>
      <c r="W119" s="147">
        <f>SQRT(SQRT($U119))</f>
        <v>1.0519347272264454</v>
      </c>
      <c r="X119" s="70">
        <f>$Y119+$AB119</f>
        <v>67</v>
      </c>
      <c r="Y119" s="71">
        <f>($AC119-$AB119)/2</f>
        <v>61</v>
      </c>
      <c r="Z119" s="71">
        <f>$AA119+$AB119</f>
        <v>127.8</v>
      </c>
      <c r="AA119" s="72">
        <f>($AG119-$AB119)/2</f>
        <v>121.8</v>
      </c>
      <c r="AB119" s="128">
        <v>6</v>
      </c>
      <c r="AC119" s="128">
        <v>128</v>
      </c>
      <c r="AD119" s="128"/>
      <c r="AE119" s="71">
        <f>IF($AD119="No",0,IF($AJ119="overworld",IF($X119&lt;64,64+($X119*3),0),0))</f>
        <v>0</v>
      </c>
      <c r="AF119" s="71">
        <f>IF($AD119="No",0,IF($AJ119="Overworld",IF($X119&lt;64,($Y119*3),0),0))</f>
        <v>0</v>
      </c>
      <c r="AG119" s="32">
        <f>IF($AC119&gt;64,64+(($AC119-64)*2.9),$AC119)</f>
        <v>249.6</v>
      </c>
      <c r="AH119" s="41" t="s">
        <v>451</v>
      </c>
      <c r="AI119" s="42"/>
      <c r="AJ119" s="131" t="s">
        <v>96</v>
      </c>
      <c r="AK119" s="20" t="str">
        <f>IF($X119&gt;64,"uniform",IF($AJ119="Overworld","normal","uniform"))</f>
        <v>uniform</v>
      </c>
      <c r="AL119" s="109" t="s">
        <v>452</v>
      </c>
      <c r="AM119" s="110" t="s">
        <v>98</v>
      </c>
      <c r="AN119" s="117"/>
      <c r="AO119" s="118" t="s">
        <v>56</v>
      </c>
      <c r="AP119" s="46"/>
    </row>
    <row r="120" spans="1:42" s="7" customFormat="1" ht="13.5">
      <c r="A120" s="31" t="s">
        <v>379</v>
      </c>
      <c r="B120" s="18"/>
      <c r="C120" s="105" t="s">
        <v>426</v>
      </c>
      <c r="D120" s="97" t="s">
        <v>59</v>
      </c>
      <c r="E120" s="98" t="s">
        <v>66</v>
      </c>
      <c r="F120" s="99" t="s">
        <v>61</v>
      </c>
      <c r="G120" s="37">
        <f>$H120*$I120/2</f>
        <v>4.5</v>
      </c>
      <c r="H120" s="123">
        <v>3</v>
      </c>
      <c r="I120" s="124">
        <v>3</v>
      </c>
      <c r="J120" s="146">
        <f>$H120/2</f>
        <v>1.5</v>
      </c>
      <c r="K120" s="147">
        <f>$I120/2</f>
        <v>1.5</v>
      </c>
      <c r="L120" s="77">
        <f>$G120/VLOOKUP($E120,Ore_Density[],2,FALSE)/Vanilla_COG_Divisor</f>
        <v>0.28180039138943247</v>
      </c>
      <c r="M120" s="82" t="str">
        <f>IF(OR($E120="Layered Veins",$E120="Small Deposits",$E120="Geode"),"Motherlode",IF(OR($E120="Pipe Veins",$E120="Sparse Veins",$E120="Vertical Veins"),"No","ERROR"))</f>
        <v>Motherlode</v>
      </c>
      <c r="N120" s="86">
        <v>1</v>
      </c>
      <c r="O120" s="86">
        <v>1</v>
      </c>
      <c r="P120" s="82" t="str">
        <f>IF(OR($E120="Layered Veins",$E120="Pipe Veins",$E120="Sparse Veins"),"Branches",IF($E120="Vertical Veins","Vertical","none"))</f>
        <v>Branches</v>
      </c>
      <c r="Q120" s="152">
        <f>SQRT($L120)*$N120</f>
        <v>0.53084874624457057</v>
      </c>
      <c r="R120" s="152">
        <f>IF($M120="Motherlode",(($O120*SQRT($L120))^(1/2))^(1/3),"none")</f>
        <v>0.89983275783574757</v>
      </c>
      <c r="S120" s="152">
        <f>IF($P120="Branches",SQRT($L120)^(1/2),IF($P120="Vertical","default",$P120))</f>
        <v>0.72859367705503086</v>
      </c>
      <c r="T120" s="153">
        <f>IF($P120="Branches",SQRT(SQRT($L120))^(1/2),IF($P120="Vertical",SQRT($L120)^(1/2),"none"))</f>
        <v>0.85357698952996086</v>
      </c>
      <c r="U120" s="77">
        <f>$G120/VLOOKUP($F120,Ore_Density[],2,FALSE)/Vanilla_COG_Divisor</f>
        <v>0.36734693877551022</v>
      </c>
      <c r="V120" s="158">
        <f>SQRT($U120)</f>
        <v>0.60609152673132649</v>
      </c>
      <c r="W120" s="147">
        <f>SQRT(SQRT($U120))</f>
        <v>0.7785188030685749</v>
      </c>
      <c r="X120" s="70">
        <f>$Y120+$AB120</f>
        <v>67</v>
      </c>
      <c r="Y120" s="71">
        <f>($AC120-$AB120)/2</f>
        <v>61</v>
      </c>
      <c r="Z120" s="71">
        <f>$AA120+$AB120</f>
        <v>127.8</v>
      </c>
      <c r="AA120" s="72">
        <f>($AG120-$AB120)/2</f>
        <v>121.8</v>
      </c>
      <c r="AB120" s="128">
        <v>6</v>
      </c>
      <c r="AC120" s="128">
        <v>128</v>
      </c>
      <c r="AD120" s="128"/>
      <c r="AE120" s="71">
        <f>IF($AD120="No",0,IF($AJ120="overworld",IF($X120&lt;64,64+($X120*3),0),0))</f>
        <v>0</v>
      </c>
      <c r="AF120" s="71">
        <f>IF($AD120="No",0,IF($AJ120="Overworld",IF($X120&lt;64,($Y120*3),0),0))</f>
        <v>0</v>
      </c>
      <c r="AG120" s="32">
        <f>IF($AC120&gt;64,64+(($AC120-64)*2.9),$AC120)</f>
        <v>249.6</v>
      </c>
      <c r="AH120" s="41" t="s">
        <v>427</v>
      </c>
      <c r="AI120" s="42"/>
      <c r="AJ120" s="131" t="s">
        <v>53</v>
      </c>
      <c r="AK120" s="20" t="str">
        <f>IF($X120&gt;64,"uniform",IF($AJ120="Overworld","normal","uniform"))</f>
        <v>uniform</v>
      </c>
      <c r="AL120" s="109" t="s">
        <v>428</v>
      </c>
      <c r="AM120" s="110" t="s">
        <v>64</v>
      </c>
      <c r="AN120" s="117"/>
      <c r="AO120" s="118" t="s">
        <v>56</v>
      </c>
      <c r="AP120" s="46"/>
    </row>
    <row r="121" spans="1:42" s="7" customFormat="1" ht="13.5">
      <c r="A121" s="31" t="s">
        <v>379</v>
      </c>
      <c r="B121" s="18"/>
      <c r="C121" s="105" t="s">
        <v>432</v>
      </c>
      <c r="D121" s="97" t="s">
        <v>59</v>
      </c>
      <c r="E121" s="98" t="s">
        <v>66</v>
      </c>
      <c r="F121" s="99" t="s">
        <v>61</v>
      </c>
      <c r="G121" s="37">
        <f>$H121*$I121/2</f>
        <v>4</v>
      </c>
      <c r="H121" s="123">
        <v>4</v>
      </c>
      <c r="I121" s="124">
        <v>2</v>
      </c>
      <c r="J121" s="146">
        <f>$H121/2</f>
        <v>2</v>
      </c>
      <c r="K121" s="147">
        <f>$I121/2</f>
        <v>1</v>
      </c>
      <c r="L121" s="77">
        <f>$G121/VLOOKUP($E121,Ore_Density[],2,FALSE)/Vanilla_COG_Divisor</f>
        <v>0.25048923679060664</v>
      </c>
      <c r="M121" s="82" t="str">
        <f>IF(OR($E121="Layered Veins",$E121="Small Deposits",$E121="Geode"),"Motherlode",IF(OR($E121="Pipe Veins",$E121="Sparse Veins",$E121="Vertical Veins"),"No","ERROR"))</f>
        <v>Motherlode</v>
      </c>
      <c r="N121" s="86">
        <v>1</v>
      </c>
      <c r="O121" s="86">
        <v>1</v>
      </c>
      <c r="P121" s="82" t="str">
        <f>IF(OR($E121="Layered Veins",$E121="Pipe Veins",$E121="Sparse Veins"),"Branches",IF($E121="Vertical Veins","Vertical","none"))</f>
        <v>Branches</v>
      </c>
      <c r="Q121" s="152">
        <f>SQRT($L121)*$N121</f>
        <v>0.50048899767188348</v>
      </c>
      <c r="R121" s="152">
        <f>IF($M121="Motherlode",(($O121*SQRT($L121))^(1/2))^(1/3),"none")</f>
        <v>0.89104387480020986</v>
      </c>
      <c r="S121" s="152">
        <f>IF($P121="Branches",SQRT($L121)^(1/2),IF($P121="Vertical","default",$P121))</f>
        <v>0.70745247025640068</v>
      </c>
      <c r="T121" s="153">
        <f>IF($P121="Branches",SQRT(SQRT($L121))^(1/2),IF($P121="Vertical",SQRT($L121)^(1/2),"none"))</f>
        <v>0.8411019380886009</v>
      </c>
      <c r="U121" s="77">
        <f>$G121/VLOOKUP($F121,Ore_Density[],2,FALSE)/Vanilla_COG_Divisor</f>
        <v>0.32653061224489793</v>
      </c>
      <c r="V121" s="158">
        <f>SQRT($U121)</f>
        <v>0.5714285714285714</v>
      </c>
      <c r="W121" s="147">
        <f>SQRT(SQRT($U121))</f>
        <v>0.7559289460184544</v>
      </c>
      <c r="X121" s="70">
        <f>$Y121+$AB121</f>
        <v>67</v>
      </c>
      <c r="Y121" s="71">
        <f>($AC121-$AB121)/2</f>
        <v>61</v>
      </c>
      <c r="Z121" s="71">
        <f>$AA121+$AB121</f>
        <v>127.8</v>
      </c>
      <c r="AA121" s="72">
        <f>($AG121-$AB121)/2</f>
        <v>121.8</v>
      </c>
      <c r="AB121" s="128">
        <v>6</v>
      </c>
      <c r="AC121" s="128">
        <v>128</v>
      </c>
      <c r="AD121" s="128"/>
      <c r="AE121" s="71">
        <f>IF($AD121="No",0,IF($AJ121="overworld",IF($X121&lt;64,64+($X121*3),0),0))</f>
        <v>0</v>
      </c>
      <c r="AF121" s="71">
        <f>IF($AD121="No",0,IF($AJ121="Overworld",IF($X121&lt;64,($Y121*3),0),0))</f>
        <v>0</v>
      </c>
      <c r="AG121" s="32">
        <f>IF($AC121&gt;64,64+(($AC121-64)*2.9),$AC121)</f>
        <v>249.6</v>
      </c>
      <c r="AH121" s="41" t="s">
        <v>433</v>
      </c>
      <c r="AI121" s="42"/>
      <c r="AJ121" s="131" t="s">
        <v>53</v>
      </c>
      <c r="AK121" s="20" t="str">
        <f>IF($X121&gt;64,"uniform",IF($AJ121="Overworld","normal","uniform"))</f>
        <v>uniform</v>
      </c>
      <c r="AL121" s="109" t="s">
        <v>434</v>
      </c>
      <c r="AM121" s="110" t="s">
        <v>64</v>
      </c>
      <c r="AN121" s="117"/>
      <c r="AO121" s="118" t="s">
        <v>56</v>
      </c>
      <c r="AP121" s="46"/>
    </row>
    <row r="122" spans="1:42" s="7" customFormat="1" ht="13.5">
      <c r="A122" s="31" t="s">
        <v>379</v>
      </c>
      <c r="B122" s="18"/>
      <c r="C122" s="105" t="s">
        <v>417</v>
      </c>
      <c r="D122" s="97" t="s">
        <v>59</v>
      </c>
      <c r="E122" s="98" t="s">
        <v>66</v>
      </c>
      <c r="F122" s="99" t="s">
        <v>61</v>
      </c>
      <c r="G122" s="37">
        <f>$H122*$I122/2</f>
        <v>6</v>
      </c>
      <c r="H122" s="123">
        <v>3</v>
      </c>
      <c r="I122" s="124">
        <v>4</v>
      </c>
      <c r="J122" s="146">
        <f>$H122/2</f>
        <v>1.5</v>
      </c>
      <c r="K122" s="147">
        <f>$I122/2</f>
        <v>2</v>
      </c>
      <c r="L122" s="77">
        <f>$G122/VLOOKUP($E122,Ore_Density[],2,FALSE)/Vanilla_COG_Divisor</f>
        <v>0.37573385518590996</v>
      </c>
      <c r="M122" s="82" t="str">
        <f>IF(OR($E122="Layered Veins",$E122="Small Deposits",$E122="Geode"),"Motherlode",IF(OR($E122="Pipe Veins",$E122="Sparse Veins",$E122="Vertical Veins"),"No","ERROR"))</f>
        <v>Motherlode</v>
      </c>
      <c r="N122" s="86">
        <v>1</v>
      </c>
      <c r="O122" s="86">
        <v>1</v>
      </c>
      <c r="P122" s="82" t="str">
        <f>IF(OR($E122="Layered Veins",$E122="Pipe Veins",$E122="Sparse Veins"),"Branches",IF($E122="Vertical Veins","Vertical","none"))</f>
        <v>Branches</v>
      </c>
      <c r="Q122" s="152">
        <f>SQRT($L122)*$N122</f>
        <v>0.61297133308655627</v>
      </c>
      <c r="R122" s="152">
        <f>IF($M122="Motherlode",(($O122*SQRT($L122))^(1/2))^(1/3),"none")</f>
        <v>0.92166556267577893</v>
      </c>
      <c r="S122" s="152">
        <f>IF($P122="Branches",SQRT($L122)^(1/2),IF($P122="Vertical","default",$P122))</f>
        <v>0.78292485788008814</v>
      </c>
      <c r="T122" s="153">
        <f>IF($P122="Branches",SQRT(SQRT($L122))^(1/2),IF($P122="Vertical",SQRT($L122)^(1/2),"none"))</f>
        <v>0.88483041193218948</v>
      </c>
      <c r="U122" s="77">
        <f>$G122/VLOOKUP($F122,Ore_Density[],2,FALSE)/Vanilla_COG_Divisor</f>
        <v>0.48979591836734693</v>
      </c>
      <c r="V122" s="158">
        <f>SQRT($U122)</f>
        <v>0.6998542122237652</v>
      </c>
      <c r="W122" s="147">
        <f>SQRT(SQRT($U122))</f>
        <v>0.83657289713674399</v>
      </c>
      <c r="X122" s="70">
        <f>$Y122+$AB122</f>
        <v>67</v>
      </c>
      <c r="Y122" s="71">
        <f>($AC122-$AB122)/2</f>
        <v>61</v>
      </c>
      <c r="Z122" s="71">
        <f>$AA122+$AB122</f>
        <v>127.8</v>
      </c>
      <c r="AA122" s="72">
        <f>($AG122-$AB122)/2</f>
        <v>121.8</v>
      </c>
      <c r="AB122" s="128">
        <v>6</v>
      </c>
      <c r="AC122" s="128">
        <v>128</v>
      </c>
      <c r="AD122" s="128"/>
      <c r="AE122" s="71">
        <f>IF($AD122="No",0,IF($AJ122="overworld",IF($X122&lt;64,64+($X122*3),0),0))</f>
        <v>0</v>
      </c>
      <c r="AF122" s="71">
        <f>IF($AD122="No",0,IF($AJ122="Overworld",IF($X122&lt;64,($Y122*3),0),0))</f>
        <v>0</v>
      </c>
      <c r="AG122" s="32">
        <f>IF($AC122&gt;64,64+(($AC122-64)*2.9),$AC122)</f>
        <v>249.6</v>
      </c>
      <c r="AH122" s="41" t="s">
        <v>418</v>
      </c>
      <c r="AI122" s="42"/>
      <c r="AJ122" s="131" t="s">
        <v>53</v>
      </c>
      <c r="AK122" s="20" t="str">
        <f>IF($X122&gt;64,"uniform",IF($AJ122="Overworld","normal","uniform"))</f>
        <v>uniform</v>
      </c>
      <c r="AL122" s="109" t="s">
        <v>419</v>
      </c>
      <c r="AM122" s="110" t="s">
        <v>64</v>
      </c>
      <c r="AN122" s="117"/>
      <c r="AO122" s="118" t="s">
        <v>56</v>
      </c>
      <c r="AP122" s="46"/>
    </row>
    <row r="123" spans="1:42" s="7" customFormat="1" ht="13.5">
      <c r="A123" s="31" t="s">
        <v>379</v>
      </c>
      <c r="B123" s="18"/>
      <c r="C123" s="105" t="s">
        <v>382</v>
      </c>
      <c r="D123" s="97" t="s">
        <v>59</v>
      </c>
      <c r="E123" s="98" t="s">
        <v>60</v>
      </c>
      <c r="F123" s="99" t="s">
        <v>61</v>
      </c>
      <c r="G123" s="37">
        <f>$H123*$I123/2</f>
        <v>8</v>
      </c>
      <c r="H123" s="123">
        <v>4</v>
      </c>
      <c r="I123" s="124">
        <v>4</v>
      </c>
      <c r="J123" s="146">
        <f>$H123/2</f>
        <v>2</v>
      </c>
      <c r="K123" s="147">
        <f>$I123/2</f>
        <v>2</v>
      </c>
      <c r="L123" s="77">
        <f>$G123/VLOOKUP($E123,Ore_Density[],2,FALSE)/Vanilla_COG_Divisor</f>
        <v>3.0017771871747807</v>
      </c>
      <c r="M123" s="82" t="str">
        <f>IF(OR($E123="Layered Veins",$E123="Small Deposits",$E123="Geode"),"Motherlode",IF(OR($E123="Pipe Veins",$E123="Sparse Veins",$E123="Vertical Veins"),"No","ERROR"))</f>
        <v>No</v>
      </c>
      <c r="N123" s="86">
        <v>1</v>
      </c>
      <c r="O123" s="86">
        <v>1</v>
      </c>
      <c r="P123" s="82" t="str">
        <f>IF(OR($E123="Layered Veins",$E123="Pipe Veins",$E123="Sparse Veins"),"Branches",IF($E123="Vertical Veins","Vertical","none"))</f>
        <v>Branches</v>
      </c>
      <c r="Q123" s="152">
        <f>SQRT($L123)*$N123</f>
        <v>1.7325637613590965</v>
      </c>
      <c r="R123" s="152" t="str">
        <f>IF($M123="Motherlode",(($O123*SQRT($L123))^(1/2))^(1/3),"none")</f>
        <v>none</v>
      </c>
      <c r="S123" s="152">
        <f>IF($P123="Branches",SQRT($L123)^(1/2),IF($P123="Vertical","default",$P123))</f>
        <v>1.3162688788234327</v>
      </c>
      <c r="T123" s="153">
        <f>IF($P123="Branches",SQRT(SQRT($L123))^(1/2),IF($P123="Vertical",SQRT($L123)^(1/2),"none"))</f>
        <v>1.1472876181775138</v>
      </c>
      <c r="U123" s="77">
        <f>$G123/VLOOKUP($F123,Ore_Density[],2,FALSE)/Vanilla_COG_Divisor</f>
        <v>0.65306122448979587</v>
      </c>
      <c r="V123" s="158">
        <f>SQRT($U123)</f>
        <v>0.80812203564176854</v>
      </c>
      <c r="W123" s="147">
        <f>SQRT(SQRT($U123))</f>
        <v>0.89895608104165381</v>
      </c>
      <c r="X123" s="70">
        <f>$Y123+$AB123</f>
        <v>67</v>
      </c>
      <c r="Y123" s="71">
        <f>($AC123-$AB123)/2</f>
        <v>61</v>
      </c>
      <c r="Z123" s="71">
        <f>$AA123+$AB123</f>
        <v>127.8</v>
      </c>
      <c r="AA123" s="72">
        <f>($AG123-$AB123)/2</f>
        <v>121.8</v>
      </c>
      <c r="AB123" s="128">
        <v>6</v>
      </c>
      <c r="AC123" s="128">
        <v>128</v>
      </c>
      <c r="AD123" s="128"/>
      <c r="AE123" s="71">
        <f>IF($AD123="No",0,IF($AJ123="overworld",IF($X123&lt;64,64+($X123*3),0),0))</f>
        <v>0</v>
      </c>
      <c r="AF123" s="71">
        <f>IF($AD123="No",0,IF($AJ123="Overworld",IF($X123&lt;64,($Y123*3),0),0))</f>
        <v>0</v>
      </c>
      <c r="AG123" s="32">
        <f>IF($AC123&gt;64,64+(($AC123-64)*2.9),$AC123)</f>
        <v>249.6</v>
      </c>
      <c r="AH123" s="41" t="s">
        <v>383</v>
      </c>
      <c r="AI123" s="42"/>
      <c r="AJ123" s="131" t="s">
        <v>53</v>
      </c>
      <c r="AK123" s="20" t="str">
        <f>IF($X123&gt;64,"uniform",IF($AJ123="Overworld","normal","uniform"))</f>
        <v>uniform</v>
      </c>
      <c r="AL123" s="109" t="s">
        <v>384</v>
      </c>
      <c r="AM123" s="110" t="s">
        <v>64</v>
      </c>
      <c r="AN123" s="117"/>
      <c r="AO123" s="118" t="s">
        <v>56</v>
      </c>
      <c r="AP123" s="46"/>
    </row>
    <row r="124" spans="1:42" s="7" customFormat="1" ht="13.5">
      <c r="A124" s="31" t="s">
        <v>379</v>
      </c>
      <c r="B124" s="18"/>
      <c r="C124" s="105" t="s">
        <v>182</v>
      </c>
      <c r="D124" s="97" t="s">
        <v>59</v>
      </c>
      <c r="E124" s="98" t="s">
        <v>66</v>
      </c>
      <c r="F124" s="99" t="s">
        <v>61</v>
      </c>
      <c r="G124" s="37">
        <f>$H124*$I124/2</f>
        <v>4.5</v>
      </c>
      <c r="H124" s="123">
        <v>3</v>
      </c>
      <c r="I124" s="124">
        <v>3</v>
      </c>
      <c r="J124" s="146">
        <f>$H124/2</f>
        <v>1.5</v>
      </c>
      <c r="K124" s="147">
        <f>$I124/2</f>
        <v>1.5</v>
      </c>
      <c r="L124" s="77">
        <f>$G124/VLOOKUP($E124,Ore_Density[],2,FALSE)/Vanilla_COG_Divisor</f>
        <v>0.28180039138943247</v>
      </c>
      <c r="M124" s="82" t="str">
        <f>IF(OR($E124="Layered Veins",$E124="Small Deposits",$E124="Geode"),"Motherlode",IF(OR($E124="Pipe Veins",$E124="Sparse Veins",$E124="Vertical Veins"),"No","ERROR"))</f>
        <v>Motherlode</v>
      </c>
      <c r="N124" s="86">
        <v>1</v>
      </c>
      <c r="O124" s="86">
        <v>1</v>
      </c>
      <c r="P124" s="82" t="str">
        <f>IF(OR($E124="Layered Veins",$E124="Pipe Veins",$E124="Sparse Veins"),"Branches",IF($E124="Vertical Veins","Vertical","none"))</f>
        <v>Branches</v>
      </c>
      <c r="Q124" s="152">
        <f>SQRT($L124)*$N124</f>
        <v>0.53084874624457057</v>
      </c>
      <c r="R124" s="152">
        <f>IF($M124="Motherlode",(($O124*SQRT($L124))^(1/2))^(1/3),"none")</f>
        <v>0.89983275783574757</v>
      </c>
      <c r="S124" s="152">
        <f>IF($P124="Branches",SQRT($L124)^(1/2),IF($P124="Vertical","default",$P124))</f>
        <v>0.72859367705503086</v>
      </c>
      <c r="T124" s="153">
        <f>IF($P124="Branches",SQRT(SQRT($L124))^(1/2),IF($P124="Vertical",SQRT($L124)^(1/2),"none"))</f>
        <v>0.85357698952996086</v>
      </c>
      <c r="U124" s="77">
        <f>$G124/VLOOKUP($F124,Ore_Density[],2,FALSE)/Vanilla_COG_Divisor</f>
        <v>0.36734693877551022</v>
      </c>
      <c r="V124" s="158">
        <f>SQRT($U124)</f>
        <v>0.60609152673132649</v>
      </c>
      <c r="W124" s="147">
        <f>SQRT(SQRT($U124))</f>
        <v>0.7785188030685749</v>
      </c>
      <c r="X124" s="70">
        <f>$Y124+$AB124</f>
        <v>67</v>
      </c>
      <c r="Y124" s="71">
        <f>($AC124-$AB124)/2</f>
        <v>61</v>
      </c>
      <c r="Z124" s="71">
        <f>$AA124+$AB124</f>
        <v>127.8</v>
      </c>
      <c r="AA124" s="72">
        <f>($AG124-$AB124)/2</f>
        <v>121.8</v>
      </c>
      <c r="AB124" s="128">
        <v>6</v>
      </c>
      <c r="AC124" s="128">
        <v>128</v>
      </c>
      <c r="AD124" s="128"/>
      <c r="AE124" s="71">
        <f>IF($AD124="No",0,IF($AJ124="overworld",IF($X124&lt;64,64+($X124*3),0),0))</f>
        <v>0</v>
      </c>
      <c r="AF124" s="71">
        <f>IF($AD124="No",0,IF($AJ124="Overworld",IF($X124&lt;64,($Y124*3),0),0))</f>
        <v>0</v>
      </c>
      <c r="AG124" s="32">
        <f>IF($AC124&gt;64,64+(($AC124-64)*2.9),$AC124)</f>
        <v>249.6</v>
      </c>
      <c r="AH124" s="41" t="s">
        <v>406</v>
      </c>
      <c r="AI124" s="42"/>
      <c r="AJ124" s="131" t="s">
        <v>53</v>
      </c>
      <c r="AK124" s="20" t="str">
        <f>IF($X124&gt;64,"uniform",IF($AJ124="Overworld","normal","uniform"))</f>
        <v>uniform</v>
      </c>
      <c r="AL124" s="109" t="s">
        <v>407</v>
      </c>
      <c r="AM124" s="110" t="s">
        <v>64</v>
      </c>
      <c r="AN124" s="117"/>
      <c r="AO124" s="118" t="s">
        <v>56</v>
      </c>
      <c r="AP124" s="46"/>
    </row>
    <row r="125" spans="1:42" s="7" customFormat="1" ht="13.5">
      <c r="A125" s="31" t="s">
        <v>379</v>
      </c>
      <c r="B125" s="18"/>
      <c r="C125" s="105" t="s">
        <v>392</v>
      </c>
      <c r="D125" s="97" t="s">
        <v>59</v>
      </c>
      <c r="E125" s="98" t="s">
        <v>60</v>
      </c>
      <c r="F125" s="99" t="s">
        <v>61</v>
      </c>
      <c r="G125" s="37">
        <f>$H125*$I125/2</f>
        <v>8</v>
      </c>
      <c r="H125" s="123">
        <v>4</v>
      </c>
      <c r="I125" s="124">
        <v>4</v>
      </c>
      <c r="J125" s="146">
        <f>$H125/2</f>
        <v>2</v>
      </c>
      <c r="K125" s="147">
        <f>$I125/2</f>
        <v>2</v>
      </c>
      <c r="L125" s="77">
        <f>$G125/VLOOKUP($E125,Ore_Density[],2,FALSE)/Vanilla_COG_Divisor</f>
        <v>3.0017771871747807</v>
      </c>
      <c r="M125" s="82" t="str">
        <f>IF(OR($E125="Layered Veins",$E125="Small Deposits",$E125="Geode"),"Motherlode",IF(OR($E125="Pipe Veins",$E125="Sparse Veins",$E125="Vertical Veins"),"No","ERROR"))</f>
        <v>No</v>
      </c>
      <c r="N125" s="86">
        <v>1</v>
      </c>
      <c r="O125" s="86">
        <v>1</v>
      </c>
      <c r="P125" s="82" t="str">
        <f>IF(OR($E125="Layered Veins",$E125="Pipe Veins",$E125="Sparse Veins"),"Branches",IF($E125="Vertical Veins","Vertical","none"))</f>
        <v>Branches</v>
      </c>
      <c r="Q125" s="152">
        <f>SQRT($L125)*$N125</f>
        <v>1.7325637613590965</v>
      </c>
      <c r="R125" s="152" t="str">
        <f>IF($M125="Motherlode",(($O125*SQRT($L125))^(1/2))^(1/3),"none")</f>
        <v>none</v>
      </c>
      <c r="S125" s="152">
        <f>IF($P125="Branches",SQRT($L125)^(1/2),IF($P125="Vertical","default",$P125))</f>
        <v>1.3162688788234327</v>
      </c>
      <c r="T125" s="153">
        <f>IF($P125="Branches",SQRT(SQRT($L125))^(1/2),IF($P125="Vertical",SQRT($L125)^(1/2),"none"))</f>
        <v>1.1472876181775138</v>
      </c>
      <c r="U125" s="77">
        <f>$G125/VLOOKUP($F125,Ore_Density[],2,FALSE)/Vanilla_COG_Divisor</f>
        <v>0.65306122448979587</v>
      </c>
      <c r="V125" s="158">
        <f>SQRT($U125)</f>
        <v>0.80812203564176854</v>
      </c>
      <c r="W125" s="147">
        <f>SQRT(SQRT($U125))</f>
        <v>0.89895608104165381</v>
      </c>
      <c r="X125" s="70">
        <f>$Y125+$AB125</f>
        <v>67</v>
      </c>
      <c r="Y125" s="71">
        <f>($AC125-$AB125)/2</f>
        <v>61</v>
      </c>
      <c r="Z125" s="71">
        <f>$AA125+$AB125</f>
        <v>127.8</v>
      </c>
      <c r="AA125" s="72">
        <f>($AG125-$AB125)/2</f>
        <v>121.8</v>
      </c>
      <c r="AB125" s="128">
        <v>6</v>
      </c>
      <c r="AC125" s="128">
        <v>128</v>
      </c>
      <c r="AD125" s="128"/>
      <c r="AE125" s="71">
        <f>IF($AD125="No",0,IF($AJ125="overworld",IF($X125&lt;64,64+($X125*3),0),0))</f>
        <v>0</v>
      </c>
      <c r="AF125" s="71">
        <f>IF($AD125="No",0,IF($AJ125="Overworld",IF($X125&lt;64,($Y125*3),0),0))</f>
        <v>0</v>
      </c>
      <c r="AG125" s="32">
        <f>IF($AC125&gt;64,64+(($AC125-64)*2.9),$AC125)</f>
        <v>249.6</v>
      </c>
      <c r="AH125" s="41" t="s">
        <v>393</v>
      </c>
      <c r="AI125" s="42"/>
      <c r="AJ125" s="131" t="s">
        <v>53</v>
      </c>
      <c r="AK125" s="20" t="str">
        <f>IF($X125&gt;64,"uniform",IF($AJ125="Overworld","normal","uniform"))</f>
        <v>uniform</v>
      </c>
      <c r="AL125" s="109" t="s">
        <v>394</v>
      </c>
      <c r="AM125" s="110" t="s">
        <v>64</v>
      </c>
      <c r="AN125" s="117"/>
      <c r="AO125" s="118" t="s">
        <v>56</v>
      </c>
      <c r="AP125" s="46"/>
    </row>
    <row r="126" spans="1:42" s="7" customFormat="1" ht="13.5">
      <c r="A126" s="31" t="s">
        <v>379</v>
      </c>
      <c r="B126" s="18"/>
      <c r="C126" s="105" t="s">
        <v>408</v>
      </c>
      <c r="D126" s="97" t="s">
        <v>59</v>
      </c>
      <c r="E126" s="98" t="s">
        <v>66</v>
      </c>
      <c r="F126" s="99" t="s">
        <v>61</v>
      </c>
      <c r="G126" s="37">
        <f>$H126*$I126/2</f>
        <v>15</v>
      </c>
      <c r="H126" s="123">
        <v>6</v>
      </c>
      <c r="I126" s="124">
        <v>5</v>
      </c>
      <c r="J126" s="146">
        <f>$H126/2</f>
        <v>3</v>
      </c>
      <c r="K126" s="147">
        <f>$I126/2</f>
        <v>2.5</v>
      </c>
      <c r="L126" s="77">
        <f>$G126/VLOOKUP($E126,Ore_Density[],2,FALSE)/Vanilla_COG_Divisor</f>
        <v>0.9393346379647749</v>
      </c>
      <c r="M126" s="82" t="str">
        <f>IF(OR($E126="Layered Veins",$E126="Small Deposits",$E126="Geode"),"Motherlode",IF(OR($E126="Pipe Veins",$E126="Sparse Veins",$E126="Vertical Veins"),"No","ERROR"))</f>
        <v>Motherlode</v>
      </c>
      <c r="N126" s="86">
        <v>1</v>
      </c>
      <c r="O126" s="86">
        <v>1</v>
      </c>
      <c r="P126" s="82" t="str">
        <f>IF(OR($E126="Layered Veins",$E126="Pipe Veins",$E126="Sparse Veins"),"Branches",IF($E126="Vertical Veins","Vertical","none"))</f>
        <v>Branches</v>
      </c>
      <c r="Q126" s="152">
        <f>SQRT($L126)*$N126</f>
        <v>0.96919277647162383</v>
      </c>
      <c r="R126" s="152">
        <f>IF($M126="Motherlode",(($O126*SQRT($L126))^(1/2))^(1/3),"none")</f>
        <v>0.99479828549127336</v>
      </c>
      <c r="S126" s="152">
        <f>IF($P126="Branches",SQRT($L126)^(1/2),IF($P126="Vertical","default",$P126))</f>
        <v>0.98447588922818408</v>
      </c>
      <c r="T126" s="153">
        <f>IF($P126="Branches",SQRT(SQRT($L126))^(1/2),IF($P126="Vertical",SQRT($L126)^(1/2),"none"))</f>
        <v>0.99220758373849571</v>
      </c>
      <c r="U126" s="77">
        <f>$G126/VLOOKUP($F126,Ore_Density[],2,FALSE)/Vanilla_COG_Divisor</f>
        <v>1.2244897959183674</v>
      </c>
      <c r="V126" s="158">
        <f>SQRT($U126)</f>
        <v>1.1065666703449764</v>
      </c>
      <c r="W126" s="147">
        <f>SQRT(SQRT($U126))</f>
        <v>1.0519347272264454</v>
      </c>
      <c r="X126" s="70">
        <f>$Y126+$AB126</f>
        <v>67</v>
      </c>
      <c r="Y126" s="71">
        <f>($AC126-$AB126)/2</f>
        <v>61</v>
      </c>
      <c r="Z126" s="71">
        <f>$AA126+$AB126</f>
        <v>127.8</v>
      </c>
      <c r="AA126" s="72">
        <f>($AG126-$AB126)/2</f>
        <v>121.8</v>
      </c>
      <c r="AB126" s="128">
        <v>6</v>
      </c>
      <c r="AC126" s="128">
        <v>128</v>
      </c>
      <c r="AD126" s="128"/>
      <c r="AE126" s="71">
        <f>IF($AD126="No",0,IF($AJ126="overworld",IF($X126&lt;64,64+($X126*3),0),0))</f>
        <v>0</v>
      </c>
      <c r="AF126" s="71">
        <f>IF($AD126="No",0,IF($AJ126="Overworld",IF($X126&lt;64,($Y126*3),0),0))</f>
        <v>0</v>
      </c>
      <c r="AG126" s="32">
        <f>IF($AC126&gt;64,64+(($AC126-64)*2.9),$AC126)</f>
        <v>249.6</v>
      </c>
      <c r="AH126" s="41" t="s">
        <v>409</v>
      </c>
      <c r="AI126" s="42"/>
      <c r="AJ126" s="131" t="s">
        <v>53</v>
      </c>
      <c r="AK126" s="20" t="str">
        <f>IF($X126&gt;64,"uniform",IF($AJ126="Overworld","normal","uniform"))</f>
        <v>uniform</v>
      </c>
      <c r="AL126" s="109" t="s">
        <v>410</v>
      </c>
      <c r="AM126" s="110" t="s">
        <v>64</v>
      </c>
      <c r="AN126" s="117"/>
      <c r="AO126" s="118" t="s">
        <v>56</v>
      </c>
      <c r="AP126" s="46"/>
    </row>
    <row r="127" spans="1:42" s="7" customFormat="1" ht="13.5">
      <c r="A127" s="31" t="s">
        <v>379</v>
      </c>
      <c r="B127" s="18"/>
      <c r="C127" s="105" t="s">
        <v>429</v>
      </c>
      <c r="D127" s="97" t="s">
        <v>59</v>
      </c>
      <c r="E127" s="98" t="s">
        <v>66</v>
      </c>
      <c r="F127" s="99" t="s">
        <v>61</v>
      </c>
      <c r="G127" s="37">
        <f>$H127*$I127/2</f>
        <v>3</v>
      </c>
      <c r="H127" s="123">
        <v>3</v>
      </c>
      <c r="I127" s="124">
        <v>2</v>
      </c>
      <c r="J127" s="146">
        <f>$H127/2</f>
        <v>1.5</v>
      </c>
      <c r="K127" s="147">
        <f>$I127/2</f>
        <v>1</v>
      </c>
      <c r="L127" s="77">
        <f>$G127/VLOOKUP($E127,Ore_Density[],2,FALSE)/Vanilla_COG_Divisor</f>
        <v>0.18786692759295498</v>
      </c>
      <c r="M127" s="82" t="str">
        <f>IF(OR($E127="Layered Veins",$E127="Small Deposits",$E127="Geode"),"Motherlode",IF(OR($E127="Pipe Veins",$E127="Sparse Veins",$E127="Vertical Veins"),"No","ERROR"))</f>
        <v>Motherlode</v>
      </c>
      <c r="N127" s="86">
        <v>1</v>
      </c>
      <c r="O127" s="86">
        <v>1</v>
      </c>
      <c r="P127" s="82" t="str">
        <f>IF(OR($E127="Layered Veins",$E127="Pipe Veins",$E127="Sparse Veins"),"Branches",IF($E127="Vertical Veins","Vertical","none"))</f>
        <v>Branches</v>
      </c>
      <c r="Q127" s="152">
        <f>SQRT($L127)*$N127</f>
        <v>0.43343618629846192</v>
      </c>
      <c r="R127" s="152">
        <f>IF($M127="Motherlode",(($O127*SQRT($L127))^(1/2))^(1/3),"none")</f>
        <v>0.86993644949298721</v>
      </c>
      <c r="S127" s="152">
        <f>IF($P127="Branches",SQRT($L127)^(1/2),IF($P127="Vertical","default",$P127))</f>
        <v>0.65835870640439009</v>
      </c>
      <c r="T127" s="153">
        <f>IF($P127="Branches",SQRT(SQRT($L127))^(1/2),IF($P127="Vertical",SQRT($L127)^(1/2),"none"))</f>
        <v>0.81139306529227262</v>
      </c>
      <c r="U127" s="77">
        <f>$G127/VLOOKUP($F127,Ore_Density[],2,FALSE)/Vanilla_COG_Divisor</f>
        <v>0.24489795918367346</v>
      </c>
      <c r="V127" s="158">
        <f>SQRT($U127)</f>
        <v>0.49487165930539351</v>
      </c>
      <c r="W127" s="147">
        <f>SQRT(SQRT($U127))</f>
        <v>0.70347115030070251</v>
      </c>
      <c r="X127" s="70">
        <f>$Y127+$AB127</f>
        <v>67</v>
      </c>
      <c r="Y127" s="71">
        <f>($AC127-$AB127)/2</f>
        <v>61</v>
      </c>
      <c r="Z127" s="71">
        <f>$AA127+$AB127</f>
        <v>127.8</v>
      </c>
      <c r="AA127" s="72">
        <f>($AG127-$AB127)/2</f>
        <v>121.8</v>
      </c>
      <c r="AB127" s="128">
        <v>6</v>
      </c>
      <c r="AC127" s="128">
        <v>128</v>
      </c>
      <c r="AD127" s="128"/>
      <c r="AE127" s="71">
        <f>IF($AD127="No",0,IF($AJ127="overworld",IF($X127&lt;64,64+($X127*3),0),0))</f>
        <v>0</v>
      </c>
      <c r="AF127" s="71">
        <f>IF($AD127="No",0,IF($AJ127="Overworld",IF($X127&lt;64,($Y127*3),0),0))</f>
        <v>0</v>
      </c>
      <c r="AG127" s="32">
        <f>IF($AC127&gt;64,64+(($AC127-64)*2.9),$AC127)</f>
        <v>249.6</v>
      </c>
      <c r="AH127" s="41" t="s">
        <v>430</v>
      </c>
      <c r="AI127" s="42"/>
      <c r="AJ127" s="131" t="s">
        <v>53</v>
      </c>
      <c r="AK127" s="20" t="str">
        <f>IF($X127&gt;64,"uniform",IF($AJ127="Overworld","normal","uniform"))</f>
        <v>uniform</v>
      </c>
      <c r="AL127" s="109" t="s">
        <v>431</v>
      </c>
      <c r="AM127" s="110" t="s">
        <v>64</v>
      </c>
      <c r="AN127" s="117"/>
      <c r="AO127" s="118" t="s">
        <v>56</v>
      </c>
      <c r="AP127" s="46"/>
    </row>
    <row r="128" spans="1:42" s="7" customFormat="1" ht="13.5">
      <c r="A128" s="31" t="s">
        <v>379</v>
      </c>
      <c r="B128" s="18"/>
      <c r="C128" s="105" t="s">
        <v>385</v>
      </c>
      <c r="D128" s="97" t="s">
        <v>59</v>
      </c>
      <c r="E128" s="98" t="s">
        <v>60</v>
      </c>
      <c r="F128" s="99" t="s">
        <v>61</v>
      </c>
      <c r="G128" s="37">
        <f>$H128*$I128/2</f>
        <v>8</v>
      </c>
      <c r="H128" s="123">
        <v>4</v>
      </c>
      <c r="I128" s="124">
        <v>4</v>
      </c>
      <c r="J128" s="146">
        <f>$H128/2</f>
        <v>2</v>
      </c>
      <c r="K128" s="147">
        <f>$I128/2</f>
        <v>2</v>
      </c>
      <c r="L128" s="77">
        <f>$G128/VLOOKUP($E128,Ore_Density[],2,FALSE)/Vanilla_COG_Divisor</f>
        <v>3.0017771871747807</v>
      </c>
      <c r="M128" s="82" t="str">
        <f>IF(OR($E128="Layered Veins",$E128="Small Deposits",$E128="Geode"),"Motherlode",IF(OR($E128="Pipe Veins",$E128="Sparse Veins",$E128="Vertical Veins"),"No","ERROR"))</f>
        <v>No</v>
      </c>
      <c r="N128" s="86">
        <v>1</v>
      </c>
      <c r="O128" s="86">
        <v>1</v>
      </c>
      <c r="P128" s="82" t="str">
        <f>IF(OR($E128="Layered Veins",$E128="Pipe Veins",$E128="Sparse Veins"),"Branches",IF($E128="Vertical Veins","Vertical","none"))</f>
        <v>Branches</v>
      </c>
      <c r="Q128" s="152">
        <f>SQRT($L128)*$N128</f>
        <v>1.7325637613590965</v>
      </c>
      <c r="R128" s="152" t="str">
        <f>IF($M128="Motherlode",(($O128*SQRT($L128))^(1/2))^(1/3),"none")</f>
        <v>none</v>
      </c>
      <c r="S128" s="152">
        <f>IF($P128="Branches",SQRT($L128)^(1/2),IF($P128="Vertical","default",$P128))</f>
        <v>1.3162688788234327</v>
      </c>
      <c r="T128" s="153">
        <f>IF($P128="Branches",SQRT(SQRT($L128))^(1/2),IF($P128="Vertical",SQRT($L128)^(1/2),"none"))</f>
        <v>1.1472876181775138</v>
      </c>
      <c r="U128" s="77">
        <f>$G128/VLOOKUP($F128,Ore_Density[],2,FALSE)/Vanilla_COG_Divisor</f>
        <v>0.65306122448979587</v>
      </c>
      <c r="V128" s="158">
        <f>SQRT($U128)</f>
        <v>0.80812203564176854</v>
      </c>
      <c r="W128" s="147">
        <f>SQRT(SQRT($U128))</f>
        <v>0.89895608104165381</v>
      </c>
      <c r="X128" s="70">
        <f>$Y128+$AB128</f>
        <v>67</v>
      </c>
      <c r="Y128" s="71">
        <f>($AC128-$AB128)/2</f>
        <v>61</v>
      </c>
      <c r="Z128" s="71">
        <f>$AA128+$AB128</f>
        <v>127.8</v>
      </c>
      <c r="AA128" s="72">
        <f>($AG128-$AB128)/2</f>
        <v>121.8</v>
      </c>
      <c r="AB128" s="128">
        <v>6</v>
      </c>
      <c r="AC128" s="128">
        <v>128</v>
      </c>
      <c r="AD128" s="128"/>
      <c r="AE128" s="71">
        <f>IF($AD128="No",0,IF($AJ128="overworld",IF($X128&lt;64,64+($X128*3),0),0))</f>
        <v>0</v>
      </c>
      <c r="AF128" s="71">
        <f>IF($AD128="No",0,IF($AJ128="Overworld",IF($X128&lt;64,($Y128*3),0),0))</f>
        <v>0</v>
      </c>
      <c r="AG128" s="32">
        <f>IF($AC128&gt;64,64+(($AC128-64)*2.9),$AC128)</f>
        <v>249.6</v>
      </c>
      <c r="AH128" s="41" t="s">
        <v>241</v>
      </c>
      <c r="AI128" s="42"/>
      <c r="AJ128" s="131" t="s">
        <v>53</v>
      </c>
      <c r="AK128" s="20" t="str">
        <f>IF($X128&gt;64,"uniform",IF($AJ128="Overworld","normal","uniform"))</f>
        <v>uniform</v>
      </c>
      <c r="AL128" s="109" t="s">
        <v>386</v>
      </c>
      <c r="AM128" s="110" t="s">
        <v>64</v>
      </c>
      <c r="AN128" s="117"/>
      <c r="AO128" s="118" t="s">
        <v>56</v>
      </c>
      <c r="AP128" s="46"/>
    </row>
    <row r="129" spans="1:42" s="7" customFormat="1" ht="13.5">
      <c r="A129" s="31" t="s">
        <v>379</v>
      </c>
      <c r="B129" s="18"/>
      <c r="C129" s="105" t="s">
        <v>468</v>
      </c>
      <c r="D129" s="97" t="s">
        <v>59</v>
      </c>
      <c r="E129" s="98" t="s">
        <v>66</v>
      </c>
      <c r="F129" s="99" t="s">
        <v>61</v>
      </c>
      <c r="G129" s="37">
        <f>$H129*$I129/2</f>
        <v>3</v>
      </c>
      <c r="H129" s="123">
        <v>3</v>
      </c>
      <c r="I129" s="124">
        <v>2</v>
      </c>
      <c r="J129" s="146">
        <f>$H129/2</f>
        <v>1.5</v>
      </c>
      <c r="K129" s="147">
        <f>$I129/2</f>
        <v>1</v>
      </c>
      <c r="L129" s="77">
        <f>$G129/VLOOKUP($E129,Ore_Density[],2,FALSE)/Vanilla_COG_Divisor</f>
        <v>0.18786692759295498</v>
      </c>
      <c r="M129" s="82" t="str">
        <f>IF(OR($E129="Layered Veins",$E129="Small Deposits",$E129="Geode"),"Motherlode",IF(OR($E129="Pipe Veins",$E129="Sparse Veins",$E129="Vertical Veins"),"No","ERROR"))</f>
        <v>Motherlode</v>
      </c>
      <c r="N129" s="86">
        <v>1</v>
      </c>
      <c r="O129" s="86">
        <v>1</v>
      </c>
      <c r="P129" s="82" t="str">
        <f>IF(OR($E129="Layered Veins",$E129="Pipe Veins",$E129="Sparse Veins"),"Branches",IF($E129="Vertical Veins","Vertical","none"))</f>
        <v>Branches</v>
      </c>
      <c r="Q129" s="152">
        <f>SQRT($L129)*$N129</f>
        <v>0.43343618629846192</v>
      </c>
      <c r="R129" s="152">
        <f>IF($M129="Motherlode",(($O129*SQRT($L129))^(1/2))^(1/3),"none")</f>
        <v>0.86993644949298721</v>
      </c>
      <c r="S129" s="152">
        <f>IF($P129="Branches",SQRT($L129)^(1/2),IF($P129="Vertical","default",$P129))</f>
        <v>0.65835870640439009</v>
      </c>
      <c r="T129" s="153">
        <f>IF($P129="Branches",SQRT(SQRT($L129))^(1/2),IF($P129="Vertical",SQRT($L129)^(1/2),"none"))</f>
        <v>0.81139306529227262</v>
      </c>
      <c r="U129" s="77">
        <f>$G129/VLOOKUP($F129,Ore_Density[],2,FALSE)/Vanilla_COG_Divisor</f>
        <v>0.24489795918367346</v>
      </c>
      <c r="V129" s="158">
        <f>SQRT($U129)</f>
        <v>0.49487165930539351</v>
      </c>
      <c r="W129" s="147">
        <f>SQRT(SQRT($U129))</f>
        <v>0.70347115030070251</v>
      </c>
      <c r="X129" s="70">
        <f>$Y129+$AB129</f>
        <v>67</v>
      </c>
      <c r="Y129" s="71">
        <f>($AC129-$AB129)/2</f>
        <v>61</v>
      </c>
      <c r="Z129" s="71">
        <f>$AA129+$AB129</f>
        <v>127.8</v>
      </c>
      <c r="AA129" s="72">
        <f>($AG129-$AB129)/2</f>
        <v>121.8</v>
      </c>
      <c r="AB129" s="128">
        <v>6</v>
      </c>
      <c r="AC129" s="128">
        <v>128</v>
      </c>
      <c r="AD129" s="128"/>
      <c r="AE129" s="71">
        <f>IF($AD129="No",0,IF($AJ129="overworld",IF($X129&lt;64,64+($X129*3),0),0))</f>
        <v>0</v>
      </c>
      <c r="AF129" s="71">
        <f>IF($AD129="No",0,IF($AJ129="Overworld",IF($X129&lt;64,($Y129*3),0),0))</f>
        <v>0</v>
      </c>
      <c r="AG129" s="32">
        <f>IF($AC129&gt;64,64+(($AC129-64)*2.9),$AC129)</f>
        <v>249.6</v>
      </c>
      <c r="AH129" s="41" t="s">
        <v>469</v>
      </c>
      <c r="AI129" s="42"/>
      <c r="AJ129" s="131" t="s">
        <v>96</v>
      </c>
      <c r="AK129" s="20" t="str">
        <f>IF($X129&gt;64,"uniform",IF($AJ129="Overworld","normal","uniform"))</f>
        <v>uniform</v>
      </c>
      <c r="AL129" s="109" t="s">
        <v>470</v>
      </c>
      <c r="AM129" s="110" t="s">
        <v>98</v>
      </c>
      <c r="AN129" s="117"/>
      <c r="AO129" s="118" t="s">
        <v>56</v>
      </c>
      <c r="AP129" s="46"/>
    </row>
    <row r="130" spans="1:42" s="7" customFormat="1" ht="13.5">
      <c r="A130" s="31" t="s">
        <v>379</v>
      </c>
      <c r="B130" s="18"/>
      <c r="C130" s="105" t="s">
        <v>444</v>
      </c>
      <c r="D130" s="97" t="s">
        <v>59</v>
      </c>
      <c r="E130" s="98" t="s">
        <v>66</v>
      </c>
      <c r="F130" s="99" t="s">
        <v>61</v>
      </c>
      <c r="G130" s="37">
        <f>$H130*$I130/2</f>
        <v>21</v>
      </c>
      <c r="H130" s="123">
        <v>6</v>
      </c>
      <c r="I130" s="124">
        <v>7</v>
      </c>
      <c r="J130" s="146">
        <f>$H130/2</f>
        <v>3</v>
      </c>
      <c r="K130" s="147">
        <f>$I130/2</f>
        <v>3.5</v>
      </c>
      <c r="L130" s="77">
        <f>$G130/VLOOKUP($E130,Ore_Density[],2,FALSE)/Vanilla_COG_Divisor</f>
        <v>1.3150684931506849</v>
      </c>
      <c r="M130" s="82" t="str">
        <f>IF(OR($E130="Layered Veins",$E130="Small Deposits",$E130="Geode"),"Motherlode",IF(OR($E130="Pipe Veins",$E130="Sparse Veins",$E130="Vertical Veins"),"No","ERROR"))</f>
        <v>Motherlode</v>
      </c>
      <c r="N130" s="86">
        <v>1</v>
      </c>
      <c r="O130" s="86">
        <v>1</v>
      </c>
      <c r="P130" s="82" t="str">
        <f>IF(OR($E130="Layered Veins",$E130="Pipe Veins",$E130="Sparse Veins"),"Branches",IF($E130="Vertical Veins","Vertical","none"))</f>
        <v>Branches</v>
      </c>
      <c r="Q130" s="152">
        <f>SQRT($L130)*$N130</f>
        <v>1.1467643581619917</v>
      </c>
      <c r="R130" s="152">
        <f>IF($M130="Motherlode",(($O130*SQRT($L130))^(1/2))^(1/3),"none")</f>
        <v>1.0230865244538203</v>
      </c>
      <c r="S130" s="152">
        <f>IF($P130="Branches",SQRT($L130)^(1/2),IF($P130="Vertical","default",$P130))</f>
        <v>1.0708708410270549</v>
      </c>
      <c r="T130" s="153">
        <f>IF($P130="Branches",SQRT(SQRT($L130))^(1/2),IF($P130="Vertical",SQRT($L130)^(1/2),"none"))</f>
        <v>1.0348288945652102</v>
      </c>
      <c r="U130" s="77">
        <f>$G130/VLOOKUP($F130,Ore_Density[],2,FALSE)/Vanilla_COG_Divisor</f>
        <v>1.7142857142857142</v>
      </c>
      <c r="V130" s="158">
        <f>SQRT($U130)</f>
        <v>1.3093073414159542</v>
      </c>
      <c r="W130" s="147">
        <f>SQRT(SQRT($U130))</f>
        <v>1.1442496849097028</v>
      </c>
      <c r="X130" s="70">
        <f>$Y130+$AB130</f>
        <v>67</v>
      </c>
      <c r="Y130" s="71">
        <f>($AC130-$AB130)/2</f>
        <v>61</v>
      </c>
      <c r="Z130" s="71">
        <f>$AA130+$AB130</f>
        <v>127.8</v>
      </c>
      <c r="AA130" s="72">
        <f>($AG130-$AB130)/2</f>
        <v>121.8</v>
      </c>
      <c r="AB130" s="128">
        <v>6</v>
      </c>
      <c r="AC130" s="128">
        <v>128</v>
      </c>
      <c r="AD130" s="128"/>
      <c r="AE130" s="71">
        <f>IF($AD130="No",0,IF($AJ130="overworld",IF($X130&lt;64,64+($X130*3),0),0))</f>
        <v>0</v>
      </c>
      <c r="AF130" s="71">
        <f>IF($AD130="No",0,IF($AJ130="Overworld",IF($X130&lt;64,($Y130*3),0),0))</f>
        <v>0</v>
      </c>
      <c r="AG130" s="32">
        <f>IF($AC130&gt;64,64+(($AC130-64)*2.9),$AC130)</f>
        <v>249.6</v>
      </c>
      <c r="AH130" s="41" t="s">
        <v>445</v>
      </c>
      <c r="AI130" s="42"/>
      <c r="AJ130" s="131" t="s">
        <v>96</v>
      </c>
      <c r="AK130" s="20" t="str">
        <f>IF($X130&gt;64,"uniform",IF($AJ130="Overworld","normal","uniform"))</f>
        <v>uniform</v>
      </c>
      <c r="AL130" s="109" t="s">
        <v>446</v>
      </c>
      <c r="AM130" s="110" t="s">
        <v>98</v>
      </c>
      <c r="AN130" s="117"/>
      <c r="AO130" s="118" t="s">
        <v>56</v>
      </c>
      <c r="AP130" s="46"/>
    </row>
    <row r="131" spans="1:42" s="7" customFormat="1" ht="13.5">
      <c r="A131" s="31" t="s">
        <v>379</v>
      </c>
      <c r="B131" s="18"/>
      <c r="C131" s="105" t="s">
        <v>173</v>
      </c>
      <c r="D131" s="97" t="s">
        <v>59</v>
      </c>
      <c r="E131" s="98" t="s">
        <v>66</v>
      </c>
      <c r="F131" s="99" t="s">
        <v>61</v>
      </c>
      <c r="G131" s="37">
        <f>$H131*$I131/2</f>
        <v>15</v>
      </c>
      <c r="H131" s="123">
        <v>5</v>
      </c>
      <c r="I131" s="124">
        <v>6</v>
      </c>
      <c r="J131" s="146">
        <f>$H131/2</f>
        <v>2.5</v>
      </c>
      <c r="K131" s="147">
        <f>$I131/2</f>
        <v>3</v>
      </c>
      <c r="L131" s="77">
        <f>$G131/VLOOKUP($E131,Ore_Density[],2,FALSE)/Vanilla_COG_Divisor</f>
        <v>0.9393346379647749</v>
      </c>
      <c r="M131" s="82" t="str">
        <f>IF(OR($E131="Layered Veins",$E131="Small Deposits",$E131="Geode"),"Motherlode",IF(OR($E131="Pipe Veins",$E131="Sparse Veins",$E131="Vertical Veins"),"No","ERROR"))</f>
        <v>Motherlode</v>
      </c>
      <c r="N131" s="86">
        <v>1</v>
      </c>
      <c r="O131" s="86">
        <v>1</v>
      </c>
      <c r="P131" s="82" t="str">
        <f>IF(OR($E131="Layered Veins",$E131="Pipe Veins",$E131="Sparse Veins"),"Branches",IF($E131="Vertical Veins","Vertical","none"))</f>
        <v>Branches</v>
      </c>
      <c r="Q131" s="152">
        <f>SQRT($L131)*$N131</f>
        <v>0.96919277647162383</v>
      </c>
      <c r="R131" s="152">
        <f>IF($M131="Motherlode",(($O131*SQRT($L131))^(1/2))^(1/3),"none")</f>
        <v>0.99479828549127336</v>
      </c>
      <c r="S131" s="152">
        <f>IF($P131="Branches",SQRT($L131)^(1/2),IF($P131="Vertical","default",$P131))</f>
        <v>0.98447588922818408</v>
      </c>
      <c r="T131" s="153">
        <f>IF($P131="Branches",SQRT(SQRT($L131))^(1/2),IF($P131="Vertical",SQRT($L131)^(1/2),"none"))</f>
        <v>0.99220758373849571</v>
      </c>
      <c r="U131" s="77">
        <f>$G131/VLOOKUP($F131,Ore_Density[],2,FALSE)/Vanilla_COG_Divisor</f>
        <v>1.2244897959183674</v>
      </c>
      <c r="V131" s="158">
        <f>SQRT($U131)</f>
        <v>1.1065666703449764</v>
      </c>
      <c r="W131" s="147">
        <f>SQRT(SQRT($U131))</f>
        <v>1.0519347272264454</v>
      </c>
      <c r="X131" s="70">
        <f>$Y131+$AB131</f>
        <v>67</v>
      </c>
      <c r="Y131" s="71">
        <f>($AC131-$AB131)/2</f>
        <v>61</v>
      </c>
      <c r="Z131" s="71">
        <f>$AA131+$AB131</f>
        <v>127.8</v>
      </c>
      <c r="AA131" s="72">
        <f>($AG131-$AB131)/2</f>
        <v>121.8</v>
      </c>
      <c r="AB131" s="128">
        <v>6</v>
      </c>
      <c r="AC131" s="128">
        <v>128</v>
      </c>
      <c r="AD131" s="128"/>
      <c r="AE131" s="71">
        <f>IF($AD131="No",0,IF($AJ131="overworld",IF($X131&lt;64,64+($X131*3),0),0))</f>
        <v>0</v>
      </c>
      <c r="AF131" s="71">
        <f>IF($AD131="No",0,IF($AJ131="Overworld",IF($X131&lt;64,($Y131*3),0),0))</f>
        <v>0</v>
      </c>
      <c r="AG131" s="32">
        <f>IF($AC131&gt;64,64+(($AC131-64)*2.9),$AC131)</f>
        <v>249.6</v>
      </c>
      <c r="AH131" s="41" t="s">
        <v>404</v>
      </c>
      <c r="AI131" s="42"/>
      <c r="AJ131" s="131" t="s">
        <v>53</v>
      </c>
      <c r="AK131" s="20" t="str">
        <f>IF($X131&gt;64,"uniform",IF($AJ131="Overworld","normal","uniform"))</f>
        <v>uniform</v>
      </c>
      <c r="AL131" s="109" t="s">
        <v>405</v>
      </c>
      <c r="AM131" s="110" t="s">
        <v>64</v>
      </c>
      <c r="AN131" s="117"/>
      <c r="AO131" s="118" t="s">
        <v>56</v>
      </c>
      <c r="AP131" s="46"/>
    </row>
    <row r="132" spans="1:42" s="7" customFormat="1" ht="13.5">
      <c r="A132" s="31" t="s">
        <v>379</v>
      </c>
      <c r="B132" s="18"/>
      <c r="C132" s="105" t="s">
        <v>351</v>
      </c>
      <c r="D132" s="97" t="s">
        <v>59</v>
      </c>
      <c r="E132" s="98" t="s">
        <v>60</v>
      </c>
      <c r="F132" s="99" t="s">
        <v>61</v>
      </c>
      <c r="G132" s="37">
        <f>$H132*$I132/2</f>
        <v>8</v>
      </c>
      <c r="H132" s="123">
        <v>4</v>
      </c>
      <c r="I132" s="124">
        <v>4</v>
      </c>
      <c r="J132" s="146">
        <f>$H132/2</f>
        <v>2</v>
      </c>
      <c r="K132" s="147">
        <f>$I132/2</f>
        <v>2</v>
      </c>
      <c r="L132" s="77">
        <f>$G132/VLOOKUP($E132,Ore_Density[],2,FALSE)/Vanilla_COG_Divisor</f>
        <v>3.0017771871747807</v>
      </c>
      <c r="M132" s="82" t="str">
        <f>IF(OR($E132="Layered Veins",$E132="Small Deposits",$E132="Geode"),"Motherlode",IF(OR($E132="Pipe Veins",$E132="Sparse Veins",$E132="Vertical Veins"),"No","ERROR"))</f>
        <v>No</v>
      </c>
      <c r="N132" s="86">
        <v>1</v>
      </c>
      <c r="O132" s="86">
        <v>1</v>
      </c>
      <c r="P132" s="82" t="str">
        <f>IF(OR($E132="Layered Veins",$E132="Pipe Veins",$E132="Sparse Veins"),"Branches",IF($E132="Vertical Veins","Vertical","none"))</f>
        <v>Branches</v>
      </c>
      <c r="Q132" s="152">
        <f>SQRT($L132)*$N132</f>
        <v>1.7325637613590965</v>
      </c>
      <c r="R132" s="152" t="str">
        <f>IF($M132="Motherlode",(($O132*SQRT($L132))^(1/2))^(1/3),"none")</f>
        <v>none</v>
      </c>
      <c r="S132" s="152">
        <f>IF($P132="Branches",SQRT($L132)^(1/2),IF($P132="Vertical","default",$P132))</f>
        <v>1.3162688788234327</v>
      </c>
      <c r="T132" s="153">
        <f>IF($P132="Branches",SQRT(SQRT($L132))^(1/2),IF($P132="Vertical",SQRT($L132)^(1/2),"none"))</f>
        <v>1.1472876181775138</v>
      </c>
      <c r="U132" s="77">
        <f>$G132/VLOOKUP($F132,Ore_Density[],2,FALSE)/Vanilla_COG_Divisor</f>
        <v>0.65306122448979587</v>
      </c>
      <c r="V132" s="158">
        <f>SQRT($U132)</f>
        <v>0.80812203564176854</v>
      </c>
      <c r="W132" s="147">
        <f>SQRT(SQRT($U132))</f>
        <v>0.89895608104165381</v>
      </c>
      <c r="X132" s="70">
        <f>$Y132+$AB132</f>
        <v>67</v>
      </c>
      <c r="Y132" s="71">
        <f>($AC132-$AB132)/2</f>
        <v>61</v>
      </c>
      <c r="Z132" s="71">
        <f>$AA132+$AB132</f>
        <v>127.8</v>
      </c>
      <c r="AA132" s="72">
        <f>($AG132-$AB132)/2</f>
        <v>121.8</v>
      </c>
      <c r="AB132" s="128">
        <v>6</v>
      </c>
      <c r="AC132" s="128">
        <v>128</v>
      </c>
      <c r="AD132" s="128"/>
      <c r="AE132" s="71">
        <f>IF($AD132="No",0,IF($AJ132="overworld",IF($X132&lt;64,64+($X132*3),0),0))</f>
        <v>0</v>
      </c>
      <c r="AF132" s="71">
        <f>IF($AD132="No",0,IF($AJ132="Overworld",IF($X132&lt;64,($Y132*3),0),0))</f>
        <v>0</v>
      </c>
      <c r="AG132" s="32">
        <f>IF($AC132&gt;64,64+(($AC132-64)*2.9),$AC132)</f>
        <v>249.6</v>
      </c>
      <c r="AH132" s="41" t="s">
        <v>380</v>
      </c>
      <c r="AI132" s="42"/>
      <c r="AJ132" s="131" t="s">
        <v>53</v>
      </c>
      <c r="AK132" s="20" t="str">
        <f>IF($X132&gt;64,"uniform",IF($AJ132="Overworld","normal","uniform"))</f>
        <v>uniform</v>
      </c>
      <c r="AL132" s="109" t="s">
        <v>381</v>
      </c>
      <c r="AM132" s="110" t="s">
        <v>64</v>
      </c>
      <c r="AN132" s="117"/>
      <c r="AO132" s="118" t="s">
        <v>56</v>
      </c>
      <c r="AP132" s="46"/>
    </row>
    <row r="133" spans="1:42" s="7" customFormat="1" ht="13.5">
      <c r="A133" s="31" t="s">
        <v>379</v>
      </c>
      <c r="B133" s="18"/>
      <c r="C133" s="105" t="s">
        <v>179</v>
      </c>
      <c r="D133" s="97" t="s">
        <v>59</v>
      </c>
      <c r="E133" s="98" t="s">
        <v>66</v>
      </c>
      <c r="F133" s="99" t="s">
        <v>61</v>
      </c>
      <c r="G133" s="37">
        <f>$H133*$I133/2</f>
        <v>35</v>
      </c>
      <c r="H133" s="123">
        <v>10</v>
      </c>
      <c r="I133" s="124">
        <v>7</v>
      </c>
      <c r="J133" s="146">
        <f>$H133/2</f>
        <v>5</v>
      </c>
      <c r="K133" s="147">
        <f>$I133/2</f>
        <v>3.5</v>
      </c>
      <c r="L133" s="77">
        <f>$G133/VLOOKUP($E133,Ore_Density[],2,FALSE)/Vanilla_COG_Divisor</f>
        <v>2.1917808219178081</v>
      </c>
      <c r="M133" s="82" t="str">
        <f>IF(OR($E133="Layered Veins",$E133="Small Deposits",$E133="Geode"),"Motherlode",IF(OR($E133="Pipe Veins",$E133="Sparse Veins",$E133="Vertical Veins"),"No","ERROR"))</f>
        <v>Motherlode</v>
      </c>
      <c r="N133" s="86">
        <v>1</v>
      </c>
      <c r="O133" s="86">
        <v>1</v>
      </c>
      <c r="P133" s="82" t="str">
        <f>IF(OR($E133="Layered Veins",$E133="Pipe Veins",$E133="Sparse Veins"),"Branches",IF($E133="Vertical Veins","Vertical","none"))</f>
        <v>Branches</v>
      </c>
      <c r="Q133" s="152">
        <f>SQRT($L133)*$N133</f>
        <v>1.4804664203952105</v>
      </c>
      <c r="R133" s="152">
        <f>IF($M133="Motherlode",(($O133*SQRT($L133))^(1/2))^(1/3),"none")</f>
        <v>1.0675783556531184</v>
      </c>
      <c r="S133" s="152">
        <f>IF($P133="Branches",SQRT($L133)^(1/2),IF($P133="Vertical","default",$P133))</f>
        <v>1.2167441885602786</v>
      </c>
      <c r="T133" s="153">
        <f>IF($P133="Branches",SQRT(SQRT($L133))^(1/2),IF($P133="Vertical",SQRT($L133)^(1/2),"none"))</f>
        <v>1.1030612805099627</v>
      </c>
      <c r="U133" s="77">
        <f>$G133/VLOOKUP($F133,Ore_Density[],2,FALSE)/Vanilla_COG_Divisor</f>
        <v>2.8571428571428572</v>
      </c>
      <c r="V133" s="158">
        <f>SQRT($U133)</f>
        <v>1.6903085094570331</v>
      </c>
      <c r="W133" s="147">
        <f>SQRT(SQRT($U133))</f>
        <v>1.3001186520687384</v>
      </c>
      <c r="X133" s="70">
        <f>$Y133+$AB133</f>
        <v>67</v>
      </c>
      <c r="Y133" s="71">
        <f>($AC133-$AB133)/2</f>
        <v>61</v>
      </c>
      <c r="Z133" s="71">
        <f>$AA133+$AB133</f>
        <v>127.8</v>
      </c>
      <c r="AA133" s="72">
        <f>($AG133-$AB133)/2</f>
        <v>121.8</v>
      </c>
      <c r="AB133" s="128">
        <v>6</v>
      </c>
      <c r="AC133" s="128">
        <v>128</v>
      </c>
      <c r="AD133" s="128"/>
      <c r="AE133" s="71">
        <f>IF($AD133="No",0,IF($AJ133="overworld",IF($X133&lt;64,64+($X133*3),0),0))</f>
        <v>0</v>
      </c>
      <c r="AF133" s="71">
        <f>IF($AD133="No",0,IF($AJ133="Overworld",IF($X133&lt;64,($Y133*3),0),0))</f>
        <v>0</v>
      </c>
      <c r="AG133" s="32">
        <f>IF($AC133&gt;64,64+(($AC133-64)*2.9),$AC133)</f>
        <v>249.6</v>
      </c>
      <c r="AH133" s="41" t="s">
        <v>397</v>
      </c>
      <c r="AI133" s="42"/>
      <c r="AJ133" s="131" t="s">
        <v>53</v>
      </c>
      <c r="AK133" s="20" t="str">
        <f>IF($X133&gt;64,"uniform",IF($AJ133="Overworld","normal","uniform"))</f>
        <v>uniform</v>
      </c>
      <c r="AL133" s="109" t="s">
        <v>398</v>
      </c>
      <c r="AM133" s="110" t="s">
        <v>64</v>
      </c>
      <c r="AN133" s="117"/>
      <c r="AO133" s="118" t="s">
        <v>56</v>
      </c>
      <c r="AP133" s="46"/>
    </row>
    <row r="134" spans="1:42" s="7" customFormat="1" ht="13.5">
      <c r="A134" s="31" t="s">
        <v>379</v>
      </c>
      <c r="B134" s="18"/>
      <c r="C134" s="105" t="s">
        <v>465</v>
      </c>
      <c r="D134" s="97" t="s">
        <v>59</v>
      </c>
      <c r="E134" s="98" t="s">
        <v>66</v>
      </c>
      <c r="F134" s="99" t="s">
        <v>61</v>
      </c>
      <c r="G134" s="37">
        <f>$H134*$I134/2</f>
        <v>3</v>
      </c>
      <c r="H134" s="123">
        <v>3</v>
      </c>
      <c r="I134" s="124">
        <v>2</v>
      </c>
      <c r="J134" s="146">
        <f>$H134/2</f>
        <v>1.5</v>
      </c>
      <c r="K134" s="147">
        <f>$I134/2</f>
        <v>1</v>
      </c>
      <c r="L134" s="77">
        <f>$G134/VLOOKUP($E134,Ore_Density[],2,FALSE)/Vanilla_COG_Divisor</f>
        <v>0.18786692759295498</v>
      </c>
      <c r="M134" s="82" t="str">
        <f>IF(OR($E134="Layered Veins",$E134="Small Deposits",$E134="Geode"),"Motherlode",IF(OR($E134="Pipe Veins",$E134="Sparse Veins",$E134="Vertical Veins"),"No","ERROR"))</f>
        <v>Motherlode</v>
      </c>
      <c r="N134" s="86">
        <v>1</v>
      </c>
      <c r="O134" s="86">
        <v>1</v>
      </c>
      <c r="P134" s="82" t="str">
        <f>IF(OR($E134="Layered Veins",$E134="Pipe Veins",$E134="Sparse Veins"),"Branches",IF($E134="Vertical Veins","Vertical","none"))</f>
        <v>Branches</v>
      </c>
      <c r="Q134" s="152">
        <f>SQRT($L134)*$N134</f>
        <v>0.43343618629846192</v>
      </c>
      <c r="R134" s="152">
        <f>IF($M134="Motherlode",(($O134*SQRT($L134))^(1/2))^(1/3),"none")</f>
        <v>0.86993644949298721</v>
      </c>
      <c r="S134" s="152">
        <f>IF($P134="Branches",SQRT($L134)^(1/2),IF($P134="Vertical","default",$P134))</f>
        <v>0.65835870640439009</v>
      </c>
      <c r="T134" s="153">
        <f>IF($P134="Branches",SQRT(SQRT($L134))^(1/2),IF($P134="Vertical",SQRT($L134)^(1/2),"none"))</f>
        <v>0.81139306529227262</v>
      </c>
      <c r="U134" s="77">
        <f>$G134/VLOOKUP($F134,Ore_Density[],2,FALSE)/Vanilla_COG_Divisor</f>
        <v>0.24489795918367346</v>
      </c>
      <c r="V134" s="158">
        <f>SQRT($U134)</f>
        <v>0.49487165930539351</v>
      </c>
      <c r="W134" s="147">
        <f>SQRT(SQRT($U134))</f>
        <v>0.70347115030070251</v>
      </c>
      <c r="X134" s="70">
        <f>$Y134+$AB134</f>
        <v>67</v>
      </c>
      <c r="Y134" s="71">
        <f>($AC134-$AB134)/2</f>
        <v>61</v>
      </c>
      <c r="Z134" s="71">
        <f>$AA134+$AB134</f>
        <v>127.8</v>
      </c>
      <c r="AA134" s="72">
        <f>($AG134-$AB134)/2</f>
        <v>121.8</v>
      </c>
      <c r="AB134" s="128">
        <v>6</v>
      </c>
      <c r="AC134" s="128">
        <v>128</v>
      </c>
      <c r="AD134" s="128"/>
      <c r="AE134" s="71">
        <f>IF($AD134="No",0,IF($AJ134="overworld",IF($X134&lt;64,64+($X134*3),0),0))</f>
        <v>0</v>
      </c>
      <c r="AF134" s="71">
        <f>IF($AD134="No",0,IF($AJ134="Overworld",IF($X134&lt;64,($Y134*3),0),0))</f>
        <v>0</v>
      </c>
      <c r="AG134" s="32">
        <f>IF($AC134&gt;64,64+(($AC134-64)*2.9),$AC134)</f>
        <v>249.6</v>
      </c>
      <c r="AH134" s="41" t="s">
        <v>466</v>
      </c>
      <c r="AI134" s="42"/>
      <c r="AJ134" s="131" t="s">
        <v>96</v>
      </c>
      <c r="AK134" s="20" t="str">
        <f>IF($X134&gt;64,"uniform",IF($AJ134="Overworld","normal","uniform"))</f>
        <v>uniform</v>
      </c>
      <c r="AL134" s="109" t="s">
        <v>467</v>
      </c>
      <c r="AM134" s="110" t="s">
        <v>98</v>
      </c>
      <c r="AN134" s="117"/>
      <c r="AO134" s="118" t="s">
        <v>56</v>
      </c>
      <c r="AP134" s="46"/>
    </row>
    <row r="135" spans="1:42" s="7" customFormat="1" ht="13.5">
      <c r="A135" s="31" t="s">
        <v>379</v>
      </c>
      <c r="B135" s="18"/>
      <c r="C135" s="105" t="s">
        <v>453</v>
      </c>
      <c r="D135" s="97" t="s">
        <v>59</v>
      </c>
      <c r="E135" s="98" t="s">
        <v>66</v>
      </c>
      <c r="F135" s="99" t="s">
        <v>61</v>
      </c>
      <c r="G135" s="37">
        <f>$H135*$I135/2</f>
        <v>14</v>
      </c>
      <c r="H135" s="123">
        <v>7</v>
      </c>
      <c r="I135" s="124">
        <v>4</v>
      </c>
      <c r="J135" s="146">
        <f>$H135/2</f>
        <v>3.5</v>
      </c>
      <c r="K135" s="147">
        <f>$I135/2</f>
        <v>2</v>
      </c>
      <c r="L135" s="77">
        <f>$G135/VLOOKUP($E135,Ore_Density[],2,FALSE)/Vanilla_COG_Divisor</f>
        <v>0.87671232876712324</v>
      </c>
      <c r="M135" s="82" t="str">
        <f>IF(OR($E135="Layered Veins",$E135="Small Deposits",$E135="Geode"),"Motherlode",IF(OR($E135="Pipe Veins",$E135="Sparse Veins",$E135="Vertical Veins"),"No","ERROR"))</f>
        <v>Motherlode</v>
      </c>
      <c r="N135" s="86">
        <v>1</v>
      </c>
      <c r="O135" s="86">
        <v>1</v>
      </c>
      <c r="P135" s="82" t="str">
        <f>IF(OR($E135="Layered Veins",$E135="Pipe Veins",$E135="Sparse Veins"),"Branches",IF($E135="Vertical Veins","Vertical","none"))</f>
        <v>Branches</v>
      </c>
      <c r="Q135" s="152">
        <f>SQRT($L135)*$N135</f>
        <v>0.93632917756904444</v>
      </c>
      <c r="R135" s="152">
        <f>IF($M135="Motherlode",(($O135*SQRT($L135))^(1/2))^(1/3),"none")</f>
        <v>0.98909519669869372</v>
      </c>
      <c r="S135" s="152">
        <f>IF($P135="Branches",SQRT($L135)^(1/2),IF($P135="Vertical","default",$P135))</f>
        <v>0.96764103755940634</v>
      </c>
      <c r="T135" s="153">
        <f>IF($P135="Branches",SQRT(SQRT($L135))^(1/2),IF($P135="Vertical",SQRT($L135)^(1/2),"none"))</f>
        <v>0.98368746945328445</v>
      </c>
      <c r="U135" s="77">
        <f>$G135/VLOOKUP($F135,Ore_Density[],2,FALSE)/Vanilla_COG_Divisor</f>
        <v>1.1428571428571428</v>
      </c>
      <c r="V135" s="158">
        <f>SQRT($U135)</f>
        <v>1.0690449676496976</v>
      </c>
      <c r="W135" s="147">
        <f>SQRT(SQRT($U135))</f>
        <v>1.0339463079143412</v>
      </c>
      <c r="X135" s="70">
        <f>$Y135+$AB135</f>
        <v>67</v>
      </c>
      <c r="Y135" s="71">
        <f>($AC135-$AB135)/2</f>
        <v>61</v>
      </c>
      <c r="Z135" s="71">
        <f>$AA135+$AB135</f>
        <v>127.8</v>
      </c>
      <c r="AA135" s="72">
        <f>($AG135-$AB135)/2</f>
        <v>121.8</v>
      </c>
      <c r="AB135" s="128">
        <v>6</v>
      </c>
      <c r="AC135" s="128">
        <v>128</v>
      </c>
      <c r="AD135" s="128"/>
      <c r="AE135" s="71">
        <f>IF($AD135="No",0,IF($AJ135="overworld",IF($X135&lt;64,64+($X135*3),0),0))</f>
        <v>0</v>
      </c>
      <c r="AF135" s="71">
        <f>IF($AD135="No",0,IF($AJ135="Overworld",IF($X135&lt;64,($Y135*3),0),0))</f>
        <v>0</v>
      </c>
      <c r="AG135" s="32">
        <f>IF($AC135&gt;64,64+(($AC135-64)*2.9),$AC135)</f>
        <v>249.6</v>
      </c>
      <c r="AH135" s="41" t="s">
        <v>454</v>
      </c>
      <c r="AI135" s="42"/>
      <c r="AJ135" s="131" t="s">
        <v>96</v>
      </c>
      <c r="AK135" s="20" t="str">
        <f>IF($X135&gt;64,"uniform",IF($AJ135="Overworld","normal","uniform"))</f>
        <v>uniform</v>
      </c>
      <c r="AL135" s="109" t="s">
        <v>455</v>
      </c>
      <c r="AM135" s="110" t="s">
        <v>98</v>
      </c>
      <c r="AN135" s="117"/>
      <c r="AO135" s="118" t="s">
        <v>56</v>
      </c>
      <c r="AP135" s="46"/>
    </row>
    <row r="136" spans="1:42" s="7" customFormat="1" ht="13.5">
      <c r="A136" s="31" t="s">
        <v>379</v>
      </c>
      <c r="B136" s="18"/>
      <c r="C136" s="105" t="s">
        <v>240</v>
      </c>
      <c r="D136" s="97" t="s">
        <v>59</v>
      </c>
      <c r="E136" s="98" t="s">
        <v>66</v>
      </c>
      <c r="F136" s="99" t="s">
        <v>61</v>
      </c>
      <c r="G136" s="37">
        <f>$H136*$I136/2</f>
        <v>15</v>
      </c>
      <c r="H136" s="123">
        <v>5</v>
      </c>
      <c r="I136" s="124">
        <v>6</v>
      </c>
      <c r="J136" s="146">
        <f>$H136/2</f>
        <v>2.5</v>
      </c>
      <c r="K136" s="147">
        <f>$I136/2</f>
        <v>3</v>
      </c>
      <c r="L136" s="77">
        <f>$G136/VLOOKUP($E136,Ore_Density[],2,FALSE)/Vanilla_COG_Divisor</f>
        <v>0.9393346379647749</v>
      </c>
      <c r="M136" s="82" t="str">
        <f>IF(OR($E136="Layered Veins",$E136="Small Deposits",$E136="Geode"),"Motherlode",IF(OR($E136="Pipe Veins",$E136="Sparse Veins",$E136="Vertical Veins"),"No","ERROR"))</f>
        <v>Motherlode</v>
      </c>
      <c r="N136" s="86">
        <v>1</v>
      </c>
      <c r="O136" s="86">
        <v>1</v>
      </c>
      <c r="P136" s="82" t="str">
        <f>IF(OR($E136="Layered Veins",$E136="Pipe Veins",$E136="Sparse Veins"),"Branches",IF($E136="Vertical Veins","Vertical","none"))</f>
        <v>Branches</v>
      </c>
      <c r="Q136" s="152">
        <f>SQRT($L136)*$N136</f>
        <v>0.96919277647162383</v>
      </c>
      <c r="R136" s="152">
        <f>IF($M136="Motherlode",(($O136*SQRT($L136))^(1/2))^(1/3),"none")</f>
        <v>0.99479828549127336</v>
      </c>
      <c r="S136" s="152">
        <f>IF($P136="Branches",SQRT($L136)^(1/2),IF($P136="Vertical","default",$P136))</f>
        <v>0.98447588922818408</v>
      </c>
      <c r="T136" s="153">
        <f>IF($P136="Branches",SQRT(SQRT($L136))^(1/2),IF($P136="Vertical",SQRT($L136)^(1/2),"none"))</f>
        <v>0.99220758373849571</v>
      </c>
      <c r="U136" s="77">
        <f>$G136/VLOOKUP($F136,Ore_Density[],2,FALSE)/Vanilla_COG_Divisor</f>
        <v>1.2244897959183674</v>
      </c>
      <c r="V136" s="158">
        <f>SQRT($U136)</f>
        <v>1.1065666703449764</v>
      </c>
      <c r="W136" s="147">
        <f>SQRT(SQRT($U136))</f>
        <v>1.0519347272264454</v>
      </c>
      <c r="X136" s="70">
        <f>$Y136+$AB136</f>
        <v>67</v>
      </c>
      <c r="Y136" s="71">
        <f>($AC136-$AB136)/2</f>
        <v>61</v>
      </c>
      <c r="Z136" s="71">
        <f>$AA136+$AB136</f>
        <v>127.8</v>
      </c>
      <c r="AA136" s="72">
        <f>($AG136-$AB136)/2</f>
        <v>121.8</v>
      </c>
      <c r="AB136" s="128">
        <v>6</v>
      </c>
      <c r="AC136" s="128">
        <v>128</v>
      </c>
      <c r="AD136" s="128"/>
      <c r="AE136" s="71">
        <f>IF($AD136="No",0,IF($AJ136="overworld",IF($X136&lt;64,64+($X136*3),0),0))</f>
        <v>0</v>
      </c>
      <c r="AF136" s="71">
        <f>IF($AD136="No",0,IF($AJ136="Overworld",IF($X136&lt;64,($Y136*3),0),0))</f>
        <v>0</v>
      </c>
      <c r="AG136" s="32">
        <f>IF($AC136&gt;64,64+(($AC136-64)*2.9),$AC136)</f>
        <v>249.6</v>
      </c>
      <c r="AH136" s="41" t="s">
        <v>402</v>
      </c>
      <c r="AI136" s="42"/>
      <c r="AJ136" s="131" t="s">
        <v>53</v>
      </c>
      <c r="AK136" s="20" t="str">
        <f>IF($X136&gt;64,"uniform",IF($AJ136="Overworld","normal","uniform"))</f>
        <v>uniform</v>
      </c>
      <c r="AL136" s="109" t="s">
        <v>403</v>
      </c>
      <c r="AM136" s="110" t="s">
        <v>64</v>
      </c>
      <c r="AN136" s="117"/>
      <c r="AO136" s="118" t="s">
        <v>56</v>
      </c>
      <c r="AP136" s="46"/>
    </row>
    <row r="137" spans="1:42" s="7" customFormat="1" ht="13.5">
      <c r="A137" s="31" t="s">
        <v>478</v>
      </c>
      <c r="B137" s="18"/>
      <c r="C137" s="105" t="s">
        <v>484</v>
      </c>
      <c r="D137" s="97" t="s">
        <v>59</v>
      </c>
      <c r="E137" s="98" t="s">
        <v>60</v>
      </c>
      <c r="F137" s="99" t="s">
        <v>61</v>
      </c>
      <c r="G137" s="37">
        <f>$H137*$I137/2</f>
        <v>64</v>
      </c>
      <c r="H137" s="123">
        <v>4</v>
      </c>
      <c r="I137" s="124">
        <v>32</v>
      </c>
      <c r="J137" s="146">
        <f>$H137/2</f>
        <v>2</v>
      </c>
      <c r="K137" s="147">
        <f>$I137/2</f>
        <v>16</v>
      </c>
      <c r="L137" s="77">
        <f>$G137/VLOOKUP($E137,Ore_Density[],2,FALSE)/Vanilla_COG_Divisor</f>
        <v>24.014217497398246</v>
      </c>
      <c r="M137" s="82" t="str">
        <f>IF(OR($E137="Layered Veins",$E137="Small Deposits",$E137="Geode"),"Motherlode",IF(OR($E137="Pipe Veins",$E137="Sparse Veins",$E137="Vertical Veins"),"No","ERROR"))</f>
        <v>No</v>
      </c>
      <c r="N137" s="86">
        <v>1</v>
      </c>
      <c r="O137" s="86">
        <v>1</v>
      </c>
      <c r="P137" s="82" t="str">
        <f>IF(OR($E137="Layered Veins",$E137="Pipe Veins",$E137="Sparse Veins"),"Branches",IF($E137="Vertical Veins","Vertical","none"))</f>
        <v>Branches</v>
      </c>
      <c r="Q137" s="152">
        <f>SQRT($L137)*$N137</f>
        <v>4.900430337980354</v>
      </c>
      <c r="R137" s="152" t="str">
        <f>IF($M137="Motherlode",(($O137*SQRT($L137))^(1/2))^(1/3),"none")</f>
        <v>none</v>
      </c>
      <c r="S137" s="152">
        <f>IF($P137="Branches",SQRT($L137)^(1/2),IF($P137="Vertical","default",$P137))</f>
        <v>2.2136915634253009</v>
      </c>
      <c r="T137" s="153">
        <f>IF($P137="Branches",SQRT(SQRT($L137))^(1/2),IF($P137="Vertical",SQRT($L137)^(1/2),"none"))</f>
        <v>1.4878479638139446</v>
      </c>
      <c r="U137" s="77">
        <f>$G137/VLOOKUP($F137,Ore_Density[],2,FALSE)/Vanilla_COG_Divisor</f>
        <v>5.2244897959183669</v>
      </c>
      <c r="V137" s="158">
        <f>SQRT($U137)</f>
        <v>2.2857142857142856</v>
      </c>
      <c r="W137" s="147">
        <f>SQRT(SQRT($U137))</f>
        <v>1.5118578920369088</v>
      </c>
      <c r="X137" s="70">
        <f>$Y137+$AB137</f>
        <v>32</v>
      </c>
      <c r="Y137" s="71">
        <f>($AC137-$AB137)/2</f>
        <v>32</v>
      </c>
      <c r="Z137" s="71">
        <f>$AA137+$AB137</f>
        <v>32</v>
      </c>
      <c r="AA137" s="72">
        <f>($AG137-$AB137)/2</f>
        <v>32</v>
      </c>
      <c r="AB137" s="128">
        <v>0</v>
      </c>
      <c r="AC137" s="128">
        <v>64</v>
      </c>
      <c r="AD137" s="128"/>
      <c r="AE137" s="71">
        <f>IF($AD137="No",0,IF($AJ137="overworld",IF($X137&lt;64,64+($X137*3),0),0))</f>
        <v>0</v>
      </c>
      <c r="AF137" s="71">
        <f>IF($AD137="No",0,IF($AJ137="Overworld",IF($X137&lt;64,($Y137*3),0),0))</f>
        <v>0</v>
      </c>
      <c r="AG137" s="32">
        <f>IF($AC137&gt;64,64+(($AC137-64)*2.9),$AC137)</f>
        <v>64</v>
      </c>
      <c r="AH137" s="41" t="s">
        <v>480</v>
      </c>
      <c r="AI137" s="42"/>
      <c r="AJ137" s="131" t="s">
        <v>119</v>
      </c>
      <c r="AK137" s="20" t="str">
        <f>IF($X137&gt;64,"uniform",IF($AJ137="Overworld","normal","uniform"))</f>
        <v>uniform</v>
      </c>
      <c r="AL137" s="109" t="s">
        <v>485</v>
      </c>
      <c r="AM137" s="110" t="s">
        <v>121</v>
      </c>
      <c r="AN137" s="117"/>
      <c r="AO137" s="118" t="s">
        <v>56</v>
      </c>
      <c r="AP137" s="46" t="s">
        <v>474</v>
      </c>
    </row>
    <row r="138" spans="1:42" s="7" customFormat="1" ht="13.5">
      <c r="A138" s="31" t="s">
        <v>478</v>
      </c>
      <c r="B138" s="18"/>
      <c r="C138" s="105" t="s">
        <v>479</v>
      </c>
      <c r="D138" s="97" t="s">
        <v>59</v>
      </c>
      <c r="E138" s="98" t="s">
        <v>60</v>
      </c>
      <c r="F138" s="99" t="s">
        <v>61</v>
      </c>
      <c r="G138" s="37">
        <f>$H138*$I138/2</f>
        <v>16</v>
      </c>
      <c r="H138" s="123">
        <v>4</v>
      </c>
      <c r="I138" s="124">
        <v>8</v>
      </c>
      <c r="J138" s="146">
        <f>$H138/2</f>
        <v>2</v>
      </c>
      <c r="K138" s="147">
        <f>$I138/2</f>
        <v>4</v>
      </c>
      <c r="L138" s="77">
        <f>$G138/VLOOKUP($E138,Ore_Density[],2,FALSE)/Vanilla_COG_Divisor</f>
        <v>6.0035543743495614</v>
      </c>
      <c r="M138" s="82" t="str">
        <f>IF(OR($E138="Layered Veins",$E138="Small Deposits",$E138="Geode"),"Motherlode",IF(OR($E138="Pipe Veins",$E138="Sparse Veins",$E138="Vertical Veins"),"No","ERROR"))</f>
        <v>No</v>
      </c>
      <c r="N138" s="86">
        <v>1</v>
      </c>
      <c r="O138" s="86">
        <v>1</v>
      </c>
      <c r="P138" s="82" t="str">
        <f>IF(OR($E138="Layered Veins",$E138="Pipe Veins",$E138="Sparse Veins"),"Branches",IF($E138="Vertical Veins","Vertical","none"))</f>
        <v>Branches</v>
      </c>
      <c r="Q138" s="152">
        <f>SQRT($L138)*$N138</f>
        <v>2.450215168990177</v>
      </c>
      <c r="R138" s="152" t="str">
        <f>IF($M138="Motherlode",(($O138*SQRT($L138))^(1/2))^(1/3),"none")</f>
        <v>none</v>
      </c>
      <c r="S138" s="152">
        <f>IF($P138="Branches",SQRT($L138)^(1/2),IF($P138="Vertical","default",$P138))</f>
        <v>1.5653163159534806</v>
      </c>
      <c r="T138" s="153">
        <f>IF($P138="Branches",SQRT(SQRT($L138))^(1/2),IF($P138="Vertical",SQRT($L138)^(1/2),"none"))</f>
        <v>1.2511260192136844</v>
      </c>
      <c r="U138" s="77">
        <f>$G138/VLOOKUP($F138,Ore_Density[],2,FALSE)/Vanilla_COG_Divisor</f>
        <v>1.3061224489795917</v>
      </c>
      <c r="V138" s="158">
        <f>SQRT($U138)</f>
        <v>1.1428571428571428</v>
      </c>
      <c r="W138" s="147">
        <f>SQRT(SQRT($U138))</f>
        <v>1.0690449676496976</v>
      </c>
      <c r="X138" s="70">
        <f>$Y138+$AB138</f>
        <v>30</v>
      </c>
      <c r="Y138" s="71">
        <f>($AC138-$AB138)/2</f>
        <v>30</v>
      </c>
      <c r="Z138" s="71">
        <f>$AA138+$AB138</f>
        <v>30</v>
      </c>
      <c r="AA138" s="72">
        <f>($AG138-$AB138)/2</f>
        <v>30</v>
      </c>
      <c r="AB138" s="128">
        <v>0</v>
      </c>
      <c r="AC138" s="128">
        <v>60</v>
      </c>
      <c r="AD138" s="128"/>
      <c r="AE138" s="71">
        <f>IF($AD138="No",0,IF($AJ138="overworld",IF($X138&lt;64,64+($X138*3),0),0))</f>
        <v>154</v>
      </c>
      <c r="AF138" s="71">
        <f>IF($AD138="No",0,IF($AJ138="Overworld",IF($X138&lt;64,($Y138*3),0),0))</f>
        <v>90</v>
      </c>
      <c r="AG138" s="32">
        <f>IF($AC138&gt;64,64+(($AC138-64)*2.9),$AC138)</f>
        <v>60</v>
      </c>
      <c r="AH138" s="41" t="s">
        <v>480</v>
      </c>
      <c r="AI138" s="42"/>
      <c r="AJ138" s="131" t="s">
        <v>53</v>
      </c>
      <c r="AK138" s="20" t="str">
        <f>IF($X138&gt;64,"uniform",IF($AJ138="Overworld","normal","uniform"))</f>
        <v>normal</v>
      </c>
      <c r="AL138" s="111" t="s">
        <v>481</v>
      </c>
      <c r="AM138" s="110" t="s">
        <v>64</v>
      </c>
      <c r="AN138" s="117"/>
      <c r="AO138" s="118" t="s">
        <v>56</v>
      </c>
      <c r="AP138" s="46"/>
    </row>
    <row r="139" spans="1:42" s="7" customFormat="1" ht="13.5">
      <c r="A139" s="31" t="s">
        <v>478</v>
      </c>
      <c r="B139" s="18"/>
      <c r="C139" s="105" t="s">
        <v>482</v>
      </c>
      <c r="D139" s="97" t="s">
        <v>59</v>
      </c>
      <c r="E139" s="98" t="s">
        <v>60</v>
      </c>
      <c r="F139" s="99" t="s">
        <v>61</v>
      </c>
      <c r="G139" s="37">
        <f>$H139*$I139/2</f>
        <v>32</v>
      </c>
      <c r="H139" s="123">
        <v>4</v>
      </c>
      <c r="I139" s="124">
        <v>16</v>
      </c>
      <c r="J139" s="146">
        <f>$H139/2</f>
        <v>2</v>
      </c>
      <c r="K139" s="147">
        <f>$I139/2</f>
        <v>8</v>
      </c>
      <c r="L139" s="77">
        <f>$G139/VLOOKUP($E139,Ore_Density[],2,FALSE)/Vanilla_COG_Divisor</f>
        <v>12.007108748699123</v>
      </c>
      <c r="M139" s="82" t="str">
        <f>IF(OR($E139="Layered Veins",$E139="Small Deposits",$E139="Geode"),"Motherlode",IF(OR($E139="Pipe Veins",$E139="Sparse Veins",$E139="Vertical Veins"),"No","ERROR"))</f>
        <v>No</v>
      </c>
      <c r="N139" s="86">
        <v>1</v>
      </c>
      <c r="O139" s="86">
        <v>1</v>
      </c>
      <c r="P139" s="82" t="str">
        <f>IF(OR($E139="Layered Veins",$E139="Pipe Veins",$E139="Sparse Veins"),"Branches",IF($E139="Vertical Veins","Vertical","none"))</f>
        <v>Branches</v>
      </c>
      <c r="Q139" s="152">
        <f>SQRT($L139)*$N139</f>
        <v>3.465127522718193</v>
      </c>
      <c r="R139" s="152" t="str">
        <f>IF($M139="Motherlode",(($O139*SQRT($L139))^(1/2))^(1/3),"none")</f>
        <v>none</v>
      </c>
      <c r="S139" s="152">
        <f>IF($P139="Branches",SQRT($L139)^(1/2),IF($P139="Vertical","default",$P139))</f>
        <v>1.8614853001617264</v>
      </c>
      <c r="T139" s="153">
        <f>IF($P139="Branches",SQRT(SQRT($L139))^(1/2),IF($P139="Vertical",SQRT($L139)^(1/2),"none"))</f>
        <v>1.3643625984912247</v>
      </c>
      <c r="U139" s="77">
        <f>$G139/VLOOKUP($F139,Ore_Density[],2,FALSE)/Vanilla_COG_Divisor</f>
        <v>2.6122448979591835</v>
      </c>
      <c r="V139" s="158">
        <f>SQRT($U139)</f>
        <v>1.6162440712835371</v>
      </c>
      <c r="W139" s="147">
        <f>SQRT(SQRT($U139))</f>
        <v>1.2713158817868739</v>
      </c>
      <c r="X139" s="70">
        <f>$Y139+$AB139</f>
        <v>64</v>
      </c>
      <c r="Y139" s="71">
        <f>($AC139-$AB139)/2</f>
        <v>64</v>
      </c>
      <c r="Z139" s="71">
        <f>$AA139+$AB139</f>
        <v>124.8</v>
      </c>
      <c r="AA139" s="72">
        <f>($AG139-$AB139)/2</f>
        <v>124.8</v>
      </c>
      <c r="AB139" s="128">
        <v>0</v>
      </c>
      <c r="AC139" s="128">
        <v>128</v>
      </c>
      <c r="AD139" s="128"/>
      <c r="AE139" s="71">
        <f>IF($AD139="No",0,IF($AJ139="overworld",IF($X139&lt;64,64+($X139*3),0),0))</f>
        <v>0</v>
      </c>
      <c r="AF139" s="71">
        <f>IF($AD139="No",0,IF($AJ139="Overworld",IF($X139&lt;64,($Y139*3),0),0))</f>
        <v>0</v>
      </c>
      <c r="AG139" s="32">
        <f>IF($AC139&gt;64,64+(($AC139-64)*2.9),$AC139)</f>
        <v>249.6</v>
      </c>
      <c r="AH139" s="41" t="s">
        <v>480</v>
      </c>
      <c r="AI139" s="42"/>
      <c r="AJ139" s="131" t="s">
        <v>96</v>
      </c>
      <c r="AK139" s="20" t="str">
        <f>IF($X139&gt;64,"uniform",IF($AJ139="Overworld","normal","uniform"))</f>
        <v>uniform</v>
      </c>
      <c r="AL139" s="109" t="s">
        <v>483</v>
      </c>
      <c r="AM139" s="110" t="s">
        <v>98</v>
      </c>
      <c r="AN139" s="117"/>
      <c r="AO139" s="118" t="s">
        <v>56</v>
      </c>
      <c r="AP139" s="46"/>
    </row>
    <row r="140" spans="1:42" s="7" customFormat="1" ht="13.5">
      <c r="A140" s="31" t="s">
        <v>486</v>
      </c>
      <c r="B140" s="18"/>
      <c r="C140" s="105" t="s">
        <v>340</v>
      </c>
      <c r="D140" s="97" t="s">
        <v>59</v>
      </c>
      <c r="E140" s="98" t="s">
        <v>66</v>
      </c>
      <c r="F140" s="99" t="s">
        <v>61</v>
      </c>
      <c r="G140" s="37">
        <f>$H140*$I140/2</f>
        <v>4</v>
      </c>
      <c r="H140" s="123">
        <v>4</v>
      </c>
      <c r="I140" s="124">
        <v>2</v>
      </c>
      <c r="J140" s="146">
        <f>$H140/2</f>
        <v>2</v>
      </c>
      <c r="K140" s="147">
        <f>$I140/2</f>
        <v>1</v>
      </c>
      <c r="L140" s="77">
        <f>$G140/VLOOKUP($E140,Ore_Density[],2,FALSE)/Vanilla_COG_Divisor</f>
        <v>0.25048923679060664</v>
      </c>
      <c r="M140" s="82" t="str">
        <f>IF(OR($E140="Layered Veins",$E140="Small Deposits",$E140="Geode"),"Motherlode",IF(OR($E140="Pipe Veins",$E140="Sparse Veins",$E140="Vertical Veins"),"No","ERROR"))</f>
        <v>Motherlode</v>
      </c>
      <c r="N140" s="86">
        <v>1</v>
      </c>
      <c r="O140" s="86">
        <v>1</v>
      </c>
      <c r="P140" s="82" t="str">
        <f>IF(OR($E140="Layered Veins",$E140="Pipe Veins",$E140="Sparse Veins"),"Branches",IF($E140="Vertical Veins","Vertical","none"))</f>
        <v>Branches</v>
      </c>
      <c r="Q140" s="152">
        <f>SQRT($L140)*$N140</f>
        <v>0.50048899767188348</v>
      </c>
      <c r="R140" s="152">
        <f>IF($M140="Motherlode",(($O140*SQRT($L140))^(1/2))^(1/3),"none")</f>
        <v>0.89104387480020986</v>
      </c>
      <c r="S140" s="152">
        <f>IF($P140="Branches",SQRT($L140)^(1/2),IF($P140="Vertical","default",$P140))</f>
        <v>0.70745247025640068</v>
      </c>
      <c r="T140" s="153">
        <f>IF($P140="Branches",SQRT(SQRT($L140))^(1/2),IF($P140="Vertical",SQRT($L140)^(1/2),"none"))</f>
        <v>0.8411019380886009</v>
      </c>
      <c r="U140" s="77">
        <f>$G140/VLOOKUP($F140,Ore_Density[],2,FALSE)/Vanilla_COG_Divisor</f>
        <v>0.32653061224489793</v>
      </c>
      <c r="V140" s="158">
        <f>SQRT($U140)</f>
        <v>0.5714285714285714</v>
      </c>
      <c r="W140" s="147">
        <f>SQRT(SQRT($U140))</f>
        <v>0.7559289460184544</v>
      </c>
      <c r="X140" s="70">
        <f>$Y140+$AB140</f>
        <v>17.5</v>
      </c>
      <c r="Y140" s="71">
        <f>($AC140-$AB140)/2</f>
        <v>12.5</v>
      </c>
      <c r="Z140" s="71">
        <f>$AA140+$AB140</f>
        <v>17.5</v>
      </c>
      <c r="AA140" s="72">
        <f>($AG140-$AB140)/2</f>
        <v>12.5</v>
      </c>
      <c r="AB140" s="128">
        <v>5</v>
      </c>
      <c r="AC140" s="128">
        <v>30</v>
      </c>
      <c r="AD140" s="128"/>
      <c r="AE140" s="71">
        <f>IF($AD140="No",0,IF($AJ140="overworld",IF($X140&lt;64,64+($X140*3),0),0))</f>
        <v>116.5</v>
      </c>
      <c r="AF140" s="71">
        <f>IF($AD140="No",0,IF($AJ140="Overworld",IF($X140&lt;64,($Y140*3),0),0))</f>
        <v>37.5</v>
      </c>
      <c r="AG140" s="32">
        <f>IF($AC140&gt;64,64+(($AC140-64)*2.9),$AC140)</f>
        <v>30</v>
      </c>
      <c r="AH140" s="41" t="s">
        <v>487</v>
      </c>
      <c r="AI140" s="42" t="s">
        <v>488</v>
      </c>
      <c r="AJ140" s="131" t="s">
        <v>53</v>
      </c>
      <c r="AK140" s="20" t="str">
        <f>IF($X140&gt;64,"uniform",IF($AJ140="Overworld","normal","uniform"))</f>
        <v>normal</v>
      </c>
      <c r="AL140" s="109" t="s">
        <v>489</v>
      </c>
      <c r="AM140" s="110" t="s">
        <v>64</v>
      </c>
      <c r="AN140" s="117"/>
      <c r="AO140" s="118" t="s">
        <v>56</v>
      </c>
      <c r="AP140" s="46"/>
    </row>
    <row r="141" spans="1:42" s="7" customFormat="1" ht="13.5">
      <c r="A141" s="31" t="s">
        <v>490</v>
      </c>
      <c r="B141" s="18"/>
      <c r="C141" s="105" t="s">
        <v>491</v>
      </c>
      <c r="D141" s="97" t="s">
        <v>59</v>
      </c>
      <c r="E141" s="98" t="s">
        <v>66</v>
      </c>
      <c r="F141" s="99" t="s">
        <v>61</v>
      </c>
      <c r="G141" s="37">
        <f>$H141*$I141/2</f>
        <v>15</v>
      </c>
      <c r="H141" s="123">
        <v>6</v>
      </c>
      <c r="I141" s="124">
        <v>5</v>
      </c>
      <c r="J141" s="146">
        <f>$H141/2</f>
        <v>3</v>
      </c>
      <c r="K141" s="147">
        <f>$I141/2</f>
        <v>2.5</v>
      </c>
      <c r="L141" s="77">
        <f>$G141/VLOOKUP($E141,Ore_Density[],2,FALSE)/Vanilla_COG_Divisor</f>
        <v>0.9393346379647749</v>
      </c>
      <c r="M141" s="82" t="str">
        <f>IF(OR($E141="Layered Veins",$E141="Small Deposits",$E141="Geode"),"Motherlode",IF(OR($E141="Pipe Veins",$E141="Sparse Veins",$E141="Vertical Veins"),"No","ERROR"))</f>
        <v>Motherlode</v>
      </c>
      <c r="N141" s="86">
        <v>1</v>
      </c>
      <c r="O141" s="86">
        <v>1</v>
      </c>
      <c r="P141" s="82" t="str">
        <f>IF(OR($E141="Layered Veins",$E141="Pipe Veins",$E141="Sparse Veins"),"Branches",IF($E141="Vertical Veins","Vertical","none"))</f>
        <v>Branches</v>
      </c>
      <c r="Q141" s="152">
        <f>SQRT($L141)*$N141</f>
        <v>0.96919277647162383</v>
      </c>
      <c r="R141" s="152">
        <f>IF($M141="Motherlode",(($O141*SQRT($L141))^(1/2))^(1/3),"none")</f>
        <v>0.99479828549127336</v>
      </c>
      <c r="S141" s="152">
        <f>IF($P141="Branches",SQRT($L141)^(1/2),IF($P141="Vertical","default",$P141))</f>
        <v>0.98447588922818408</v>
      </c>
      <c r="T141" s="153">
        <f>IF($P141="Branches",SQRT(SQRT($L141))^(1/2),IF($P141="Vertical",SQRT($L141)^(1/2),"none"))</f>
        <v>0.99220758373849571</v>
      </c>
      <c r="U141" s="77">
        <f>$G141/VLOOKUP($F141,Ore_Density[],2,FALSE)/Vanilla_COG_Divisor</f>
        <v>1.2244897959183674</v>
      </c>
      <c r="V141" s="158">
        <f>SQRT($U141)</f>
        <v>1.1065666703449764</v>
      </c>
      <c r="W141" s="147">
        <f>SQRT(SQRT($U141))</f>
        <v>1.0519347272264454</v>
      </c>
      <c r="X141" s="70">
        <f>$Y141+$AB141</f>
        <v>26</v>
      </c>
      <c r="Y141" s="71">
        <f>($AC141-$AB141)/2</f>
        <v>14</v>
      </c>
      <c r="Z141" s="71">
        <f>$AA141+$AB141</f>
        <v>26</v>
      </c>
      <c r="AA141" s="72">
        <f>($AG141-$AB141)/2</f>
        <v>14</v>
      </c>
      <c r="AB141" s="128">
        <v>12</v>
      </c>
      <c r="AC141" s="128">
        <v>40</v>
      </c>
      <c r="AD141" s="128"/>
      <c r="AE141" s="71">
        <f>IF($AD141="No",0,IF($AJ141="overworld",IF($X141&lt;64,64+($X141*3),0),0))</f>
        <v>142</v>
      </c>
      <c r="AF141" s="71">
        <f>IF($AD141="No",0,IF($AJ141="Overworld",IF($X141&lt;64,($Y141*3),0),0))</f>
        <v>42</v>
      </c>
      <c r="AG141" s="32">
        <f>IF($AC141&gt;64,64+(($AC141-64)*2.9),$AC141)</f>
        <v>40</v>
      </c>
      <c r="AH141" s="41" t="s">
        <v>492</v>
      </c>
      <c r="AI141" s="42"/>
      <c r="AJ141" s="131" t="s">
        <v>53</v>
      </c>
      <c r="AK141" s="20" t="str">
        <f>IF($X141&gt;64,"uniform",IF($AJ141="Overworld","normal","uniform"))</f>
        <v>normal</v>
      </c>
      <c r="AL141" s="109" t="s">
        <v>493</v>
      </c>
      <c r="AM141" s="110" t="s">
        <v>64</v>
      </c>
      <c r="AN141" s="117"/>
      <c r="AO141" s="118" t="s">
        <v>56</v>
      </c>
      <c r="AP141" s="46"/>
    </row>
    <row r="142" spans="1:42" s="7" customFormat="1" ht="13.5">
      <c r="A142" s="31" t="s">
        <v>494</v>
      </c>
      <c r="B142" s="18"/>
      <c r="C142" s="105" t="s">
        <v>541</v>
      </c>
      <c r="D142" s="97" t="s">
        <v>59</v>
      </c>
      <c r="E142" s="98" t="s">
        <v>66</v>
      </c>
      <c r="F142" s="99" t="s">
        <v>61</v>
      </c>
      <c r="G142" s="37">
        <f>$H142*$I142/2</f>
        <v>10</v>
      </c>
      <c r="H142" s="123">
        <v>4</v>
      </c>
      <c r="I142" s="124">
        <v>5</v>
      </c>
      <c r="J142" s="146">
        <f>$H142/2</f>
        <v>2</v>
      </c>
      <c r="K142" s="147">
        <f>$I142/2</f>
        <v>2.5</v>
      </c>
      <c r="L142" s="77">
        <f>$G142/VLOOKUP($E142,Ore_Density[],2,FALSE)/Vanilla_COG_Divisor</f>
        <v>0.6262230919765166</v>
      </c>
      <c r="M142" s="82" t="str">
        <f>IF(OR($E142="Layered Veins",$E142="Small Deposits",$E142="Geode"),"Motherlode",IF(OR($E142="Pipe Veins",$E142="Sparse Veins",$E142="Vertical Veins"),"No","ERROR"))</f>
        <v>Motherlode</v>
      </c>
      <c r="N142" s="86">
        <v>1</v>
      </c>
      <c r="O142" s="86">
        <v>1</v>
      </c>
      <c r="P142" s="82" t="str">
        <f>IF(OR($E142="Layered Veins",$E142="Pipe Veins",$E142="Sparse Veins"),"Branches",IF($E142="Vertical Veins","Vertical","none"))</f>
        <v>Branches</v>
      </c>
      <c r="Q142" s="152">
        <f>SQRT($L142)*$N142</f>
        <v>0.79134258824893067</v>
      </c>
      <c r="R142" s="152">
        <f>IF($M142="Motherlode",(($O142*SQRT($L142))^(1/2))^(1/3),"none")</f>
        <v>0.96174681451190136</v>
      </c>
      <c r="S142" s="152">
        <f>IF($P142="Branches",SQRT($L142)^(1/2),IF($P142="Vertical","default",$P142))</f>
        <v>0.88957438601217076</v>
      </c>
      <c r="T142" s="153">
        <f>IF($P142="Branches",SQRT(SQRT($L142))^(1/2),IF($P142="Vertical",SQRT($L142)^(1/2),"none"))</f>
        <v>0.94317251126831025</v>
      </c>
      <c r="U142" s="77">
        <f>$G142/VLOOKUP($F142,Ore_Density[],2,FALSE)/Vanilla_COG_Divisor</f>
        <v>0.81632653061224492</v>
      </c>
      <c r="V142" s="158">
        <f>SQRT($U142)</f>
        <v>0.90350790290525129</v>
      </c>
      <c r="W142" s="147">
        <f>SQRT(SQRT($U142))</f>
        <v>0.95053032718859176</v>
      </c>
      <c r="X142" s="70">
        <f>$Y142+$AB142</f>
        <v>64.5</v>
      </c>
      <c r="Y142" s="71">
        <f>($AC142-$AB142)/2</f>
        <v>63.5</v>
      </c>
      <c r="Z142" s="71">
        <f>$AA142+$AB142</f>
        <v>125.3</v>
      </c>
      <c r="AA142" s="72">
        <f>($AG142-$AB142)/2</f>
        <v>124.3</v>
      </c>
      <c r="AB142" s="128">
        <v>1</v>
      </c>
      <c r="AC142" s="128">
        <v>128</v>
      </c>
      <c r="AD142" s="128"/>
      <c r="AE142" s="71">
        <f>IF($AD142="No",0,IF($AJ142="overworld",IF($X142&lt;64,64+($X142*3),0),0))</f>
        <v>0</v>
      </c>
      <c r="AF142" s="71">
        <f>IF($AD142="No",0,IF($AJ142="Overworld",IF($X142&lt;64,($Y142*3),0),0))</f>
        <v>0</v>
      </c>
      <c r="AG142" s="32">
        <f>IF($AC142&gt;64,64+(($AC142-64)*2.9),$AC142)</f>
        <v>249.6</v>
      </c>
      <c r="AH142" s="41" t="s">
        <v>542</v>
      </c>
      <c r="AI142" s="42"/>
      <c r="AJ142" s="131" t="s">
        <v>96</v>
      </c>
      <c r="AK142" s="20" t="str">
        <f>IF($X142&gt;64,"uniform",IF($AJ142="Overworld","normal","uniform"))</f>
        <v>uniform</v>
      </c>
      <c r="AL142" s="109" t="s">
        <v>543</v>
      </c>
      <c r="AM142" s="110" t="s">
        <v>98</v>
      </c>
      <c r="AN142" s="117"/>
      <c r="AO142" s="118" t="s">
        <v>56</v>
      </c>
      <c r="AP142" s="46"/>
    </row>
    <row r="143" spans="1:42" s="7" customFormat="1" ht="13.5">
      <c r="A143" s="31" t="s">
        <v>494</v>
      </c>
      <c r="B143" s="18"/>
      <c r="C143" s="105" t="s">
        <v>151</v>
      </c>
      <c r="D143" s="97" t="s">
        <v>59</v>
      </c>
      <c r="E143" s="98" t="s">
        <v>60</v>
      </c>
      <c r="F143" s="99" t="s">
        <v>61</v>
      </c>
      <c r="G143" s="37">
        <f>$H143*$I143/2</f>
        <v>15</v>
      </c>
      <c r="H143" s="123">
        <v>6</v>
      </c>
      <c r="I143" s="124">
        <v>5</v>
      </c>
      <c r="J143" s="146">
        <f>$H143/2</f>
        <v>3</v>
      </c>
      <c r="K143" s="147">
        <f>$I143/2</f>
        <v>2.5</v>
      </c>
      <c r="L143" s="77">
        <f>$G143/VLOOKUP($E143,Ore_Density[],2,FALSE)/Vanilla_COG_Divisor</f>
        <v>5.6283322259527138</v>
      </c>
      <c r="M143" s="82" t="str">
        <f>IF(OR($E143="Layered Veins",$E143="Small Deposits",$E143="Geode"),"Motherlode",IF(OR($E143="Pipe Veins",$E143="Sparse Veins",$E143="Vertical Veins"),"No","ERROR"))</f>
        <v>No</v>
      </c>
      <c r="N143" s="86">
        <v>1</v>
      </c>
      <c r="O143" s="86">
        <v>1</v>
      </c>
      <c r="P143" s="82" t="str">
        <f>IF(OR($E143="Layered Veins",$E143="Pipe Veins",$E143="Sparse Veins"),"Branches",IF($E143="Vertical Veins","Vertical","none"))</f>
        <v>Branches</v>
      </c>
      <c r="Q143" s="152">
        <f>SQRT($L143)*$N143</f>
        <v>2.3724106360309367</v>
      </c>
      <c r="R143" s="152" t="str">
        <f>IF($M143="Motherlode",(($O143*SQRT($L143))^(1/2))^(1/3),"none")</f>
        <v>none</v>
      </c>
      <c r="S143" s="152">
        <f>IF($P143="Branches",SQRT($L143)^(1/2),IF($P143="Vertical","default",$P143))</f>
        <v>1.5402631710298524</v>
      </c>
      <c r="T143" s="153">
        <f>IF($P143="Branches",SQRT(SQRT($L143))^(1/2),IF($P143="Vertical",SQRT($L143)^(1/2),"none"))</f>
        <v>1.2410733946990615</v>
      </c>
      <c r="U143" s="77">
        <f>$G143/VLOOKUP($F143,Ore_Density[],2,FALSE)/Vanilla_COG_Divisor</f>
        <v>1.2244897959183674</v>
      </c>
      <c r="V143" s="158">
        <f>SQRT($U143)</f>
        <v>1.1065666703449764</v>
      </c>
      <c r="W143" s="147">
        <f>SQRT(SQRT($U143))</f>
        <v>1.0519347272264454</v>
      </c>
      <c r="X143" s="70">
        <f>$Y143+$AB143</f>
        <v>64.5</v>
      </c>
      <c r="Y143" s="71">
        <f>($AC143-$AB143)/2</f>
        <v>63.5</v>
      </c>
      <c r="Z143" s="71">
        <f>$AA143+$AB143</f>
        <v>125.3</v>
      </c>
      <c r="AA143" s="72">
        <f>($AG143-$AB143)/2</f>
        <v>124.3</v>
      </c>
      <c r="AB143" s="128">
        <v>1</v>
      </c>
      <c r="AC143" s="128">
        <v>128</v>
      </c>
      <c r="AD143" s="128"/>
      <c r="AE143" s="71">
        <f>IF($AD143="No",0,IF($AJ143="overworld",IF($X143&lt;64,64+($X143*3),0),0))</f>
        <v>0</v>
      </c>
      <c r="AF143" s="71">
        <f>IF($AD143="No",0,IF($AJ143="Overworld",IF($X143&lt;64,($Y143*3),0),0))</f>
        <v>0</v>
      </c>
      <c r="AG143" s="32">
        <f>IF($AC143&gt;64,64+(($AC143-64)*2.9),$AC143)</f>
        <v>249.6</v>
      </c>
      <c r="AH143" s="41" t="s">
        <v>549</v>
      </c>
      <c r="AI143" s="42"/>
      <c r="AJ143" s="131" t="s">
        <v>96</v>
      </c>
      <c r="AK143" s="20" t="str">
        <f>IF($X143&gt;64,"uniform",IF($AJ143="Overworld","normal","uniform"))</f>
        <v>uniform</v>
      </c>
      <c r="AL143" s="109" t="s">
        <v>550</v>
      </c>
      <c r="AM143" s="110" t="s">
        <v>98</v>
      </c>
      <c r="AN143" s="117"/>
      <c r="AO143" s="118" t="s">
        <v>56</v>
      </c>
      <c r="AP143" s="46"/>
    </row>
    <row r="144" spans="1:42" s="7" customFormat="1" ht="13.5">
      <c r="A144" s="31" t="s">
        <v>494</v>
      </c>
      <c r="B144" s="18"/>
      <c r="C144" s="105" t="s">
        <v>58</v>
      </c>
      <c r="D144" s="97" t="s">
        <v>59</v>
      </c>
      <c r="E144" s="98" t="s">
        <v>60</v>
      </c>
      <c r="F144" s="99" t="s">
        <v>61</v>
      </c>
      <c r="G144" s="37">
        <f>$H144*$I144/2</f>
        <v>64</v>
      </c>
      <c r="H144" s="123">
        <v>16</v>
      </c>
      <c r="I144" s="124">
        <v>8</v>
      </c>
      <c r="J144" s="146">
        <f>$H144/2</f>
        <v>8</v>
      </c>
      <c r="K144" s="147">
        <f>$I144/2</f>
        <v>4</v>
      </c>
      <c r="L144" s="77">
        <f>$G144/VLOOKUP($E144,Ore_Density[],2,FALSE)/Vanilla_COG_Divisor</f>
        <v>24.014217497398246</v>
      </c>
      <c r="M144" s="82" t="str">
        <f>IF(OR($E144="Layered Veins",$E144="Small Deposits",$E144="Geode"),"Motherlode",IF(OR($E144="Pipe Veins",$E144="Sparse Veins",$E144="Vertical Veins"),"No","ERROR"))</f>
        <v>No</v>
      </c>
      <c r="N144" s="86">
        <v>1</v>
      </c>
      <c r="O144" s="86">
        <v>1</v>
      </c>
      <c r="P144" s="82" t="str">
        <f>IF(OR($E144="Layered Veins",$E144="Pipe Veins",$E144="Sparse Veins"),"Branches",IF($E144="Vertical Veins","Vertical","none"))</f>
        <v>Branches</v>
      </c>
      <c r="Q144" s="152">
        <f>SQRT($L144)*$N144</f>
        <v>4.900430337980354</v>
      </c>
      <c r="R144" s="152" t="str">
        <f>IF($M144="Motherlode",(($O144*SQRT($L144))^(1/2))^(1/3),"none")</f>
        <v>none</v>
      </c>
      <c r="S144" s="152">
        <f>IF($P144="Branches",SQRT($L144)^(1/2),IF($P144="Vertical","default",$P144))</f>
        <v>2.2136915634253009</v>
      </c>
      <c r="T144" s="153">
        <f>IF($P144="Branches",SQRT(SQRT($L144))^(1/2),IF($P144="Vertical",SQRT($L144)^(1/2),"none"))</f>
        <v>1.4878479638139446</v>
      </c>
      <c r="U144" s="77">
        <f>$G144/VLOOKUP($F144,Ore_Density[],2,FALSE)/Vanilla_COG_Divisor</f>
        <v>5.2244897959183669</v>
      </c>
      <c r="V144" s="158">
        <f>SQRT($U144)</f>
        <v>2.2857142857142856</v>
      </c>
      <c r="W144" s="147">
        <f>SQRT(SQRT($U144))</f>
        <v>1.5118578920369088</v>
      </c>
      <c r="X144" s="70">
        <f>$Y144+$AB144</f>
        <v>64.5</v>
      </c>
      <c r="Y144" s="71">
        <f>($AC144-$AB144)/2</f>
        <v>63.5</v>
      </c>
      <c r="Z144" s="71">
        <f>$AA144+$AB144</f>
        <v>125.3</v>
      </c>
      <c r="AA144" s="72">
        <f>($AG144-$AB144)/2</f>
        <v>124.3</v>
      </c>
      <c r="AB144" s="128">
        <v>1</v>
      </c>
      <c r="AC144" s="128">
        <v>128</v>
      </c>
      <c r="AD144" s="128"/>
      <c r="AE144" s="71">
        <f>IF($AD144="No",0,IF($AJ144="overworld",IF($X144&lt;64,64+($X144*3),0),0))</f>
        <v>0</v>
      </c>
      <c r="AF144" s="71">
        <f>IF($AD144="No",0,IF($AJ144="Overworld",IF($X144&lt;64,($Y144*3),0),0))</f>
        <v>0</v>
      </c>
      <c r="AG144" s="32">
        <f>IF($AC144&gt;64,64+(($AC144-64)*2.9),$AC144)</f>
        <v>249.6</v>
      </c>
      <c r="AH144" s="41" t="s">
        <v>495</v>
      </c>
      <c r="AI144" s="42"/>
      <c r="AJ144" s="131" t="s">
        <v>96</v>
      </c>
      <c r="AK144" s="20" t="str">
        <f>IF($X144&gt;64,"uniform",IF($AJ144="Overworld","normal","uniform"))</f>
        <v>uniform</v>
      </c>
      <c r="AL144" s="109" t="s">
        <v>496</v>
      </c>
      <c r="AM144" s="110" t="s">
        <v>98</v>
      </c>
      <c r="AN144" s="117"/>
      <c r="AO144" s="118" t="s">
        <v>56</v>
      </c>
      <c r="AP144" s="46"/>
    </row>
    <row r="145" spans="1:42" s="7" customFormat="1" ht="13.5">
      <c r="A145" s="31" t="s">
        <v>494</v>
      </c>
      <c r="B145" s="18"/>
      <c r="C145" s="105" t="s">
        <v>176</v>
      </c>
      <c r="D145" s="97" t="s">
        <v>59</v>
      </c>
      <c r="E145" s="98" t="s">
        <v>66</v>
      </c>
      <c r="F145" s="99" t="s">
        <v>61</v>
      </c>
      <c r="G145" s="37">
        <f>$H145*$I145/2</f>
        <v>32</v>
      </c>
      <c r="H145" s="123">
        <v>8</v>
      </c>
      <c r="I145" s="124">
        <v>8</v>
      </c>
      <c r="J145" s="146">
        <f>$H145/2</f>
        <v>4</v>
      </c>
      <c r="K145" s="147">
        <f>$I145/2</f>
        <v>4</v>
      </c>
      <c r="L145" s="77">
        <f>$G145/VLOOKUP($E145,Ore_Density[],2,FALSE)/Vanilla_COG_Divisor</f>
        <v>2.0039138943248531</v>
      </c>
      <c r="M145" s="82" t="str">
        <f>IF(OR($E145="Layered Veins",$E145="Small Deposits",$E145="Geode"),"Motherlode",IF(OR($E145="Pipe Veins",$E145="Sparse Veins",$E145="Vertical Veins"),"No","ERROR"))</f>
        <v>Motherlode</v>
      </c>
      <c r="N145" s="86">
        <v>1</v>
      </c>
      <c r="O145" s="86">
        <v>1</v>
      </c>
      <c r="P145" s="82" t="str">
        <f>IF(OR($E145="Layered Veins",$E145="Pipe Veins",$E145="Sparse Veins"),"Branches",IF($E145="Vertical Veins","Vertical","none"))</f>
        <v>Branches</v>
      </c>
      <c r="Q145" s="152">
        <f>SQRT($L145)*$N145</f>
        <v>1.4155966566521883</v>
      </c>
      <c r="R145" s="152">
        <f>IF($M145="Motherlode",(($O145*SQRT($L145))^(1/2))^(1/3),"none")</f>
        <v>1.0596357156920035</v>
      </c>
      <c r="S145" s="152">
        <f>IF($P145="Branches",SQRT($L145)^(1/2),IF($P145="Vertical","default",$P145))</f>
        <v>1.189788492401985</v>
      </c>
      <c r="T145" s="153">
        <f>IF($P145="Branches",SQRT(SQRT($L145))^(1/2),IF($P145="Vertical",SQRT($L145)^(1/2),"none"))</f>
        <v>1.0907742628069224</v>
      </c>
      <c r="U145" s="77">
        <f>$G145/VLOOKUP($F145,Ore_Density[],2,FALSE)/Vanilla_COG_Divisor</f>
        <v>2.6122448979591835</v>
      </c>
      <c r="V145" s="158">
        <f>SQRT($U145)</f>
        <v>1.6162440712835371</v>
      </c>
      <c r="W145" s="147">
        <f>SQRT(SQRT($U145))</f>
        <v>1.2713158817868739</v>
      </c>
      <c r="X145" s="70">
        <f>$Y145+$AB145</f>
        <v>64.5</v>
      </c>
      <c r="Y145" s="71">
        <f>($AC145-$AB145)/2</f>
        <v>63.5</v>
      </c>
      <c r="Z145" s="71">
        <f>$AA145+$AB145</f>
        <v>125.3</v>
      </c>
      <c r="AA145" s="72">
        <f>($AG145-$AB145)/2</f>
        <v>124.3</v>
      </c>
      <c r="AB145" s="128">
        <v>1</v>
      </c>
      <c r="AC145" s="128">
        <v>128</v>
      </c>
      <c r="AD145" s="128"/>
      <c r="AE145" s="71">
        <f>IF($AD145="No",0,IF($AJ145="overworld",IF($X145&lt;64,64+($X145*3),0),0))</f>
        <v>0</v>
      </c>
      <c r="AF145" s="71">
        <f>IF($AD145="No",0,IF($AJ145="Overworld",IF($X145&lt;64,($Y145*3),0),0))</f>
        <v>0</v>
      </c>
      <c r="AG145" s="32">
        <f>IF($AC145&gt;64,64+(($AC145-64)*2.9),$AC145)</f>
        <v>249.6</v>
      </c>
      <c r="AH145" s="41" t="s">
        <v>177</v>
      </c>
      <c r="AI145" s="42"/>
      <c r="AJ145" s="131" t="s">
        <v>96</v>
      </c>
      <c r="AK145" s="20" t="str">
        <f>IF($X145&gt;64,"uniform",IF($AJ145="Overworld","normal","uniform"))</f>
        <v>uniform</v>
      </c>
      <c r="AL145" s="109" t="s">
        <v>503</v>
      </c>
      <c r="AM145" s="110" t="s">
        <v>98</v>
      </c>
      <c r="AN145" s="117"/>
      <c r="AO145" s="118" t="s">
        <v>56</v>
      </c>
      <c r="AP145" s="46"/>
    </row>
    <row r="146" spans="1:42" s="7" customFormat="1" ht="13.5">
      <c r="A146" s="31" t="s">
        <v>494</v>
      </c>
      <c r="B146" s="18"/>
      <c r="C146" s="105" t="s">
        <v>78</v>
      </c>
      <c r="D146" s="97" t="s">
        <v>59</v>
      </c>
      <c r="E146" s="98" t="s">
        <v>79</v>
      </c>
      <c r="F146" s="99" t="s">
        <v>61</v>
      </c>
      <c r="G146" s="37">
        <f>$H146*$I146/2</f>
        <v>6</v>
      </c>
      <c r="H146" s="123">
        <v>3</v>
      </c>
      <c r="I146" s="124">
        <v>4</v>
      </c>
      <c r="J146" s="146">
        <f>$H146/2</f>
        <v>1.5</v>
      </c>
      <c r="K146" s="147">
        <f>$I146/2</f>
        <v>2</v>
      </c>
      <c r="L146" s="77">
        <f>$G146/VLOOKUP($E146,Ore_Density[],2,FALSE)/Vanilla_COG_Divisor</f>
        <v>0.87463414053901267</v>
      </c>
      <c r="M146" s="82" t="str">
        <f>IF(OR($E146="Layered Veins",$E146="Small Deposits",$E146="Geode"),"Motherlode",IF(OR($E146="Pipe Veins",$E146="Sparse Veins",$E146="Vertical Veins"),"No","ERROR"))</f>
        <v>No</v>
      </c>
      <c r="N146" s="86">
        <v>1</v>
      </c>
      <c r="O146" s="86">
        <v>1</v>
      </c>
      <c r="P146" s="82" t="str">
        <f>IF(OR($E146="Layered Veins",$E146="Pipe Veins",$E146="Sparse Veins"),"Branches",IF($E146="Vertical Veins","Vertical","none"))</f>
        <v>Branches</v>
      </c>
      <c r="Q146" s="152">
        <f>SQRT($L146)*$N146</f>
        <v>0.93521876613924548</v>
      </c>
      <c r="R146" s="152" t="str">
        <f>IF($M146="Motherlode",(($O146*SQRT($L146))^(1/2))^(1/3),"none")</f>
        <v>none</v>
      </c>
      <c r="S146" s="152">
        <f>IF($P146="Branches",SQRT($L146)^(1/2),IF($P146="Vertical","default",$P146))</f>
        <v>0.96706709495217835</v>
      </c>
      <c r="T146" s="153">
        <f>IF($P146="Branches",SQRT(SQRT($L146))^(1/2),IF($P146="Vertical",SQRT($L146)^(1/2),"none"))</f>
        <v>0.98339569602077193</v>
      </c>
      <c r="U146" s="77">
        <f>$G146/VLOOKUP($F146,Ore_Density[],2,FALSE)/Vanilla_COG_Divisor</f>
        <v>0.48979591836734693</v>
      </c>
      <c r="V146" s="158">
        <f>SQRT($U146)</f>
        <v>0.6998542122237652</v>
      </c>
      <c r="W146" s="147">
        <f>SQRT(SQRT($U146))</f>
        <v>0.83657289713674399</v>
      </c>
      <c r="X146" s="70">
        <f>$Y146+$AB146</f>
        <v>64.5</v>
      </c>
      <c r="Y146" s="71">
        <f>($AC146-$AB146)/2</f>
        <v>63.5</v>
      </c>
      <c r="Z146" s="71">
        <f>$AA146+$AB146</f>
        <v>125.3</v>
      </c>
      <c r="AA146" s="72">
        <f>($AG146-$AB146)/2</f>
        <v>124.3</v>
      </c>
      <c r="AB146" s="128">
        <v>1</v>
      </c>
      <c r="AC146" s="128">
        <v>128</v>
      </c>
      <c r="AD146" s="128"/>
      <c r="AE146" s="71">
        <f>IF($AD146="No",0,IF($AJ146="overworld",IF($X146&lt;64,64+($X146*3),0),0))</f>
        <v>0</v>
      </c>
      <c r="AF146" s="71">
        <f>IF($AD146="No",0,IF($AJ146="Overworld",IF($X146&lt;64,($Y146*3),0),0))</f>
        <v>0</v>
      </c>
      <c r="AG146" s="32">
        <f>IF($AC146&gt;64,64+(($AC146-64)*2.9),$AC146)</f>
        <v>249.6</v>
      </c>
      <c r="AH146" s="41" t="s">
        <v>80</v>
      </c>
      <c r="AI146" s="42" t="s">
        <v>497</v>
      </c>
      <c r="AJ146" s="131" t="s">
        <v>96</v>
      </c>
      <c r="AK146" s="20" t="str">
        <f>IF($X146&gt;64,"uniform",IF($AJ146="Overworld","normal","uniform"))</f>
        <v>uniform</v>
      </c>
      <c r="AL146" s="109" t="s">
        <v>498</v>
      </c>
      <c r="AM146" s="110" t="s">
        <v>98</v>
      </c>
      <c r="AN146" s="117"/>
      <c r="AO146" s="118" t="s">
        <v>56</v>
      </c>
      <c r="AP146" s="46"/>
    </row>
    <row r="147" spans="1:42" s="7" customFormat="1" ht="13.5">
      <c r="A147" s="31" t="s">
        <v>494</v>
      </c>
      <c r="B147" s="18"/>
      <c r="C147" s="105" t="s">
        <v>88</v>
      </c>
      <c r="D147" s="97" t="s">
        <v>59</v>
      </c>
      <c r="E147" s="98" t="s">
        <v>79</v>
      </c>
      <c r="F147" s="99" t="s">
        <v>61</v>
      </c>
      <c r="G147" s="37">
        <f>$H147*$I147/2</f>
        <v>3</v>
      </c>
      <c r="H147" s="123">
        <v>2</v>
      </c>
      <c r="I147" s="124">
        <v>3</v>
      </c>
      <c r="J147" s="146">
        <f>$H147/2</f>
        <v>1</v>
      </c>
      <c r="K147" s="147">
        <f>$I147/2</f>
        <v>1.5</v>
      </c>
      <c r="L147" s="77">
        <f>$G147/VLOOKUP($E147,Ore_Density[],2,FALSE)/Vanilla_COG_Divisor</f>
        <v>0.43731707026950634</v>
      </c>
      <c r="M147" s="82" t="str">
        <f>IF(OR($E147="Layered Veins",$E147="Small Deposits",$E147="Geode"),"Motherlode",IF(OR($E147="Pipe Veins",$E147="Sparse Veins",$E147="Vertical Veins"),"No","ERROR"))</f>
        <v>No</v>
      </c>
      <c r="N147" s="86">
        <v>1</v>
      </c>
      <c r="O147" s="86">
        <v>1</v>
      </c>
      <c r="P147" s="82" t="str">
        <f>IF(OR($E147="Layered Veins",$E147="Pipe Veins",$E147="Sparse Veins"),"Branches",IF($E147="Vertical Veins","Vertical","none"))</f>
        <v>Branches</v>
      </c>
      <c r="Q147" s="152">
        <f>SQRT($L147)*$N147</f>
        <v>0.66129953142997644</v>
      </c>
      <c r="R147" s="152" t="str">
        <f>IF($M147="Motherlode",(($O147*SQRT($L147))^(1/2))^(1/3),"none")</f>
        <v>none</v>
      </c>
      <c r="S147" s="152">
        <f>IF($P147="Branches",SQRT($L147)^(1/2),IF($P147="Vertical","default",$P147))</f>
        <v>0.81320325345511035</v>
      </c>
      <c r="T147" s="153">
        <f>IF($P147="Branches",SQRT(SQRT($L147))^(1/2),IF($P147="Vertical",SQRT($L147)^(1/2),"none"))</f>
        <v>0.90177782932111961</v>
      </c>
      <c r="U147" s="77">
        <f>$G147/VLOOKUP($F147,Ore_Density[],2,FALSE)/Vanilla_COG_Divisor</f>
        <v>0.24489795918367346</v>
      </c>
      <c r="V147" s="158">
        <f>SQRT($U147)</f>
        <v>0.49487165930539351</v>
      </c>
      <c r="W147" s="147">
        <f>SQRT(SQRT($U147))</f>
        <v>0.70347115030070251</v>
      </c>
      <c r="X147" s="70">
        <f>$Y147+$AB147</f>
        <v>64.5</v>
      </c>
      <c r="Y147" s="71">
        <f>($AC147-$AB147)/2</f>
        <v>63.5</v>
      </c>
      <c r="Z147" s="71">
        <f>$AA147+$AB147</f>
        <v>125.3</v>
      </c>
      <c r="AA147" s="72">
        <f>($AG147-$AB147)/2</f>
        <v>124.3</v>
      </c>
      <c r="AB147" s="128">
        <v>1</v>
      </c>
      <c r="AC147" s="128">
        <v>128</v>
      </c>
      <c r="AD147" s="128"/>
      <c r="AE147" s="71">
        <f>IF($AD147="No",0,IF($AJ147="overworld",IF($X147&lt;64,64+($X147*3),0),0))</f>
        <v>0</v>
      </c>
      <c r="AF147" s="71">
        <f>IF($AD147="No",0,IF($AJ147="Overworld",IF($X147&lt;64,($Y147*3),0),0))</f>
        <v>0</v>
      </c>
      <c r="AG147" s="32">
        <f>IF($AC147&gt;64,64+(($AC147-64)*2.9),$AC147)</f>
        <v>249.6</v>
      </c>
      <c r="AH147" s="41" t="s">
        <v>89</v>
      </c>
      <c r="AI147" s="42" t="s">
        <v>505</v>
      </c>
      <c r="AJ147" s="131" t="s">
        <v>96</v>
      </c>
      <c r="AK147" s="20" t="str">
        <f>IF($X147&gt;64,"uniform",IF($AJ147="Overworld","normal","uniform"))</f>
        <v>uniform</v>
      </c>
      <c r="AL147" s="109" t="s">
        <v>506</v>
      </c>
      <c r="AM147" s="110" t="s">
        <v>98</v>
      </c>
      <c r="AN147" s="117"/>
      <c r="AO147" s="118" t="s">
        <v>56</v>
      </c>
      <c r="AP147" s="46"/>
    </row>
    <row r="148" spans="1:42" s="7" customFormat="1" ht="13.5">
      <c r="A148" s="31" t="s">
        <v>494</v>
      </c>
      <c r="B148" s="18"/>
      <c r="C148" s="105" t="s">
        <v>69</v>
      </c>
      <c r="D148" s="97" t="s">
        <v>59</v>
      </c>
      <c r="E148" s="98" t="s">
        <v>66</v>
      </c>
      <c r="F148" s="99" t="s">
        <v>61</v>
      </c>
      <c r="G148" s="37">
        <f>$H148*$I148/2</f>
        <v>24</v>
      </c>
      <c r="H148" s="123">
        <v>6</v>
      </c>
      <c r="I148" s="124">
        <v>8</v>
      </c>
      <c r="J148" s="146">
        <f>$H148/2</f>
        <v>3</v>
      </c>
      <c r="K148" s="147">
        <f>$I148/2</f>
        <v>4</v>
      </c>
      <c r="L148" s="77">
        <f>$G148/VLOOKUP($E148,Ore_Density[],2,FALSE)/Vanilla_COG_Divisor</f>
        <v>1.5029354207436398</v>
      </c>
      <c r="M148" s="82" t="str">
        <f>IF(OR($E148="Layered Veins",$E148="Small Deposits",$E148="Geode"),"Motherlode",IF(OR($E148="Pipe Veins",$E148="Sparse Veins",$E148="Vertical Veins"),"No","ERROR"))</f>
        <v>Motherlode</v>
      </c>
      <c r="N148" s="86">
        <v>1</v>
      </c>
      <c r="O148" s="86">
        <v>1</v>
      </c>
      <c r="P148" s="82" t="str">
        <f>IF(OR($E148="Layered Veins",$E148="Pipe Veins",$E148="Sparse Veins"),"Branches",IF($E148="Vertical Veins","Vertical","none"))</f>
        <v>Branches</v>
      </c>
      <c r="Q148" s="152">
        <f>SQRT($L148)*$N148</f>
        <v>1.2259426661731125</v>
      </c>
      <c r="R148" s="152">
        <f>IF($M148="Motherlode",(($O148*SQRT($L148))^(1/2))^(1/3),"none")</f>
        <v>1.0345346153372657</v>
      </c>
      <c r="S148" s="152">
        <f>IF($P148="Branches",SQRT($L148)^(1/2),IF($P148="Vertical","default",$P148))</f>
        <v>1.1072229523330486</v>
      </c>
      <c r="T148" s="153">
        <f>IF($P148="Branches",SQRT(SQRT($L148))^(1/2),IF($P148="Vertical",SQRT($L148)^(1/2),"none"))</f>
        <v>1.0522466214405484</v>
      </c>
      <c r="U148" s="77">
        <f>$G148/VLOOKUP($F148,Ore_Density[],2,FALSE)/Vanilla_COG_Divisor</f>
        <v>1.9591836734693877</v>
      </c>
      <c r="V148" s="158">
        <f>SQRT($U148)</f>
        <v>1.3997084244475304</v>
      </c>
      <c r="W148" s="147">
        <f>SQRT(SQRT($U148))</f>
        <v>1.1830927370445354</v>
      </c>
      <c r="X148" s="70">
        <f>$Y148+$AB148</f>
        <v>64.5</v>
      </c>
      <c r="Y148" s="71">
        <f>($AC148-$AB148)/2</f>
        <v>63.5</v>
      </c>
      <c r="Z148" s="71">
        <f>$AA148+$AB148</f>
        <v>125.3</v>
      </c>
      <c r="AA148" s="72">
        <f>($AG148-$AB148)/2</f>
        <v>124.3</v>
      </c>
      <c r="AB148" s="128">
        <v>1</v>
      </c>
      <c r="AC148" s="128">
        <v>128</v>
      </c>
      <c r="AD148" s="128"/>
      <c r="AE148" s="71">
        <f>IF($AD148="No",0,IF($AJ148="overworld",IF($X148&lt;64,64+($X148*3),0),0))</f>
        <v>0</v>
      </c>
      <c r="AF148" s="71">
        <f>IF($AD148="No",0,IF($AJ148="Overworld",IF($X148&lt;64,($Y148*3),0),0))</f>
        <v>0</v>
      </c>
      <c r="AG148" s="32">
        <f>IF($AC148&gt;64,64+(($AC148-64)*2.9),$AC148)</f>
        <v>249.6</v>
      </c>
      <c r="AH148" s="41" t="s">
        <v>70</v>
      </c>
      <c r="AI148" s="42"/>
      <c r="AJ148" s="131" t="s">
        <v>96</v>
      </c>
      <c r="AK148" s="20" t="str">
        <f>IF($X148&gt;64,"uniform",IF($AJ148="Overworld","normal","uniform"))</f>
        <v>uniform</v>
      </c>
      <c r="AL148" s="109" t="s">
        <v>499</v>
      </c>
      <c r="AM148" s="110" t="s">
        <v>98</v>
      </c>
      <c r="AN148" s="117"/>
      <c r="AO148" s="118" t="s">
        <v>56</v>
      </c>
      <c r="AP148" s="46"/>
    </row>
    <row r="149" spans="1:42" s="7" customFormat="1" ht="13.5">
      <c r="A149" s="31" t="s">
        <v>494</v>
      </c>
      <c r="B149" s="18"/>
      <c r="C149" s="105" t="s">
        <v>529</v>
      </c>
      <c r="D149" s="97" t="s">
        <v>59</v>
      </c>
      <c r="E149" s="98" t="s">
        <v>50</v>
      </c>
      <c r="F149" s="99" t="s">
        <v>61</v>
      </c>
      <c r="G149" s="37">
        <f>$H149*$I149/2</f>
        <v>1</v>
      </c>
      <c r="H149" s="123">
        <v>2</v>
      </c>
      <c r="I149" s="124">
        <v>1</v>
      </c>
      <c r="J149" s="146">
        <f>$H149/2</f>
        <v>1</v>
      </c>
      <c r="K149" s="147">
        <f>$I149/2</f>
        <v>0.5</v>
      </c>
      <c r="L149" s="77">
        <f>$G149/VLOOKUP($E149,Ore_Density[],2,FALSE)/Vanilla_COG_Divisor</f>
        <v>9.7981579463060936E-2</v>
      </c>
      <c r="M149" s="82" t="str">
        <f>IF(OR($E149="Layered Veins",$E149="Small Deposits",$E149="Geode"),"Motherlode",IF(OR($E149="Pipe Veins",$E149="Sparse Veins",$E149="Vertical Veins"),"No","ERROR"))</f>
        <v>Motherlode</v>
      </c>
      <c r="N149" s="86">
        <v>1</v>
      </c>
      <c r="O149" s="86">
        <v>1</v>
      </c>
      <c r="P149" s="82" t="str">
        <f>IF(OR($E149="Layered Veins",$E149="Pipe Veins",$E149="Sparse Veins"),"Branches",IF($E149="Vertical Veins","Vertical","none"))</f>
        <v>none</v>
      </c>
      <c r="Q149" s="152">
        <f>SQRT($L149)*$N149</f>
        <v>0.31302009434389499</v>
      </c>
      <c r="R149" s="152">
        <f>IF($M149="Motherlode",(($O149*SQRT($L149))^(1/2))^(1/3),"none")</f>
        <v>0.82400282949933212</v>
      </c>
      <c r="S149" s="152" t="str">
        <f>IF($P149="Branches",SQRT($L149)^(1/2),IF($P149="Vertical","default",$P149))</f>
        <v>none</v>
      </c>
      <c r="T149" s="153" t="str">
        <f>IF($P149="Branches",SQRT(SQRT($L149))^(1/2),IF($P149="Vertical",SQRT($L149)^(1/2),"none"))</f>
        <v>none</v>
      </c>
      <c r="U149" s="77">
        <f>$G149/VLOOKUP($F149,Ore_Density[],2,FALSE)/Vanilla_COG_Divisor</f>
        <v>8.1632653061224483E-2</v>
      </c>
      <c r="V149" s="158">
        <f>SQRT($U149)</f>
        <v>0.2857142857142857</v>
      </c>
      <c r="W149" s="147">
        <f>SQRT(SQRT($U149))</f>
        <v>0.53452248382484879</v>
      </c>
      <c r="X149" s="70">
        <f>$Y149+$AB149</f>
        <v>64.5</v>
      </c>
      <c r="Y149" s="71">
        <f>($AC149-$AB149)/2</f>
        <v>63.5</v>
      </c>
      <c r="Z149" s="71">
        <f>$AA149+$AB149</f>
        <v>125.3</v>
      </c>
      <c r="AA149" s="72">
        <f>($AG149-$AB149)/2</f>
        <v>124.3</v>
      </c>
      <c r="AB149" s="128">
        <v>1</v>
      </c>
      <c r="AC149" s="128">
        <v>128</v>
      </c>
      <c r="AD149" s="128"/>
      <c r="AE149" s="71">
        <f>IF($AD149="No",0,IF($AJ149="overworld",IF($X149&lt;64,64+($X149*3),0),0))</f>
        <v>0</v>
      </c>
      <c r="AF149" s="71">
        <f>IF($AD149="No",0,IF($AJ149="Overworld",IF($X149&lt;64,($Y149*3),0),0))</f>
        <v>0</v>
      </c>
      <c r="AG149" s="32">
        <f>IF($AC149&gt;64,64+(($AC149-64)*2.9),$AC149)</f>
        <v>249.6</v>
      </c>
      <c r="AH149" s="41" t="s">
        <v>170</v>
      </c>
      <c r="AI149" s="42"/>
      <c r="AJ149" s="131" t="s">
        <v>96</v>
      </c>
      <c r="AK149" s="20" t="str">
        <f>IF($X149&gt;64,"uniform",IF($AJ149="Overworld","normal","uniform"))</f>
        <v>uniform</v>
      </c>
      <c r="AL149" s="109" t="s">
        <v>530</v>
      </c>
      <c r="AM149" s="110" t="s">
        <v>98</v>
      </c>
      <c r="AN149" s="117"/>
      <c r="AO149" s="118" t="s">
        <v>56</v>
      </c>
      <c r="AP149" s="46"/>
    </row>
    <row r="150" spans="1:42" s="7" customFormat="1" ht="13.5">
      <c r="A150" s="31" t="s">
        <v>494</v>
      </c>
      <c r="B150" s="18"/>
      <c r="C150" s="105" t="s">
        <v>65</v>
      </c>
      <c r="D150" s="97" t="s">
        <v>59</v>
      </c>
      <c r="E150" s="98" t="s">
        <v>66</v>
      </c>
      <c r="F150" s="99" t="s">
        <v>61</v>
      </c>
      <c r="G150" s="37">
        <f>$H150*$I150/2</f>
        <v>32</v>
      </c>
      <c r="H150" s="123">
        <v>8</v>
      </c>
      <c r="I150" s="124">
        <v>8</v>
      </c>
      <c r="J150" s="146">
        <f>$H150/2</f>
        <v>4</v>
      </c>
      <c r="K150" s="147">
        <f>$I150/2</f>
        <v>4</v>
      </c>
      <c r="L150" s="77">
        <f>$G150/VLOOKUP($E150,Ore_Density[],2,FALSE)/Vanilla_COG_Divisor</f>
        <v>2.0039138943248531</v>
      </c>
      <c r="M150" s="82" t="str">
        <f>IF(OR($E150="Layered Veins",$E150="Small Deposits",$E150="Geode"),"Motherlode",IF(OR($E150="Pipe Veins",$E150="Sparse Veins",$E150="Vertical Veins"),"No","ERROR"))</f>
        <v>Motherlode</v>
      </c>
      <c r="N150" s="86">
        <v>1</v>
      </c>
      <c r="O150" s="86">
        <v>1</v>
      </c>
      <c r="P150" s="82" t="str">
        <f>IF(OR($E150="Layered Veins",$E150="Pipe Veins",$E150="Sparse Veins"),"Branches",IF($E150="Vertical Veins","Vertical","none"))</f>
        <v>Branches</v>
      </c>
      <c r="Q150" s="152">
        <f>SQRT($L150)*$N150</f>
        <v>1.4155966566521883</v>
      </c>
      <c r="R150" s="152">
        <f>IF($M150="Motherlode",(($O150*SQRT($L150))^(1/2))^(1/3),"none")</f>
        <v>1.0596357156920035</v>
      </c>
      <c r="S150" s="152">
        <f>IF($P150="Branches",SQRT($L150)^(1/2),IF($P150="Vertical","default",$P150))</f>
        <v>1.189788492401985</v>
      </c>
      <c r="T150" s="153">
        <f>IF($P150="Branches",SQRT(SQRT($L150))^(1/2),IF($P150="Vertical",SQRT($L150)^(1/2),"none"))</f>
        <v>1.0907742628069224</v>
      </c>
      <c r="U150" s="77">
        <f>$G150/VLOOKUP($F150,Ore_Density[],2,FALSE)/Vanilla_COG_Divisor</f>
        <v>2.6122448979591835</v>
      </c>
      <c r="V150" s="158">
        <f>SQRT($U150)</f>
        <v>1.6162440712835371</v>
      </c>
      <c r="W150" s="147">
        <f>SQRT(SQRT($U150))</f>
        <v>1.2713158817868739</v>
      </c>
      <c r="X150" s="70">
        <f>$Y150+$AB150</f>
        <v>64.5</v>
      </c>
      <c r="Y150" s="71">
        <f>($AC150-$AB150)/2</f>
        <v>63.5</v>
      </c>
      <c r="Z150" s="71">
        <f>$AA150+$AB150</f>
        <v>125.3</v>
      </c>
      <c r="AA150" s="72">
        <f>($AG150-$AB150)/2</f>
        <v>124.3</v>
      </c>
      <c r="AB150" s="128">
        <v>1</v>
      </c>
      <c r="AC150" s="128">
        <v>128</v>
      </c>
      <c r="AD150" s="128"/>
      <c r="AE150" s="71">
        <f>IF($AD150="No",0,IF($AJ150="overworld",IF($X150&lt;64,64+($X150*3),0),0))</f>
        <v>0</v>
      </c>
      <c r="AF150" s="71">
        <f>IF($AD150="No",0,IF($AJ150="Overworld",IF($X150&lt;64,($Y150*3),0),0))</f>
        <v>0</v>
      </c>
      <c r="AG150" s="32">
        <f>IF($AC150&gt;64,64+(($AC150-64)*2.9),$AC150)</f>
        <v>249.6</v>
      </c>
      <c r="AH150" s="41" t="s">
        <v>67</v>
      </c>
      <c r="AI150" s="42"/>
      <c r="AJ150" s="131" t="s">
        <v>96</v>
      </c>
      <c r="AK150" s="20" t="str">
        <f>IF($X150&gt;64,"uniform",IF($AJ150="Overworld","normal","uniform"))</f>
        <v>uniform</v>
      </c>
      <c r="AL150" s="109" t="s">
        <v>500</v>
      </c>
      <c r="AM150" s="110" t="s">
        <v>98</v>
      </c>
      <c r="AN150" s="117"/>
      <c r="AO150" s="118" t="s">
        <v>56</v>
      </c>
      <c r="AP150" s="46"/>
    </row>
    <row r="151" spans="1:42" s="7" customFormat="1" ht="13.5">
      <c r="A151" s="31" t="s">
        <v>494</v>
      </c>
      <c r="B151" s="18"/>
      <c r="C151" s="105" t="s">
        <v>85</v>
      </c>
      <c r="D151" s="97" t="s">
        <v>59</v>
      </c>
      <c r="E151" s="98" t="s">
        <v>73</v>
      </c>
      <c r="F151" s="99" t="s">
        <v>61</v>
      </c>
      <c r="G151" s="37">
        <f>$H151*$I151/2</f>
        <v>18</v>
      </c>
      <c r="H151" s="123">
        <v>6</v>
      </c>
      <c r="I151" s="124">
        <v>6</v>
      </c>
      <c r="J151" s="146">
        <f>$H151/2</f>
        <v>3</v>
      </c>
      <c r="K151" s="147">
        <f>$I151/2</f>
        <v>3</v>
      </c>
      <c r="L151" s="77">
        <f>$G151/VLOOKUP($E151,Ore_Density[],2,FALSE)/Vanilla_COG_Divisor</f>
        <v>3.7202380952380949</v>
      </c>
      <c r="M151" s="82" t="str">
        <f>IF(OR($E151="Layered Veins",$E151="Small Deposits",$E151="Geode"),"Motherlode",IF(OR($E151="Pipe Veins",$E151="Sparse Veins",$E151="Vertical Veins"),"No","ERROR"))</f>
        <v>No</v>
      </c>
      <c r="N151" s="86">
        <v>1</v>
      </c>
      <c r="O151" s="86">
        <v>1</v>
      </c>
      <c r="P151" s="82" t="str">
        <f>IF(OR($E151="Layered Veins",$E151="Pipe Veins",$E151="Sparse Veins"),"Branches",IF($E151="Vertical Veins","Vertical","none"))</f>
        <v>Vertical</v>
      </c>
      <c r="Q151" s="152">
        <f>SQRT($L151)*$N151</f>
        <v>1.9287918745261488</v>
      </c>
      <c r="R151" s="152" t="str">
        <f>IF($M151="Motherlode",(($O151*SQRT($L151))^(1/2))^(1/3),"none")</f>
        <v>none</v>
      </c>
      <c r="S151" s="152" t="str">
        <f>IF($P151="Branches",SQRT($L151)^(1/2),IF($P151="Vertical","default",$P151))</f>
        <v>default</v>
      </c>
      <c r="T151" s="153">
        <f>IF($P151="Branches",SQRT(SQRT($L151))^(1/2),IF($P151="Vertical",SQRT($L151)^(1/2),"none"))</f>
        <v>1.3888095170058956</v>
      </c>
      <c r="U151" s="77">
        <f>$G151/VLOOKUP($F151,Ore_Density[],2,FALSE)/Vanilla_COG_Divisor</f>
        <v>1.4693877551020409</v>
      </c>
      <c r="V151" s="158">
        <f>SQRT($U151)</f>
        <v>1.212183053462653</v>
      </c>
      <c r="W151" s="147">
        <f>SQRT(SQRT($U151))</f>
        <v>1.1009918498620472</v>
      </c>
      <c r="X151" s="70">
        <f>$Y151+$AB151</f>
        <v>64.5</v>
      </c>
      <c r="Y151" s="71">
        <f>($AC151-$AB151)/2</f>
        <v>63.5</v>
      </c>
      <c r="Z151" s="71">
        <f>$AA151+$AB151</f>
        <v>125.3</v>
      </c>
      <c r="AA151" s="72">
        <f>($AG151-$AB151)/2</f>
        <v>124.3</v>
      </c>
      <c r="AB151" s="128">
        <v>1</v>
      </c>
      <c r="AC151" s="128">
        <v>128</v>
      </c>
      <c r="AD151" s="128"/>
      <c r="AE151" s="71">
        <f>IF($AD151="No",0,IF($AJ151="overworld",IF($X151&lt;64,64+($X151*3),0),0))</f>
        <v>0</v>
      </c>
      <c r="AF151" s="71">
        <f>IF($AD151="No",0,IF($AJ151="Overworld",IF($X151&lt;64,($Y151*3),0),0))</f>
        <v>0</v>
      </c>
      <c r="AG151" s="32">
        <f>IF($AC151&gt;64,64+(($AC151-64)*2.9),$AC151)</f>
        <v>249.6</v>
      </c>
      <c r="AH151" s="41" t="s">
        <v>86</v>
      </c>
      <c r="AI151" s="42"/>
      <c r="AJ151" s="131" t="s">
        <v>96</v>
      </c>
      <c r="AK151" s="20" t="str">
        <f>IF($X151&gt;64,"uniform",IF($AJ151="Overworld","normal","uniform"))</f>
        <v>uniform</v>
      </c>
      <c r="AL151" s="109" t="s">
        <v>501</v>
      </c>
      <c r="AM151" s="110" t="s">
        <v>98</v>
      </c>
      <c r="AN151" s="117" t="s">
        <v>76</v>
      </c>
      <c r="AO151" s="118" t="s">
        <v>77</v>
      </c>
      <c r="AP151" s="46"/>
    </row>
    <row r="152" spans="1:42" s="7" customFormat="1" ht="13.5">
      <c r="A152" s="31" t="s">
        <v>494</v>
      </c>
      <c r="B152" s="18"/>
      <c r="C152" s="105" t="s">
        <v>188</v>
      </c>
      <c r="D152" s="97" t="s">
        <v>59</v>
      </c>
      <c r="E152" s="98" t="s">
        <v>66</v>
      </c>
      <c r="F152" s="99" t="s">
        <v>61</v>
      </c>
      <c r="G152" s="37">
        <f>$H152*$I152/2</f>
        <v>18</v>
      </c>
      <c r="H152" s="123">
        <v>6</v>
      </c>
      <c r="I152" s="124">
        <v>6</v>
      </c>
      <c r="J152" s="146">
        <f>$H152/2</f>
        <v>3</v>
      </c>
      <c r="K152" s="147">
        <f>$I152/2</f>
        <v>3</v>
      </c>
      <c r="L152" s="77">
        <f>$G152/VLOOKUP($E152,Ore_Density[],2,FALSE)/Vanilla_COG_Divisor</f>
        <v>1.1272015655577299</v>
      </c>
      <c r="M152" s="82" t="str">
        <f>IF(OR($E152="Layered Veins",$E152="Small Deposits",$E152="Geode"),"Motherlode",IF(OR($E152="Pipe Veins",$E152="Sparse Veins",$E152="Vertical Veins"),"No","ERROR"))</f>
        <v>Motherlode</v>
      </c>
      <c r="N152" s="86">
        <v>1</v>
      </c>
      <c r="O152" s="86">
        <v>1</v>
      </c>
      <c r="P152" s="82" t="str">
        <f>IF(OR($E152="Layered Veins",$E152="Pipe Veins",$E152="Sparse Veins"),"Branches",IF($E152="Vertical Veins","Vertical","none"))</f>
        <v>Branches</v>
      </c>
      <c r="Q152" s="152">
        <f>SQRT($L152)*$N152</f>
        <v>1.0616974924891411</v>
      </c>
      <c r="R152" s="152">
        <f>IF($M152="Motherlode",(($O152*SQRT($L152))^(1/2))^(1/3),"none")</f>
        <v>1.0100281204961852</v>
      </c>
      <c r="S152" s="152">
        <f>IF($P152="Branches",SQRT($L152)^(1/2),IF($P152="Vertical","default",$P152))</f>
        <v>1.0303870595505076</v>
      </c>
      <c r="T152" s="153">
        <f>IF($P152="Branches",SQRT(SQRT($L152))^(1/2),IF($P152="Vertical",SQRT($L152)^(1/2),"none"))</f>
        <v>1.0150798291516325</v>
      </c>
      <c r="U152" s="77">
        <f>$G152/VLOOKUP($F152,Ore_Density[],2,FALSE)/Vanilla_COG_Divisor</f>
        <v>1.4693877551020409</v>
      </c>
      <c r="V152" s="158">
        <f>SQRT($U152)</f>
        <v>1.212183053462653</v>
      </c>
      <c r="W152" s="147">
        <f>SQRT(SQRT($U152))</f>
        <v>1.1009918498620472</v>
      </c>
      <c r="X152" s="70">
        <f>$Y152+$AB152</f>
        <v>64.5</v>
      </c>
      <c r="Y152" s="71">
        <f>($AC152-$AB152)/2</f>
        <v>63.5</v>
      </c>
      <c r="Z152" s="71">
        <f>$AA152+$AB152</f>
        <v>125.3</v>
      </c>
      <c r="AA152" s="72">
        <f>($AG152-$AB152)/2</f>
        <v>124.3</v>
      </c>
      <c r="AB152" s="128">
        <v>1</v>
      </c>
      <c r="AC152" s="128">
        <v>128</v>
      </c>
      <c r="AD152" s="128"/>
      <c r="AE152" s="71">
        <f>IF($AD152="No",0,IF($AJ152="overworld",IF($X152&lt;64,64+($X152*3),0),0))</f>
        <v>0</v>
      </c>
      <c r="AF152" s="71">
        <f>IF($AD152="No",0,IF($AJ152="Overworld",IF($X152&lt;64,($Y152*3),0),0))</f>
        <v>0</v>
      </c>
      <c r="AG152" s="32">
        <f>IF($AC152&gt;64,64+(($AC152-64)*2.9),$AC152)</f>
        <v>249.6</v>
      </c>
      <c r="AH152" s="41" t="s">
        <v>189</v>
      </c>
      <c r="AI152" s="42"/>
      <c r="AJ152" s="131" t="s">
        <v>96</v>
      </c>
      <c r="AK152" s="20" t="str">
        <f>IF($X152&gt;64,"uniform",IF($AJ152="Overworld","normal","uniform"))</f>
        <v>uniform</v>
      </c>
      <c r="AL152" s="109" t="s">
        <v>508</v>
      </c>
      <c r="AM152" s="110" t="s">
        <v>98</v>
      </c>
      <c r="AN152" s="117"/>
      <c r="AO152" s="118" t="s">
        <v>56</v>
      </c>
      <c r="AP152" s="46"/>
    </row>
    <row r="153" spans="1:42" s="7" customFormat="1" ht="13.5">
      <c r="A153" s="31" t="s">
        <v>494</v>
      </c>
      <c r="B153" s="18"/>
      <c r="C153" s="105" t="s">
        <v>387</v>
      </c>
      <c r="D153" s="97" t="s">
        <v>59</v>
      </c>
      <c r="E153" s="98" t="s">
        <v>60</v>
      </c>
      <c r="F153" s="99" t="s">
        <v>61</v>
      </c>
      <c r="G153" s="37">
        <f>$H153*$I153/2</f>
        <v>10</v>
      </c>
      <c r="H153" s="123">
        <v>5</v>
      </c>
      <c r="I153" s="124">
        <v>4</v>
      </c>
      <c r="J153" s="146">
        <f>$H153/2</f>
        <v>2.5</v>
      </c>
      <c r="K153" s="147">
        <f>$I153/2</f>
        <v>2</v>
      </c>
      <c r="L153" s="77">
        <f>$G153/VLOOKUP($E153,Ore_Density[],2,FALSE)/Vanilla_COG_Divisor</f>
        <v>3.752221483968476</v>
      </c>
      <c r="M153" s="82" t="str">
        <f>IF(OR($E153="Layered Veins",$E153="Small Deposits",$E153="Geode"),"Motherlode",IF(OR($E153="Pipe Veins",$E153="Sparse Veins",$E153="Vertical Veins"),"No","ERROR"))</f>
        <v>No</v>
      </c>
      <c r="N153" s="86">
        <v>1</v>
      </c>
      <c r="O153" s="86">
        <v>1</v>
      </c>
      <c r="P153" s="82" t="str">
        <f>IF(OR($E153="Layered Veins",$E153="Pipe Veins",$E153="Sparse Veins"),"Branches",IF($E153="Vertical Veins","Vertical","none"))</f>
        <v>Branches</v>
      </c>
      <c r="Q153" s="152">
        <f>SQRT($L153)*$N153</f>
        <v>1.9370651728758317</v>
      </c>
      <c r="R153" s="152" t="str">
        <f>IF($M153="Motherlode",(($O153*SQRT($L153))^(1/2))^(1/3),"none")</f>
        <v>none</v>
      </c>
      <c r="S153" s="152">
        <f>IF($P153="Branches",SQRT($L153)^(1/2),IF($P153="Vertical","default",$P153))</f>
        <v>1.3917848874290277</v>
      </c>
      <c r="T153" s="153">
        <f>IF($P153="Branches",SQRT(SQRT($L153))^(1/2),IF($P153="Vertical",SQRT($L153)^(1/2),"none"))</f>
        <v>1.179739330288275</v>
      </c>
      <c r="U153" s="77">
        <f>$G153/VLOOKUP($F153,Ore_Density[],2,FALSE)/Vanilla_COG_Divisor</f>
        <v>0.81632653061224492</v>
      </c>
      <c r="V153" s="158">
        <f>SQRT($U153)</f>
        <v>0.90350790290525129</v>
      </c>
      <c r="W153" s="147">
        <f>SQRT(SQRT($U153))</f>
        <v>0.95053032718859176</v>
      </c>
      <c r="X153" s="70">
        <f>$Y153+$AB153</f>
        <v>64.5</v>
      </c>
      <c r="Y153" s="71">
        <f>($AC153-$AB153)/2</f>
        <v>63.5</v>
      </c>
      <c r="Z153" s="71">
        <f>$AA153+$AB153</f>
        <v>125.3</v>
      </c>
      <c r="AA153" s="72">
        <f>($AG153-$AB153)/2</f>
        <v>124.3</v>
      </c>
      <c r="AB153" s="128">
        <v>1</v>
      </c>
      <c r="AC153" s="128">
        <v>128</v>
      </c>
      <c r="AD153" s="128"/>
      <c r="AE153" s="71">
        <f>IF($AD153="No",0,IF($AJ153="overworld",IF($X153&lt;64,64+($X153*3),0),0))</f>
        <v>0</v>
      </c>
      <c r="AF153" s="71">
        <f>IF($AD153="No",0,IF($AJ153="Overworld",IF($X153&lt;64,($Y153*3),0),0))</f>
        <v>0</v>
      </c>
      <c r="AG153" s="32">
        <f>IF($AC153&gt;64,64+(($AC153-64)*2.9),$AC153)</f>
        <v>249.6</v>
      </c>
      <c r="AH153" s="41" t="s">
        <v>558</v>
      </c>
      <c r="AI153" s="42"/>
      <c r="AJ153" s="131" t="s">
        <v>96</v>
      </c>
      <c r="AK153" s="20" t="str">
        <f>IF($X153&gt;64,"uniform",IF($AJ153="Overworld","normal","uniform"))</f>
        <v>uniform</v>
      </c>
      <c r="AL153" s="109" t="s">
        <v>559</v>
      </c>
      <c r="AM153" s="110" t="s">
        <v>98</v>
      </c>
      <c r="AN153" s="117"/>
      <c r="AO153" s="118" t="s">
        <v>56</v>
      </c>
      <c r="AP153" s="46"/>
    </row>
    <row r="154" spans="1:42" s="7" customFormat="1" ht="13.5">
      <c r="A154" s="31" t="s">
        <v>494</v>
      </c>
      <c r="B154" s="18"/>
      <c r="C154" s="105" t="s">
        <v>426</v>
      </c>
      <c r="D154" s="97" t="s">
        <v>59</v>
      </c>
      <c r="E154" s="98" t="s">
        <v>66</v>
      </c>
      <c r="F154" s="99" t="s">
        <v>61</v>
      </c>
      <c r="G154" s="37">
        <f>$H154*$I154/2</f>
        <v>18</v>
      </c>
      <c r="H154" s="123">
        <v>6</v>
      </c>
      <c r="I154" s="124">
        <v>6</v>
      </c>
      <c r="J154" s="146">
        <f>$H154/2</f>
        <v>3</v>
      </c>
      <c r="K154" s="147">
        <f>$I154/2</f>
        <v>3</v>
      </c>
      <c r="L154" s="77">
        <f>$G154/VLOOKUP($E154,Ore_Density[],2,FALSE)/Vanilla_COG_Divisor</f>
        <v>1.1272015655577299</v>
      </c>
      <c r="M154" s="82" t="str">
        <f>IF(OR($E154="Layered Veins",$E154="Small Deposits",$E154="Geode"),"Motherlode",IF(OR($E154="Pipe Veins",$E154="Sparse Veins",$E154="Vertical Veins"),"No","ERROR"))</f>
        <v>Motherlode</v>
      </c>
      <c r="N154" s="86">
        <v>1</v>
      </c>
      <c r="O154" s="86">
        <v>1</v>
      </c>
      <c r="P154" s="82" t="str">
        <f>IF(OR($E154="Layered Veins",$E154="Pipe Veins",$E154="Sparse Veins"),"Branches",IF($E154="Vertical Veins","Vertical","none"))</f>
        <v>Branches</v>
      </c>
      <c r="Q154" s="152">
        <f>SQRT($L154)*$N154</f>
        <v>1.0616974924891411</v>
      </c>
      <c r="R154" s="152">
        <f>IF($M154="Motherlode",(($O154*SQRT($L154))^(1/2))^(1/3),"none")</f>
        <v>1.0100281204961852</v>
      </c>
      <c r="S154" s="152">
        <f>IF($P154="Branches",SQRT($L154)^(1/2),IF($P154="Vertical","default",$P154))</f>
        <v>1.0303870595505076</v>
      </c>
      <c r="T154" s="153">
        <f>IF($P154="Branches",SQRT(SQRT($L154))^(1/2),IF($P154="Vertical",SQRT($L154)^(1/2),"none"))</f>
        <v>1.0150798291516325</v>
      </c>
      <c r="U154" s="77">
        <f>$G154/VLOOKUP($F154,Ore_Density[],2,FALSE)/Vanilla_COG_Divisor</f>
        <v>1.4693877551020409</v>
      </c>
      <c r="V154" s="158">
        <f>SQRT($U154)</f>
        <v>1.212183053462653</v>
      </c>
      <c r="W154" s="147">
        <f>SQRT(SQRT($U154))</f>
        <v>1.1009918498620472</v>
      </c>
      <c r="X154" s="70">
        <f>$Y154+$AB154</f>
        <v>64.5</v>
      </c>
      <c r="Y154" s="71">
        <f>($AC154-$AB154)/2</f>
        <v>63.5</v>
      </c>
      <c r="Z154" s="71">
        <f>$AA154+$AB154</f>
        <v>125.3</v>
      </c>
      <c r="AA154" s="72">
        <f>($AG154-$AB154)/2</f>
        <v>124.3</v>
      </c>
      <c r="AB154" s="128">
        <v>1</v>
      </c>
      <c r="AC154" s="128">
        <v>128</v>
      </c>
      <c r="AD154" s="128"/>
      <c r="AE154" s="71">
        <f>IF($AD154="No",0,IF($AJ154="overworld",IF($X154&lt;64,64+($X154*3),0),0))</f>
        <v>0</v>
      </c>
      <c r="AF154" s="71">
        <f>IF($AD154="No",0,IF($AJ154="Overworld",IF($X154&lt;64,($Y154*3),0),0))</f>
        <v>0</v>
      </c>
      <c r="AG154" s="32">
        <f>IF($AC154&gt;64,64+(($AC154-64)*2.9),$AC154)</f>
        <v>249.6</v>
      </c>
      <c r="AH154" s="41" t="s">
        <v>539</v>
      </c>
      <c r="AI154" s="42"/>
      <c r="AJ154" s="131" t="s">
        <v>96</v>
      </c>
      <c r="AK154" s="20" t="str">
        <f>IF($X154&gt;64,"uniform",IF($AJ154="Overworld","normal","uniform"))</f>
        <v>uniform</v>
      </c>
      <c r="AL154" s="109" t="s">
        <v>540</v>
      </c>
      <c r="AM154" s="110" t="s">
        <v>98</v>
      </c>
      <c r="AN154" s="117"/>
      <c r="AO154" s="118" t="s">
        <v>56</v>
      </c>
      <c r="AP154" s="46"/>
    </row>
    <row r="155" spans="1:42" s="7" customFormat="1" ht="13.5">
      <c r="A155" s="31" t="s">
        <v>494</v>
      </c>
      <c r="B155" s="18"/>
      <c r="C155" s="105" t="s">
        <v>191</v>
      </c>
      <c r="D155" s="97" t="s">
        <v>59</v>
      </c>
      <c r="E155" s="98" t="s">
        <v>66</v>
      </c>
      <c r="F155" s="99" t="s">
        <v>61</v>
      </c>
      <c r="G155" s="37">
        <f>$H155*$I155/2</f>
        <v>12</v>
      </c>
      <c r="H155" s="123">
        <v>6</v>
      </c>
      <c r="I155" s="124">
        <v>4</v>
      </c>
      <c r="J155" s="146">
        <f>$H155/2</f>
        <v>3</v>
      </c>
      <c r="K155" s="147">
        <f>$I155/2</f>
        <v>2</v>
      </c>
      <c r="L155" s="77">
        <f>$G155/VLOOKUP($E155,Ore_Density[],2,FALSE)/Vanilla_COG_Divisor</f>
        <v>0.75146771037181992</v>
      </c>
      <c r="M155" s="82" t="str">
        <f>IF(OR($E155="Layered Veins",$E155="Small Deposits",$E155="Geode"),"Motherlode",IF(OR($E155="Pipe Veins",$E155="Sparse Veins",$E155="Vertical Veins"),"No","ERROR"))</f>
        <v>Motherlode</v>
      </c>
      <c r="N155" s="86">
        <v>1</v>
      </c>
      <c r="O155" s="86">
        <v>1</v>
      </c>
      <c r="P155" s="82" t="str">
        <f>IF(OR($E155="Layered Veins",$E155="Pipe Veins",$E155="Sparse Veins"),"Branches",IF($E155="Vertical Veins","Vertical","none"))</f>
        <v>Branches</v>
      </c>
      <c r="Q155" s="152">
        <f>SQRT($L155)*$N155</f>
        <v>0.86687237259692385</v>
      </c>
      <c r="R155" s="152">
        <f>IF($M155="Motherlode",(($O155*SQRT($L155))^(1/2))^(1/3),"none")</f>
        <v>0.97647064899688185</v>
      </c>
      <c r="S155" s="152">
        <f>IF($P155="Branches",SQRT($L155)^(1/2),IF($P155="Vertical","default",$P155))</f>
        <v>0.93105981150349515</v>
      </c>
      <c r="T155" s="153">
        <f>IF($P155="Branches",SQRT(SQRT($L155))^(1/2),IF($P155="Vertical",SQRT($L155)^(1/2),"none"))</f>
        <v>0.96491440630943792</v>
      </c>
      <c r="U155" s="77">
        <f>$G155/VLOOKUP($F155,Ore_Density[],2,FALSE)/Vanilla_COG_Divisor</f>
        <v>0.97959183673469385</v>
      </c>
      <c r="V155" s="158">
        <f>SQRT($U155)</f>
        <v>0.98974331861078702</v>
      </c>
      <c r="W155" s="147">
        <f>SQRT(SQRT($U155))</f>
        <v>0.99485844149345537</v>
      </c>
      <c r="X155" s="70">
        <f>$Y155+$AB155</f>
        <v>64.5</v>
      </c>
      <c r="Y155" s="71">
        <f>($AC155-$AB155)/2</f>
        <v>63.5</v>
      </c>
      <c r="Z155" s="71">
        <f>$AA155+$AB155</f>
        <v>125.3</v>
      </c>
      <c r="AA155" s="72">
        <f>($AG155-$AB155)/2</f>
        <v>124.3</v>
      </c>
      <c r="AB155" s="128">
        <v>1</v>
      </c>
      <c r="AC155" s="128">
        <v>128</v>
      </c>
      <c r="AD155" s="128"/>
      <c r="AE155" s="71">
        <f>IF($AD155="No",0,IF($AJ155="overworld",IF($X155&lt;64,64+($X155*3),0),0))</f>
        <v>0</v>
      </c>
      <c r="AF155" s="71">
        <f>IF($AD155="No",0,IF($AJ155="Overworld",IF($X155&lt;64,($Y155*3),0),0))</f>
        <v>0</v>
      </c>
      <c r="AG155" s="32">
        <f>IF($AC155&gt;64,64+(($AC155-64)*2.9),$AC155)</f>
        <v>249.6</v>
      </c>
      <c r="AH155" s="41" t="s">
        <v>524</v>
      </c>
      <c r="AI155" s="42"/>
      <c r="AJ155" s="131" t="s">
        <v>96</v>
      </c>
      <c r="AK155" s="20" t="str">
        <f>IF($X155&gt;64,"uniform",IF($AJ155="Overworld","normal","uniform"))</f>
        <v>uniform</v>
      </c>
      <c r="AL155" s="109" t="s">
        <v>525</v>
      </c>
      <c r="AM155" s="110" t="s">
        <v>98</v>
      </c>
      <c r="AN155" s="117"/>
      <c r="AO155" s="118" t="s">
        <v>56</v>
      </c>
      <c r="AP155" s="46"/>
    </row>
    <row r="156" spans="1:42" s="7" customFormat="1" ht="13.5">
      <c r="A156" s="31" t="s">
        <v>494</v>
      </c>
      <c r="B156" s="18"/>
      <c r="C156" s="105" t="s">
        <v>510</v>
      </c>
      <c r="D156" s="97" t="s">
        <v>59</v>
      </c>
      <c r="E156" s="98" t="s">
        <v>73</v>
      </c>
      <c r="F156" s="99" t="s">
        <v>61</v>
      </c>
      <c r="G156" s="37">
        <f>$H156*$I156/2</f>
        <v>16</v>
      </c>
      <c r="H156" s="123">
        <v>4</v>
      </c>
      <c r="I156" s="124">
        <v>8</v>
      </c>
      <c r="J156" s="146">
        <f>$H156/2</f>
        <v>2</v>
      </c>
      <c r="K156" s="147">
        <f>$I156/2</f>
        <v>4</v>
      </c>
      <c r="L156" s="77">
        <f>$G156/VLOOKUP($E156,Ore_Density[],2,FALSE)/Vanilla_COG_Divisor</f>
        <v>3.3068783068783065</v>
      </c>
      <c r="M156" s="82" t="str">
        <f>IF(OR($E156="Layered Veins",$E156="Small Deposits",$E156="Geode"),"Motherlode",IF(OR($E156="Pipe Veins",$E156="Sparse Veins",$E156="Vertical Veins"),"No","ERROR"))</f>
        <v>No</v>
      </c>
      <c r="N156" s="86">
        <v>1</v>
      </c>
      <c r="O156" s="86">
        <v>1</v>
      </c>
      <c r="P156" s="82" t="str">
        <f>IF(OR($E156="Layered Veins",$E156="Pipe Veins",$E156="Sparse Veins"),"Branches",IF($E156="Vertical Veins","Vertical","none"))</f>
        <v>Vertical</v>
      </c>
      <c r="Q156" s="152">
        <f>SQRT($L156)*$N156</f>
        <v>1.8184824186332698</v>
      </c>
      <c r="R156" s="152" t="str">
        <f>IF($M156="Motherlode",(($O156*SQRT($L156))^(1/2))^(1/3),"none")</f>
        <v>none</v>
      </c>
      <c r="S156" s="152" t="str">
        <f>IF($P156="Branches",SQRT($L156)^(1/2),IF($P156="Vertical","default",$P156))</f>
        <v>default</v>
      </c>
      <c r="T156" s="153">
        <f>IF($P156="Branches",SQRT(SQRT($L156))^(1/2),IF($P156="Vertical",SQRT($L156)^(1/2),"none"))</f>
        <v>1.3485111859503687</v>
      </c>
      <c r="U156" s="77">
        <f>$G156/VLOOKUP($F156,Ore_Density[],2,FALSE)/Vanilla_COG_Divisor</f>
        <v>1.3061224489795917</v>
      </c>
      <c r="V156" s="158">
        <f>SQRT($U156)</f>
        <v>1.1428571428571428</v>
      </c>
      <c r="W156" s="147">
        <f>SQRT(SQRT($U156))</f>
        <v>1.0690449676496976</v>
      </c>
      <c r="X156" s="70">
        <f>$Y156+$AB156</f>
        <v>64.5</v>
      </c>
      <c r="Y156" s="71">
        <f>($AC156-$AB156)/2</f>
        <v>63.5</v>
      </c>
      <c r="Z156" s="71">
        <f>$AA156+$AB156</f>
        <v>125.3</v>
      </c>
      <c r="AA156" s="72">
        <f>($AG156-$AB156)/2</f>
        <v>124.3</v>
      </c>
      <c r="AB156" s="128">
        <v>1</v>
      </c>
      <c r="AC156" s="128">
        <v>128</v>
      </c>
      <c r="AD156" s="128"/>
      <c r="AE156" s="71">
        <f>IF($AD156="No",0,IF($AJ156="overworld",IF($X156&lt;64,64+($X156*3),0),0))</f>
        <v>0</v>
      </c>
      <c r="AF156" s="71">
        <f>IF($AD156="No",0,IF($AJ156="Overworld",IF($X156&lt;64,($Y156*3),0),0))</f>
        <v>0</v>
      </c>
      <c r="AG156" s="32">
        <f>IF($AC156&gt;64,64+(($AC156-64)*2.9),$AC156)</f>
        <v>249.6</v>
      </c>
      <c r="AH156" s="41" t="s">
        <v>511</v>
      </c>
      <c r="AI156" s="42"/>
      <c r="AJ156" s="131" t="s">
        <v>96</v>
      </c>
      <c r="AK156" s="20" t="str">
        <f>IF($X156&gt;64,"uniform",IF($AJ156="Overworld","normal","uniform"))</f>
        <v>uniform</v>
      </c>
      <c r="AL156" s="109" t="s">
        <v>512</v>
      </c>
      <c r="AM156" s="110" t="s">
        <v>98</v>
      </c>
      <c r="AN156" s="117" t="s">
        <v>76</v>
      </c>
      <c r="AO156" s="118" t="s">
        <v>77</v>
      </c>
      <c r="AP156" s="46"/>
    </row>
    <row r="157" spans="1:42" s="7" customFormat="1" ht="13.5">
      <c r="A157" s="31" t="s">
        <v>494</v>
      </c>
      <c r="B157" s="18"/>
      <c r="C157" s="105" t="s">
        <v>372</v>
      </c>
      <c r="D157" s="97" t="s">
        <v>59</v>
      </c>
      <c r="E157" s="98" t="s">
        <v>66</v>
      </c>
      <c r="F157" s="99" t="s">
        <v>61</v>
      </c>
      <c r="G157" s="37">
        <f>$H157*$I157/2</f>
        <v>28</v>
      </c>
      <c r="H157" s="123">
        <v>7</v>
      </c>
      <c r="I157" s="124">
        <v>8</v>
      </c>
      <c r="J157" s="146">
        <f>$H157/2</f>
        <v>3.5</v>
      </c>
      <c r="K157" s="147">
        <f>$I157/2</f>
        <v>4</v>
      </c>
      <c r="L157" s="77">
        <f>$G157/VLOOKUP($E157,Ore_Density[],2,FALSE)/Vanilla_COG_Divisor</f>
        <v>1.7534246575342465</v>
      </c>
      <c r="M157" s="82" t="str">
        <f>IF(OR($E157="Layered Veins",$E157="Small Deposits",$E157="Geode"),"Motherlode",IF(OR($E157="Pipe Veins",$E157="Sparse Veins",$E157="Vertical Veins"),"No","ERROR"))</f>
        <v>Motherlode</v>
      </c>
      <c r="N157" s="86">
        <v>1</v>
      </c>
      <c r="O157" s="86">
        <v>1</v>
      </c>
      <c r="P157" s="82" t="str">
        <f>IF(OR($E157="Layered Veins",$E157="Pipe Veins",$E157="Sparse Veins"),"Branches",IF($E157="Vertical Veins","Vertical","none"))</f>
        <v>Branches</v>
      </c>
      <c r="Q157" s="152">
        <f>SQRT($L157)*$N157</f>
        <v>1.3241694217637887</v>
      </c>
      <c r="R157" s="152">
        <f>IF($M157="Motherlode",(($O157*SQRT($L157))^(1/2))^(1/3),"none")</f>
        <v>1.0479098577103139</v>
      </c>
      <c r="S157" s="152">
        <f>IF($P157="Branches",SQRT($L157)^(1/2),IF($P157="Vertical","default",$P157))</f>
        <v>1.1507256066342613</v>
      </c>
      <c r="T157" s="153">
        <f>IF($P157="Branches",SQRT(SQRT($L157))^(1/2),IF($P157="Vertical",SQRT($L157)^(1/2),"none"))</f>
        <v>1.0727187919647261</v>
      </c>
      <c r="U157" s="77">
        <f>$G157/VLOOKUP($F157,Ore_Density[],2,FALSE)/Vanilla_COG_Divisor</f>
        <v>2.2857142857142856</v>
      </c>
      <c r="V157" s="158">
        <f>SQRT($U157)</f>
        <v>1.5118578920369088</v>
      </c>
      <c r="W157" s="147">
        <f>SQRT(SQRT($U157))</f>
        <v>1.2295763059025286</v>
      </c>
      <c r="X157" s="70">
        <f>$Y157+$AB157</f>
        <v>64.5</v>
      </c>
      <c r="Y157" s="71">
        <f>($AC157-$AB157)/2</f>
        <v>63.5</v>
      </c>
      <c r="Z157" s="71">
        <f>$AA157+$AB157</f>
        <v>125.3</v>
      </c>
      <c r="AA157" s="72">
        <f>($AG157-$AB157)/2</f>
        <v>124.3</v>
      </c>
      <c r="AB157" s="128">
        <v>1</v>
      </c>
      <c r="AC157" s="128">
        <v>128</v>
      </c>
      <c r="AD157" s="128"/>
      <c r="AE157" s="71">
        <f>IF($AD157="No",0,IF($AJ157="overworld",IF($X157&lt;64,64+($X157*3),0),0))</f>
        <v>0</v>
      </c>
      <c r="AF157" s="71">
        <f>IF($AD157="No",0,IF($AJ157="Overworld",IF($X157&lt;64,($Y157*3),0),0))</f>
        <v>0</v>
      </c>
      <c r="AG157" s="32">
        <f>IF($AC157&gt;64,64+(($AC157-64)*2.9),$AC157)</f>
        <v>249.6</v>
      </c>
      <c r="AH157" s="41" t="s">
        <v>531</v>
      </c>
      <c r="AI157" s="42"/>
      <c r="AJ157" s="131" t="s">
        <v>96</v>
      </c>
      <c r="AK157" s="20" t="str">
        <f>IF($X157&gt;64,"uniform",IF($AJ157="Overworld","normal","uniform"))</f>
        <v>uniform</v>
      </c>
      <c r="AL157" s="109" t="s">
        <v>532</v>
      </c>
      <c r="AM157" s="110" t="s">
        <v>98</v>
      </c>
      <c r="AN157" s="117"/>
      <c r="AO157" s="118" t="s">
        <v>56</v>
      </c>
      <c r="AP157" s="46"/>
    </row>
    <row r="158" spans="1:42" s="7" customFormat="1" ht="13.5">
      <c r="A158" s="31" t="s">
        <v>494</v>
      </c>
      <c r="B158" s="18"/>
      <c r="C158" s="105" t="s">
        <v>127</v>
      </c>
      <c r="D158" s="97" t="s">
        <v>59</v>
      </c>
      <c r="E158" s="98" t="s">
        <v>79</v>
      </c>
      <c r="F158" s="99" t="s">
        <v>61</v>
      </c>
      <c r="G158" s="37">
        <f>$H158*$I158/2</f>
        <v>9</v>
      </c>
      <c r="H158" s="123">
        <v>3</v>
      </c>
      <c r="I158" s="124">
        <v>6</v>
      </c>
      <c r="J158" s="146">
        <f>$H158/2</f>
        <v>1.5</v>
      </c>
      <c r="K158" s="147">
        <f>$I158/2</f>
        <v>3</v>
      </c>
      <c r="L158" s="77">
        <f>$G158/VLOOKUP($E158,Ore_Density[],2,FALSE)/Vanilla_COG_Divisor</f>
        <v>1.311951210808519</v>
      </c>
      <c r="M158" s="82" t="str">
        <f>IF(OR($E158="Layered Veins",$E158="Small Deposits",$E158="Geode"),"Motherlode",IF(OR($E158="Pipe Veins",$E158="Sparse Veins",$E158="Vertical Veins"),"No","ERROR"))</f>
        <v>No</v>
      </c>
      <c r="N158" s="86">
        <v>1</v>
      </c>
      <c r="O158" s="86">
        <v>1</v>
      </c>
      <c r="P158" s="82" t="str">
        <f>IF(OR($E158="Layered Veins",$E158="Pipe Veins",$E158="Sparse Veins"),"Branches",IF($E158="Vertical Veins","Vertical","none"))</f>
        <v>Branches</v>
      </c>
      <c r="Q158" s="152">
        <f>SQRT($L158)*$N158</f>
        <v>1.1454043874582107</v>
      </c>
      <c r="R158" s="152" t="str">
        <f>IF($M158="Motherlode",(($O158*SQRT($L158))^(1/2))^(1/3),"none")</f>
        <v>none</v>
      </c>
      <c r="S158" s="152">
        <f>IF($P158="Branches",SQRT($L158)^(1/2),IF($P158="Vertical","default",$P158))</f>
        <v>1.0702356691206898</v>
      </c>
      <c r="T158" s="153">
        <f>IF($P158="Branches",SQRT(SQRT($L158))^(1/2),IF($P158="Vertical",SQRT($L158)^(1/2),"none"))</f>
        <v>1.0345219519762205</v>
      </c>
      <c r="U158" s="77">
        <f>$G158/VLOOKUP($F158,Ore_Density[],2,FALSE)/Vanilla_COG_Divisor</f>
        <v>0.73469387755102045</v>
      </c>
      <c r="V158" s="158">
        <f>SQRT($U158)</f>
        <v>0.85714285714285721</v>
      </c>
      <c r="W158" s="147">
        <f>SQRT(SQRT($U158))</f>
        <v>0.92582009977255153</v>
      </c>
      <c r="X158" s="70">
        <f>$Y158+$AB158</f>
        <v>64.5</v>
      </c>
      <c r="Y158" s="71">
        <f>($AC158-$AB158)/2</f>
        <v>63.5</v>
      </c>
      <c r="Z158" s="71">
        <f>$AA158+$AB158</f>
        <v>125.3</v>
      </c>
      <c r="AA158" s="72">
        <f>($AG158-$AB158)/2</f>
        <v>124.3</v>
      </c>
      <c r="AB158" s="128">
        <v>1</v>
      </c>
      <c r="AC158" s="128">
        <v>128</v>
      </c>
      <c r="AD158" s="128"/>
      <c r="AE158" s="71">
        <f>IF($AD158="No",0,IF($AJ158="overworld",IF($X158&lt;64,64+($X158*3),0),0))</f>
        <v>0</v>
      </c>
      <c r="AF158" s="71">
        <f>IF($AD158="No",0,IF($AJ158="Overworld",IF($X158&lt;64,($Y158*3),0),0))</f>
        <v>0</v>
      </c>
      <c r="AG158" s="32">
        <f>IF($AC158&gt;64,64+(($AC158-64)*2.9),$AC158)</f>
        <v>249.6</v>
      </c>
      <c r="AH158" s="41" t="s">
        <v>516</v>
      </c>
      <c r="AI158" s="42" t="s">
        <v>517</v>
      </c>
      <c r="AJ158" s="131" t="s">
        <v>96</v>
      </c>
      <c r="AK158" s="20" t="str">
        <f>IF($X158&gt;64,"uniform",IF($AJ158="Overworld","normal","uniform"))</f>
        <v>uniform</v>
      </c>
      <c r="AL158" s="109" t="s">
        <v>518</v>
      </c>
      <c r="AM158" s="110" t="s">
        <v>98</v>
      </c>
      <c r="AN158" s="117" t="s">
        <v>83</v>
      </c>
      <c r="AO158" s="118" t="s">
        <v>84</v>
      </c>
      <c r="AP158" s="46"/>
    </row>
    <row r="159" spans="1:42" s="7" customFormat="1" ht="13.5">
      <c r="A159" s="31" t="s">
        <v>494</v>
      </c>
      <c r="B159" s="18"/>
      <c r="C159" s="105" t="s">
        <v>182</v>
      </c>
      <c r="D159" s="97" t="s">
        <v>59</v>
      </c>
      <c r="E159" s="98" t="s">
        <v>66</v>
      </c>
      <c r="F159" s="99" t="s">
        <v>61</v>
      </c>
      <c r="G159" s="37">
        <f>$H159*$I159/2</f>
        <v>1.5</v>
      </c>
      <c r="H159" s="123">
        <v>3</v>
      </c>
      <c r="I159" s="124">
        <v>1</v>
      </c>
      <c r="J159" s="146">
        <f>$H159/2</f>
        <v>1.5</v>
      </c>
      <c r="K159" s="147">
        <f>$I159/2</f>
        <v>0.5</v>
      </c>
      <c r="L159" s="77">
        <f>$G159/VLOOKUP($E159,Ore_Density[],2,FALSE)/Vanilla_COG_Divisor</f>
        <v>9.393346379647749E-2</v>
      </c>
      <c r="M159" s="82" t="str">
        <f>IF(OR($E159="Layered Veins",$E159="Small Deposits",$E159="Geode"),"Motherlode",IF(OR($E159="Pipe Veins",$E159="Sparse Veins",$E159="Vertical Veins"),"No","ERROR"))</f>
        <v>Motherlode</v>
      </c>
      <c r="N159" s="86">
        <v>1</v>
      </c>
      <c r="O159" s="86">
        <v>1</v>
      </c>
      <c r="P159" s="82" t="str">
        <f>IF(OR($E159="Layered Veins",$E159="Pipe Veins",$E159="Sparse Veins"),"Branches",IF($E159="Vertical Veins","Vertical","none"))</f>
        <v>Branches</v>
      </c>
      <c r="Q159" s="152">
        <f>SQRT($L159)*$N159</f>
        <v>0.30648566654327813</v>
      </c>
      <c r="R159" s="152">
        <f>IF($M159="Motherlode",(($O159*SQRT($L159))^(1/2))^(1/3),"none")</f>
        <v>0.82111066834194602</v>
      </c>
      <c r="S159" s="152">
        <f>IF($P159="Branches",SQRT($L159)^(1/2),IF($P159="Vertical","default",$P159))</f>
        <v>0.55361147616652429</v>
      </c>
      <c r="T159" s="153">
        <f>IF($P159="Branches",SQRT(SQRT($L159))^(1/2),IF($P159="Vertical",SQRT($L159)^(1/2),"none"))</f>
        <v>0.74405072150124574</v>
      </c>
      <c r="U159" s="77">
        <f>$G159/VLOOKUP($F159,Ore_Density[],2,FALSE)/Vanilla_COG_Divisor</f>
        <v>0.12244897959183673</v>
      </c>
      <c r="V159" s="158">
        <f>SQRT($U159)</f>
        <v>0.3499271061118826</v>
      </c>
      <c r="W159" s="147">
        <f>SQRT(SQRT($U159))</f>
        <v>0.59154636852226772</v>
      </c>
      <c r="X159" s="70">
        <f>$Y159+$AB159</f>
        <v>64.5</v>
      </c>
      <c r="Y159" s="71">
        <f>($AC159-$AB159)/2</f>
        <v>63.5</v>
      </c>
      <c r="Z159" s="71">
        <f>$AA159+$AB159</f>
        <v>125.3</v>
      </c>
      <c r="AA159" s="72">
        <f>($AG159-$AB159)/2</f>
        <v>124.3</v>
      </c>
      <c r="AB159" s="128">
        <v>1</v>
      </c>
      <c r="AC159" s="128">
        <v>128</v>
      </c>
      <c r="AD159" s="128"/>
      <c r="AE159" s="71">
        <f>IF($AD159="No",0,IF($AJ159="overworld",IF($X159&lt;64,64+($X159*3),0),0))</f>
        <v>0</v>
      </c>
      <c r="AF159" s="71">
        <f>IF($AD159="No",0,IF($AJ159="Overworld",IF($X159&lt;64,($Y159*3),0),0))</f>
        <v>0</v>
      </c>
      <c r="AG159" s="32">
        <f>IF($AC159&gt;64,64+(($AC159-64)*2.9),$AC159)</f>
        <v>249.6</v>
      </c>
      <c r="AH159" s="41" t="s">
        <v>522</v>
      </c>
      <c r="AI159" s="42"/>
      <c r="AJ159" s="131" t="s">
        <v>96</v>
      </c>
      <c r="AK159" s="20" t="str">
        <f>IF($X159&gt;64,"uniform",IF($AJ159="Overworld","normal","uniform"))</f>
        <v>uniform</v>
      </c>
      <c r="AL159" s="109" t="s">
        <v>523</v>
      </c>
      <c r="AM159" s="110" t="s">
        <v>98</v>
      </c>
      <c r="AN159" s="117"/>
      <c r="AO159" s="118" t="s">
        <v>56</v>
      </c>
      <c r="AP159" s="46"/>
    </row>
    <row r="160" spans="1:42" s="7" customFormat="1" ht="13.5">
      <c r="A160" s="31" t="s">
        <v>494</v>
      </c>
      <c r="B160" s="18"/>
      <c r="C160" s="105" t="s">
        <v>72</v>
      </c>
      <c r="D160" s="97" t="s">
        <v>59</v>
      </c>
      <c r="E160" s="98" t="s">
        <v>73</v>
      </c>
      <c r="F160" s="99" t="s">
        <v>61</v>
      </c>
      <c r="G160" s="37">
        <f>$H160*$I160/2</f>
        <v>24</v>
      </c>
      <c r="H160" s="123">
        <v>8</v>
      </c>
      <c r="I160" s="124">
        <v>6</v>
      </c>
      <c r="J160" s="146">
        <f>$H160/2</f>
        <v>4</v>
      </c>
      <c r="K160" s="147">
        <f>$I160/2</f>
        <v>3</v>
      </c>
      <c r="L160" s="77">
        <f>$G160/VLOOKUP($E160,Ore_Density[],2,FALSE)/Vanilla_COG_Divisor</f>
        <v>4.9603174603174605</v>
      </c>
      <c r="M160" s="82" t="str">
        <f>IF(OR($E160="Layered Veins",$E160="Small Deposits",$E160="Geode"),"Motherlode",IF(OR($E160="Pipe Veins",$E160="Sparse Veins",$E160="Vertical Veins"),"No","ERROR"))</f>
        <v>No</v>
      </c>
      <c r="N160" s="86">
        <v>1</v>
      </c>
      <c r="O160" s="86">
        <v>1</v>
      </c>
      <c r="P160" s="82" t="str">
        <f>IF(OR($E160="Layered Veins",$E160="Pipe Veins",$E160="Sparse Veins"),"Branches",IF($E160="Vertical Veins","Vertical","none"))</f>
        <v>Vertical</v>
      </c>
      <c r="Q160" s="152">
        <f>SQRT($L160)*$N160</f>
        <v>2.2271770159368698</v>
      </c>
      <c r="R160" s="152" t="str">
        <f>IF($M160="Motherlode",(($O160*SQRT($L160))^(1/2))^(1/3),"none")</f>
        <v>none</v>
      </c>
      <c r="S160" s="152" t="str">
        <f>IF($P160="Branches",SQRT($L160)^(1/2),IF($P160="Vertical","default",$P160))</f>
        <v>default</v>
      </c>
      <c r="T160" s="153">
        <f>IF($P160="Branches",SQRT(SQRT($L160))^(1/2),IF($P160="Vertical",SQRT($L160)^(1/2),"none"))</f>
        <v>1.4923729480049113</v>
      </c>
      <c r="U160" s="77">
        <f>$G160/VLOOKUP($F160,Ore_Density[],2,FALSE)/Vanilla_COG_Divisor</f>
        <v>1.9591836734693877</v>
      </c>
      <c r="V160" s="158">
        <f>SQRT($U160)</f>
        <v>1.3997084244475304</v>
      </c>
      <c r="W160" s="147">
        <f>SQRT(SQRT($U160))</f>
        <v>1.1830927370445354</v>
      </c>
      <c r="X160" s="70">
        <f>$Y160+$AB160</f>
        <v>64.5</v>
      </c>
      <c r="Y160" s="71">
        <f>($AC160-$AB160)/2</f>
        <v>63.5</v>
      </c>
      <c r="Z160" s="71">
        <f>$AA160+$AB160</f>
        <v>125.3</v>
      </c>
      <c r="AA160" s="72">
        <f>($AG160-$AB160)/2</f>
        <v>124.3</v>
      </c>
      <c r="AB160" s="128">
        <v>1</v>
      </c>
      <c r="AC160" s="128">
        <v>128</v>
      </c>
      <c r="AD160" s="128"/>
      <c r="AE160" s="71">
        <f>IF($AD160="No",0,IF($AJ160="overworld",IF($X160&lt;64,64+($X160*3),0),0))</f>
        <v>0</v>
      </c>
      <c r="AF160" s="71">
        <f>IF($AD160="No",0,IF($AJ160="Overworld",IF($X160&lt;64,($Y160*3),0),0))</f>
        <v>0</v>
      </c>
      <c r="AG160" s="32">
        <f>IF($AC160&gt;64,64+(($AC160-64)*2.9),$AC160)</f>
        <v>249.6</v>
      </c>
      <c r="AH160" s="41" t="s">
        <v>74</v>
      </c>
      <c r="AI160" s="42"/>
      <c r="AJ160" s="131" t="s">
        <v>96</v>
      </c>
      <c r="AK160" s="20" t="str">
        <f>IF($X160&gt;64,"uniform",IF($AJ160="Overworld","normal","uniform"))</f>
        <v>uniform</v>
      </c>
      <c r="AL160" s="109" t="s">
        <v>502</v>
      </c>
      <c r="AM160" s="110" t="s">
        <v>98</v>
      </c>
      <c r="AN160" s="117" t="s">
        <v>76</v>
      </c>
      <c r="AO160" s="118" t="s">
        <v>77</v>
      </c>
      <c r="AP160" s="46"/>
    </row>
    <row r="161" spans="1:42" s="7" customFormat="1" ht="13.5">
      <c r="A161" s="31" t="s">
        <v>494</v>
      </c>
      <c r="B161" s="18"/>
      <c r="C161" s="105" t="s">
        <v>122</v>
      </c>
      <c r="D161" s="97" t="s">
        <v>59</v>
      </c>
      <c r="E161" s="98" t="s">
        <v>79</v>
      </c>
      <c r="F161" s="99" t="s">
        <v>61</v>
      </c>
      <c r="G161" s="37">
        <f>$H161*$I161/2</f>
        <v>9</v>
      </c>
      <c r="H161" s="123">
        <v>3</v>
      </c>
      <c r="I161" s="124">
        <v>6</v>
      </c>
      <c r="J161" s="146">
        <f>$H161/2</f>
        <v>1.5</v>
      </c>
      <c r="K161" s="147">
        <f>$I161/2</f>
        <v>3</v>
      </c>
      <c r="L161" s="77">
        <f>$G161/VLOOKUP($E161,Ore_Density[],2,FALSE)/Vanilla_COG_Divisor</f>
        <v>1.311951210808519</v>
      </c>
      <c r="M161" s="82" t="str">
        <f>IF(OR($E161="Layered Veins",$E161="Small Deposits",$E161="Geode"),"Motherlode",IF(OR($E161="Pipe Veins",$E161="Sparse Veins",$E161="Vertical Veins"),"No","ERROR"))</f>
        <v>No</v>
      </c>
      <c r="N161" s="86">
        <v>1</v>
      </c>
      <c r="O161" s="86">
        <v>1</v>
      </c>
      <c r="P161" s="82" t="str">
        <f>IF(OR($E161="Layered Veins",$E161="Pipe Veins",$E161="Sparse Veins"),"Branches",IF($E161="Vertical Veins","Vertical","none"))</f>
        <v>Branches</v>
      </c>
      <c r="Q161" s="152">
        <f>SQRT($L161)*$N161</f>
        <v>1.1454043874582107</v>
      </c>
      <c r="R161" s="152" t="str">
        <f>IF($M161="Motherlode",(($O161*SQRT($L161))^(1/2))^(1/3),"none")</f>
        <v>none</v>
      </c>
      <c r="S161" s="152">
        <f>IF($P161="Branches",SQRT($L161)^(1/2),IF($P161="Vertical","default",$P161))</f>
        <v>1.0702356691206898</v>
      </c>
      <c r="T161" s="153">
        <f>IF($P161="Branches",SQRT(SQRT($L161))^(1/2),IF($P161="Vertical",SQRT($L161)^(1/2),"none"))</f>
        <v>1.0345219519762205</v>
      </c>
      <c r="U161" s="77">
        <f>$G161/VLOOKUP($F161,Ore_Density[],2,FALSE)/Vanilla_COG_Divisor</f>
        <v>0.73469387755102045</v>
      </c>
      <c r="V161" s="158">
        <f>SQRT($U161)</f>
        <v>0.85714285714285721</v>
      </c>
      <c r="W161" s="147">
        <f>SQRT(SQRT($U161))</f>
        <v>0.92582009977255153</v>
      </c>
      <c r="X161" s="70">
        <f>$Y161+$AB161</f>
        <v>64.5</v>
      </c>
      <c r="Y161" s="71">
        <f>($AC161-$AB161)/2</f>
        <v>63.5</v>
      </c>
      <c r="Z161" s="71">
        <f>$AA161+$AB161</f>
        <v>125.3</v>
      </c>
      <c r="AA161" s="72">
        <f>($AG161-$AB161)/2</f>
        <v>124.3</v>
      </c>
      <c r="AB161" s="128">
        <v>1</v>
      </c>
      <c r="AC161" s="128">
        <v>128</v>
      </c>
      <c r="AD161" s="128"/>
      <c r="AE161" s="71">
        <f>IF($AD161="No",0,IF($AJ161="overworld",IF($X161&lt;64,64+($X161*3),0),0))</f>
        <v>0</v>
      </c>
      <c r="AF161" s="71">
        <f>IF($AD161="No",0,IF($AJ161="Overworld",IF($X161&lt;64,($Y161*3),0),0))</f>
        <v>0</v>
      </c>
      <c r="AG161" s="32">
        <f>IF($AC161&gt;64,64+(($AC161-64)*2.9),$AC161)</f>
        <v>249.6</v>
      </c>
      <c r="AH161" s="41" t="s">
        <v>513</v>
      </c>
      <c r="AI161" s="42" t="s">
        <v>514</v>
      </c>
      <c r="AJ161" s="131" t="s">
        <v>96</v>
      </c>
      <c r="AK161" s="20" t="str">
        <f>IF($X161&gt;64,"uniform",IF($AJ161="Overworld","normal","uniform"))</f>
        <v>uniform</v>
      </c>
      <c r="AL161" s="109" t="s">
        <v>515</v>
      </c>
      <c r="AM161" s="110" t="s">
        <v>98</v>
      </c>
      <c r="AN161" s="117" t="s">
        <v>83</v>
      </c>
      <c r="AO161" s="118" t="s">
        <v>84</v>
      </c>
      <c r="AP161" s="46"/>
    </row>
    <row r="162" spans="1:42" s="7" customFormat="1" ht="13.5">
      <c r="A162" s="31" t="s">
        <v>494</v>
      </c>
      <c r="B162" s="18"/>
      <c r="C162" s="105" t="s">
        <v>544</v>
      </c>
      <c r="D162" s="97" t="s">
        <v>59</v>
      </c>
      <c r="E162" s="98" t="s">
        <v>66</v>
      </c>
      <c r="F162" s="99" t="s">
        <v>61</v>
      </c>
      <c r="G162" s="37">
        <f>$H162*$I162/2</f>
        <v>6</v>
      </c>
      <c r="H162" s="123">
        <v>4</v>
      </c>
      <c r="I162" s="124">
        <v>3</v>
      </c>
      <c r="J162" s="146">
        <f>$H162/2</f>
        <v>2</v>
      </c>
      <c r="K162" s="147">
        <f>$I162/2</f>
        <v>1.5</v>
      </c>
      <c r="L162" s="77">
        <f>$G162/VLOOKUP($E162,Ore_Density[],2,FALSE)/Vanilla_COG_Divisor</f>
        <v>0.37573385518590996</v>
      </c>
      <c r="M162" s="82" t="str">
        <f>IF(OR($E162="Layered Veins",$E162="Small Deposits",$E162="Geode"),"Motherlode",IF(OR($E162="Pipe Veins",$E162="Sparse Veins",$E162="Vertical Veins"),"No","ERROR"))</f>
        <v>Motherlode</v>
      </c>
      <c r="N162" s="86">
        <v>1</v>
      </c>
      <c r="O162" s="86">
        <v>1</v>
      </c>
      <c r="P162" s="82" t="str">
        <f>IF(OR($E162="Layered Veins",$E162="Pipe Veins",$E162="Sparse Veins"),"Branches",IF($E162="Vertical Veins","Vertical","none"))</f>
        <v>Branches</v>
      </c>
      <c r="Q162" s="152">
        <f>SQRT($L162)*$N162</f>
        <v>0.61297133308655627</v>
      </c>
      <c r="R162" s="152">
        <f>IF($M162="Motherlode",(($O162*SQRT($L162))^(1/2))^(1/3),"none")</f>
        <v>0.92166556267577893</v>
      </c>
      <c r="S162" s="152">
        <f>IF($P162="Branches",SQRT($L162)^(1/2),IF($P162="Vertical","default",$P162))</f>
        <v>0.78292485788008814</v>
      </c>
      <c r="T162" s="153">
        <f>IF($P162="Branches",SQRT(SQRT($L162))^(1/2),IF($P162="Vertical",SQRT($L162)^(1/2),"none"))</f>
        <v>0.88483041193218948</v>
      </c>
      <c r="U162" s="77">
        <f>$G162/VLOOKUP($F162,Ore_Density[],2,FALSE)/Vanilla_COG_Divisor</f>
        <v>0.48979591836734693</v>
      </c>
      <c r="V162" s="158">
        <f>SQRT($U162)</f>
        <v>0.6998542122237652</v>
      </c>
      <c r="W162" s="147">
        <f>SQRT(SQRT($U162))</f>
        <v>0.83657289713674399</v>
      </c>
      <c r="X162" s="70">
        <f>$Y162+$AB162</f>
        <v>64.5</v>
      </c>
      <c r="Y162" s="71">
        <f>($AC162-$AB162)/2</f>
        <v>63.5</v>
      </c>
      <c r="Z162" s="71">
        <f>$AA162+$AB162</f>
        <v>125.3</v>
      </c>
      <c r="AA162" s="72">
        <f>($AG162-$AB162)/2</f>
        <v>124.3</v>
      </c>
      <c r="AB162" s="128">
        <v>1</v>
      </c>
      <c r="AC162" s="128">
        <v>128</v>
      </c>
      <c r="AD162" s="128"/>
      <c r="AE162" s="71">
        <f>IF($AD162="No",0,IF($AJ162="overworld",IF($X162&lt;64,64+($X162*3),0),0))</f>
        <v>0</v>
      </c>
      <c r="AF162" s="71">
        <f>IF($AD162="No",0,IF($AJ162="Overworld",IF($X162&lt;64,($Y162*3),0),0))</f>
        <v>0</v>
      </c>
      <c r="AG162" s="32">
        <f>IF($AC162&gt;64,64+(($AC162-64)*2.9),$AC162)</f>
        <v>249.6</v>
      </c>
      <c r="AH162" s="41" t="s">
        <v>545</v>
      </c>
      <c r="AI162" s="42"/>
      <c r="AJ162" s="131" t="s">
        <v>96</v>
      </c>
      <c r="AK162" s="20" t="str">
        <f>IF($X162&gt;64,"uniform",IF($AJ162="Overworld","normal","uniform"))</f>
        <v>uniform</v>
      </c>
      <c r="AL162" s="109" t="s">
        <v>546</v>
      </c>
      <c r="AM162" s="110" t="s">
        <v>98</v>
      </c>
      <c r="AN162" s="117"/>
      <c r="AO162" s="118" t="s">
        <v>56</v>
      </c>
      <c r="AP162" s="46"/>
    </row>
    <row r="163" spans="1:42" s="7" customFormat="1" ht="13.5">
      <c r="A163" s="31" t="s">
        <v>494</v>
      </c>
      <c r="B163" s="18"/>
      <c r="C163" s="105" t="s">
        <v>320</v>
      </c>
      <c r="D163" s="97" t="s">
        <v>59</v>
      </c>
      <c r="E163" s="98" t="s">
        <v>60</v>
      </c>
      <c r="F163" s="99" t="s">
        <v>61</v>
      </c>
      <c r="G163" s="37">
        <f>$H163*$I163/2</f>
        <v>12.5</v>
      </c>
      <c r="H163" s="123">
        <v>5</v>
      </c>
      <c r="I163" s="124">
        <v>5</v>
      </c>
      <c r="J163" s="146">
        <f>$H163/2</f>
        <v>2.5</v>
      </c>
      <c r="K163" s="147">
        <f>$I163/2</f>
        <v>2.5</v>
      </c>
      <c r="L163" s="77">
        <f>$G163/VLOOKUP($E163,Ore_Density[],2,FALSE)/Vanilla_COG_Divisor</f>
        <v>4.6902768549605947</v>
      </c>
      <c r="M163" s="82" t="str">
        <f>IF(OR($E163="Layered Veins",$E163="Small Deposits",$E163="Geode"),"Motherlode",IF(OR($E163="Pipe Veins",$E163="Sparse Veins",$E163="Vertical Veins"),"No","ERROR"))</f>
        <v>No</v>
      </c>
      <c r="N163" s="86">
        <v>1</v>
      </c>
      <c r="O163" s="86">
        <v>1</v>
      </c>
      <c r="P163" s="82" t="str">
        <f>IF(OR($E163="Layered Veins",$E163="Pipe Veins",$E163="Sparse Veins"),"Branches",IF($E163="Vertical Veins","Vertical","none"))</f>
        <v>Branches</v>
      </c>
      <c r="Q163" s="152">
        <f>SQRT($L163)*$N163</f>
        <v>2.1657047016988709</v>
      </c>
      <c r="R163" s="152" t="str">
        <f>IF($M163="Motherlode",(($O163*SQRT($L163))^(1/2))^(1/3),"none")</f>
        <v>none</v>
      </c>
      <c r="S163" s="152">
        <f>IF($P163="Branches",SQRT($L163)^(1/2),IF($P163="Vertical","default",$P163))</f>
        <v>1.4716333448583145</v>
      </c>
      <c r="T163" s="153">
        <f>IF($P163="Branches",SQRT(SQRT($L163))^(1/2),IF($P163="Vertical",SQRT($L163)^(1/2),"none"))</f>
        <v>1.2131089583620733</v>
      </c>
      <c r="U163" s="77">
        <f>$G163/VLOOKUP($F163,Ore_Density[],2,FALSE)/Vanilla_COG_Divisor</f>
        <v>1.0204081632653061</v>
      </c>
      <c r="V163" s="158">
        <f>SQRT($U163)</f>
        <v>1.0101525445522108</v>
      </c>
      <c r="W163" s="147">
        <f>SQRT(SQRT($U163))</f>
        <v>1.0050634529979741</v>
      </c>
      <c r="X163" s="70">
        <f>$Y163+$AB163</f>
        <v>64.5</v>
      </c>
      <c r="Y163" s="71">
        <f>($AC163-$AB163)/2</f>
        <v>63.5</v>
      </c>
      <c r="Z163" s="71">
        <f>$AA163+$AB163</f>
        <v>125.3</v>
      </c>
      <c r="AA163" s="72">
        <f>($AG163-$AB163)/2</f>
        <v>124.3</v>
      </c>
      <c r="AB163" s="128">
        <v>1</v>
      </c>
      <c r="AC163" s="128">
        <v>128</v>
      </c>
      <c r="AD163" s="128"/>
      <c r="AE163" s="71">
        <f>IF($AD163="No",0,IF($AJ163="overworld",IF($X163&lt;64,64+($X163*3),0),0))</f>
        <v>0</v>
      </c>
      <c r="AF163" s="71">
        <f>IF($AD163="No",0,IF($AJ163="Overworld",IF($X163&lt;64,($Y163*3),0),0))</f>
        <v>0</v>
      </c>
      <c r="AG163" s="32">
        <f>IF($AC163&gt;64,64+(($AC163-64)*2.9),$AC163)</f>
        <v>249.6</v>
      </c>
      <c r="AH163" s="41" t="s">
        <v>554</v>
      </c>
      <c r="AI163" s="42"/>
      <c r="AJ163" s="131" t="s">
        <v>96</v>
      </c>
      <c r="AK163" s="20" t="str">
        <f>IF($X163&gt;64,"uniform",IF($AJ163="Overworld","normal","uniform"))</f>
        <v>uniform</v>
      </c>
      <c r="AL163" s="109" t="s">
        <v>555</v>
      </c>
      <c r="AM163" s="110" t="s">
        <v>98</v>
      </c>
      <c r="AN163" s="117"/>
      <c r="AO163" s="118" t="s">
        <v>56</v>
      </c>
      <c r="AP163" s="46"/>
    </row>
    <row r="164" spans="1:42" s="7" customFormat="1" ht="13.5">
      <c r="A164" s="31" t="s">
        <v>494</v>
      </c>
      <c r="B164" s="18"/>
      <c r="C164" s="105" t="s">
        <v>385</v>
      </c>
      <c r="D164" s="97" t="s">
        <v>59</v>
      </c>
      <c r="E164" s="98" t="s">
        <v>60</v>
      </c>
      <c r="F164" s="99" t="s">
        <v>61</v>
      </c>
      <c r="G164" s="37">
        <f>$H164*$I164/2</f>
        <v>12</v>
      </c>
      <c r="H164" s="123">
        <v>4</v>
      </c>
      <c r="I164" s="124">
        <v>6</v>
      </c>
      <c r="J164" s="146">
        <f>$H164/2</f>
        <v>2</v>
      </c>
      <c r="K164" s="147">
        <f>$I164/2</f>
        <v>3</v>
      </c>
      <c r="L164" s="77">
        <f>$G164/VLOOKUP($E164,Ore_Density[],2,FALSE)/Vanilla_COG_Divisor</f>
        <v>4.5026657807621708</v>
      </c>
      <c r="M164" s="82" t="str">
        <f>IF(OR($E164="Layered Veins",$E164="Small Deposits",$E164="Geode"),"Motherlode",IF(OR($E164="Pipe Veins",$E164="Sparse Veins",$E164="Vertical Veins"),"No","ERROR"))</f>
        <v>No</v>
      </c>
      <c r="N164" s="86">
        <v>1</v>
      </c>
      <c r="O164" s="86">
        <v>1</v>
      </c>
      <c r="P164" s="82" t="str">
        <f>IF(OR($E164="Layered Veins",$E164="Pipe Veins",$E164="Sparse Veins"),"Branches",IF($E164="Vertical Veins","Vertical","none"))</f>
        <v>Branches</v>
      </c>
      <c r="Q164" s="152">
        <f>SQRT($L164)*$N164</f>
        <v>2.1219485810834744</v>
      </c>
      <c r="R164" s="152" t="str">
        <f>IF($M164="Motherlode",(($O164*SQRT($L164))^(1/2))^(1/3),"none")</f>
        <v>none</v>
      </c>
      <c r="S164" s="152">
        <f>IF($P164="Branches",SQRT($L164)^(1/2),IF($P164="Vertical","default",$P164))</f>
        <v>1.4566909696581065</v>
      </c>
      <c r="T164" s="153">
        <f>IF($P164="Branches",SQRT(SQRT($L164))^(1/2),IF($P164="Vertical",SQRT($L164)^(1/2),"none"))</f>
        <v>1.2069345341227529</v>
      </c>
      <c r="U164" s="77">
        <f>$G164/VLOOKUP($F164,Ore_Density[],2,FALSE)/Vanilla_COG_Divisor</f>
        <v>0.97959183673469385</v>
      </c>
      <c r="V164" s="158">
        <f>SQRT($U164)</f>
        <v>0.98974331861078702</v>
      </c>
      <c r="W164" s="147">
        <f>SQRT(SQRT($U164))</f>
        <v>0.99485844149345537</v>
      </c>
      <c r="X164" s="70">
        <f>$Y164+$AB164</f>
        <v>64.5</v>
      </c>
      <c r="Y164" s="71">
        <f>($AC164-$AB164)/2</f>
        <v>63.5</v>
      </c>
      <c r="Z164" s="71">
        <f>$AA164+$AB164</f>
        <v>125.3</v>
      </c>
      <c r="AA164" s="72">
        <f>($AG164-$AB164)/2</f>
        <v>124.3</v>
      </c>
      <c r="AB164" s="128">
        <v>1</v>
      </c>
      <c r="AC164" s="128">
        <v>128</v>
      </c>
      <c r="AD164" s="128"/>
      <c r="AE164" s="71">
        <f>IF($AD164="No",0,IF($AJ164="overworld",IF($X164&lt;64,64+($X164*3),0),0))</f>
        <v>0</v>
      </c>
      <c r="AF164" s="71">
        <f>IF($AD164="No",0,IF($AJ164="Overworld",IF($X164&lt;64,($Y164*3),0),0))</f>
        <v>0</v>
      </c>
      <c r="AG164" s="32">
        <f>IF($AC164&gt;64,64+(($AC164-64)*2.9),$AC164)</f>
        <v>249.6</v>
      </c>
      <c r="AH164" s="41" t="s">
        <v>556</v>
      </c>
      <c r="AI164" s="42"/>
      <c r="AJ164" s="131" t="s">
        <v>96</v>
      </c>
      <c r="AK164" s="20" t="str">
        <f>IF($X164&gt;64,"uniform",IF($AJ164="Overworld","normal","uniform"))</f>
        <v>uniform</v>
      </c>
      <c r="AL164" s="109" t="s">
        <v>557</v>
      </c>
      <c r="AM164" s="110" t="s">
        <v>98</v>
      </c>
      <c r="AN164" s="117"/>
      <c r="AO164" s="118" t="s">
        <v>56</v>
      </c>
      <c r="AP164" s="46"/>
    </row>
    <row r="165" spans="1:42" s="7" customFormat="1" ht="13.5">
      <c r="A165" s="31" t="s">
        <v>494</v>
      </c>
      <c r="B165" s="18"/>
      <c r="C165" s="105" t="s">
        <v>147</v>
      </c>
      <c r="D165" s="97" t="s">
        <v>59</v>
      </c>
      <c r="E165" s="98" t="s">
        <v>79</v>
      </c>
      <c r="F165" s="99" t="s">
        <v>61</v>
      </c>
      <c r="G165" s="37">
        <f>$H165*$I165/2</f>
        <v>9</v>
      </c>
      <c r="H165" s="123">
        <v>3</v>
      </c>
      <c r="I165" s="124">
        <v>6</v>
      </c>
      <c r="J165" s="146">
        <f>$H165/2</f>
        <v>1.5</v>
      </c>
      <c r="K165" s="147">
        <f>$I165/2</f>
        <v>3</v>
      </c>
      <c r="L165" s="77">
        <f>$G165/VLOOKUP($E165,Ore_Density[],2,FALSE)/Vanilla_COG_Divisor</f>
        <v>1.311951210808519</v>
      </c>
      <c r="M165" s="82" t="str">
        <f>IF(OR($E165="Layered Veins",$E165="Small Deposits",$E165="Geode"),"Motherlode",IF(OR($E165="Pipe Veins",$E165="Sparse Veins",$E165="Vertical Veins"),"No","ERROR"))</f>
        <v>No</v>
      </c>
      <c r="N165" s="86">
        <v>1</v>
      </c>
      <c r="O165" s="86">
        <v>1</v>
      </c>
      <c r="P165" s="82" t="str">
        <f>IF(OR($E165="Layered Veins",$E165="Pipe Veins",$E165="Sparse Veins"),"Branches",IF($E165="Vertical Veins","Vertical","none"))</f>
        <v>Branches</v>
      </c>
      <c r="Q165" s="152">
        <f>SQRT($L165)*$N165</f>
        <v>1.1454043874582107</v>
      </c>
      <c r="R165" s="152" t="str">
        <f>IF($M165="Motherlode",(($O165*SQRT($L165))^(1/2))^(1/3),"none")</f>
        <v>none</v>
      </c>
      <c r="S165" s="152">
        <f>IF($P165="Branches",SQRT($L165)^(1/2),IF($P165="Vertical","default",$P165))</f>
        <v>1.0702356691206898</v>
      </c>
      <c r="T165" s="153">
        <f>IF($P165="Branches",SQRT(SQRT($L165))^(1/2),IF($P165="Vertical",SQRT($L165)^(1/2),"none"))</f>
        <v>1.0345219519762205</v>
      </c>
      <c r="U165" s="77">
        <f>$G165/VLOOKUP($F165,Ore_Density[],2,FALSE)/Vanilla_COG_Divisor</f>
        <v>0.73469387755102045</v>
      </c>
      <c r="V165" s="158">
        <f>SQRT($U165)</f>
        <v>0.85714285714285721</v>
      </c>
      <c r="W165" s="147">
        <f>SQRT(SQRT($U165))</f>
        <v>0.92582009977255153</v>
      </c>
      <c r="X165" s="70">
        <f>$Y165+$AB165</f>
        <v>64.5</v>
      </c>
      <c r="Y165" s="71">
        <f>($AC165-$AB165)/2</f>
        <v>63.5</v>
      </c>
      <c r="Z165" s="71">
        <f>$AA165+$AB165</f>
        <v>125.3</v>
      </c>
      <c r="AA165" s="72">
        <f>($AG165-$AB165)/2</f>
        <v>124.3</v>
      </c>
      <c r="AB165" s="128">
        <v>1</v>
      </c>
      <c r="AC165" s="128">
        <v>128</v>
      </c>
      <c r="AD165" s="128"/>
      <c r="AE165" s="71">
        <f>IF($AD165="No",0,IF($AJ165="overworld",IF($X165&lt;64,64+($X165*3),0),0))</f>
        <v>0</v>
      </c>
      <c r="AF165" s="71">
        <f>IF($AD165="No",0,IF($AJ165="Overworld",IF($X165&lt;64,($Y165*3),0),0))</f>
        <v>0</v>
      </c>
      <c r="AG165" s="32">
        <f>IF($AC165&gt;64,64+(($AC165-64)*2.9),$AC165)</f>
        <v>249.6</v>
      </c>
      <c r="AH165" s="41" t="s">
        <v>519</v>
      </c>
      <c r="AI165" s="42" t="s">
        <v>520</v>
      </c>
      <c r="AJ165" s="131" t="s">
        <v>96</v>
      </c>
      <c r="AK165" s="20" t="str">
        <f>IF($X165&gt;64,"uniform",IF($AJ165="Overworld","normal","uniform"))</f>
        <v>uniform</v>
      </c>
      <c r="AL165" s="109" t="s">
        <v>521</v>
      </c>
      <c r="AM165" s="110" t="s">
        <v>98</v>
      </c>
      <c r="AN165" s="117" t="s">
        <v>83</v>
      </c>
      <c r="AO165" s="118" t="s">
        <v>84</v>
      </c>
      <c r="AP165" s="46"/>
    </row>
    <row r="166" spans="1:42" s="7" customFormat="1" ht="13.5">
      <c r="A166" s="31" t="s">
        <v>494</v>
      </c>
      <c r="B166" s="18"/>
      <c r="C166" s="105" t="s">
        <v>173</v>
      </c>
      <c r="D166" s="97" t="s">
        <v>59</v>
      </c>
      <c r="E166" s="98" t="s">
        <v>66</v>
      </c>
      <c r="F166" s="99" t="s">
        <v>61</v>
      </c>
      <c r="G166" s="37">
        <f>$H166*$I166/2</f>
        <v>12</v>
      </c>
      <c r="H166" s="123">
        <v>4</v>
      </c>
      <c r="I166" s="124">
        <v>6</v>
      </c>
      <c r="J166" s="146">
        <f>$H166/2</f>
        <v>2</v>
      </c>
      <c r="K166" s="147">
        <f>$I166/2</f>
        <v>3</v>
      </c>
      <c r="L166" s="77">
        <f>$G166/VLOOKUP($E166,Ore_Density[],2,FALSE)/Vanilla_COG_Divisor</f>
        <v>0.75146771037181992</v>
      </c>
      <c r="M166" s="82" t="str">
        <f>IF(OR($E166="Layered Veins",$E166="Small Deposits",$E166="Geode"),"Motherlode",IF(OR($E166="Pipe Veins",$E166="Sparse Veins",$E166="Vertical Veins"),"No","ERROR"))</f>
        <v>Motherlode</v>
      </c>
      <c r="N166" s="86">
        <v>1</v>
      </c>
      <c r="O166" s="86">
        <v>1</v>
      </c>
      <c r="P166" s="82" t="str">
        <f>IF(OR($E166="Layered Veins",$E166="Pipe Veins",$E166="Sparse Veins"),"Branches",IF($E166="Vertical Veins","Vertical","none"))</f>
        <v>Branches</v>
      </c>
      <c r="Q166" s="152">
        <f>SQRT($L166)*$N166</f>
        <v>0.86687237259692385</v>
      </c>
      <c r="R166" s="152">
        <f>IF($M166="Motherlode",(($O166*SQRT($L166))^(1/2))^(1/3),"none")</f>
        <v>0.97647064899688185</v>
      </c>
      <c r="S166" s="152">
        <f>IF($P166="Branches",SQRT($L166)^(1/2),IF($P166="Vertical","default",$P166))</f>
        <v>0.93105981150349515</v>
      </c>
      <c r="T166" s="153">
        <f>IF($P166="Branches",SQRT(SQRT($L166))^(1/2),IF($P166="Vertical",SQRT($L166)^(1/2),"none"))</f>
        <v>0.96491440630943792</v>
      </c>
      <c r="U166" s="77">
        <f>$G166/VLOOKUP($F166,Ore_Density[],2,FALSE)/Vanilla_COG_Divisor</f>
        <v>0.97959183673469385</v>
      </c>
      <c r="V166" s="158">
        <f>SQRT($U166)</f>
        <v>0.98974331861078702</v>
      </c>
      <c r="W166" s="147">
        <f>SQRT(SQRT($U166))</f>
        <v>0.99485844149345537</v>
      </c>
      <c r="X166" s="70">
        <f>$Y166+$AB166</f>
        <v>64.5</v>
      </c>
      <c r="Y166" s="71">
        <f>($AC166-$AB166)/2</f>
        <v>63.5</v>
      </c>
      <c r="Z166" s="71">
        <f>$AA166+$AB166</f>
        <v>125.3</v>
      </c>
      <c r="AA166" s="72">
        <f>($AG166-$AB166)/2</f>
        <v>124.3</v>
      </c>
      <c r="AB166" s="128">
        <v>1</v>
      </c>
      <c r="AC166" s="128">
        <v>128</v>
      </c>
      <c r="AD166" s="128"/>
      <c r="AE166" s="71">
        <f>IF($AD166="No",0,IF($AJ166="overworld",IF($X166&lt;64,64+($X166*3),0),0))</f>
        <v>0</v>
      </c>
      <c r="AF166" s="71">
        <f>IF($AD166="No",0,IF($AJ166="Overworld",IF($X166&lt;64,($Y166*3),0),0))</f>
        <v>0</v>
      </c>
      <c r="AG166" s="32">
        <f>IF($AC166&gt;64,64+(($AC166-64)*2.9),$AC166)</f>
        <v>249.6</v>
      </c>
      <c r="AH166" s="41" t="s">
        <v>174</v>
      </c>
      <c r="AI166" s="42"/>
      <c r="AJ166" s="131" t="s">
        <v>96</v>
      </c>
      <c r="AK166" s="20" t="str">
        <f>IF($X166&gt;64,"uniform",IF($AJ166="Overworld","normal","uniform"))</f>
        <v>uniform</v>
      </c>
      <c r="AL166" s="109" t="s">
        <v>507</v>
      </c>
      <c r="AM166" s="110" t="s">
        <v>98</v>
      </c>
      <c r="AN166" s="117"/>
      <c r="AO166" s="118" t="s">
        <v>56</v>
      </c>
      <c r="AP166" s="46"/>
    </row>
    <row r="167" spans="1:42" s="7" customFormat="1" ht="13.5">
      <c r="A167" s="31" t="s">
        <v>494</v>
      </c>
      <c r="B167" s="18"/>
      <c r="C167" s="105" t="s">
        <v>526</v>
      </c>
      <c r="D167" s="97" t="s">
        <v>59</v>
      </c>
      <c r="E167" s="98" t="s">
        <v>66</v>
      </c>
      <c r="F167" s="99" t="s">
        <v>61</v>
      </c>
      <c r="G167" s="37">
        <f>$H167*$I167/2</f>
        <v>6</v>
      </c>
      <c r="H167" s="123">
        <v>4</v>
      </c>
      <c r="I167" s="124">
        <v>3</v>
      </c>
      <c r="J167" s="146">
        <f>$H167/2</f>
        <v>2</v>
      </c>
      <c r="K167" s="147">
        <f>$I167/2</f>
        <v>1.5</v>
      </c>
      <c r="L167" s="77">
        <f>$G167/VLOOKUP($E167,Ore_Density[],2,FALSE)/Vanilla_COG_Divisor</f>
        <v>0.37573385518590996</v>
      </c>
      <c r="M167" s="82" t="str">
        <f>IF(OR($E167="Layered Veins",$E167="Small Deposits",$E167="Geode"),"Motherlode",IF(OR($E167="Pipe Veins",$E167="Sparse Veins",$E167="Vertical Veins"),"No","ERROR"))</f>
        <v>Motherlode</v>
      </c>
      <c r="N167" s="86">
        <v>1</v>
      </c>
      <c r="O167" s="86">
        <v>1</v>
      </c>
      <c r="P167" s="82" t="str">
        <f>IF(OR($E167="Layered Veins",$E167="Pipe Veins",$E167="Sparse Veins"),"Branches",IF($E167="Vertical Veins","Vertical","none"))</f>
        <v>Branches</v>
      </c>
      <c r="Q167" s="152">
        <f>SQRT($L167)*$N167</f>
        <v>0.61297133308655627</v>
      </c>
      <c r="R167" s="152">
        <f>IF($M167="Motherlode",(($O167*SQRT($L167))^(1/2))^(1/3),"none")</f>
        <v>0.92166556267577893</v>
      </c>
      <c r="S167" s="152">
        <f>IF($P167="Branches",SQRT($L167)^(1/2),IF($P167="Vertical","default",$P167))</f>
        <v>0.78292485788008814</v>
      </c>
      <c r="T167" s="153">
        <f>IF($P167="Branches",SQRT(SQRT($L167))^(1/2),IF($P167="Vertical",SQRT($L167)^(1/2),"none"))</f>
        <v>0.88483041193218948</v>
      </c>
      <c r="U167" s="77">
        <f>$G167/VLOOKUP($F167,Ore_Density[],2,FALSE)/Vanilla_COG_Divisor</f>
        <v>0.48979591836734693</v>
      </c>
      <c r="V167" s="158">
        <f>SQRT($U167)</f>
        <v>0.6998542122237652</v>
      </c>
      <c r="W167" s="147">
        <f>SQRT(SQRT($U167))</f>
        <v>0.83657289713674399</v>
      </c>
      <c r="X167" s="70">
        <f>$Y167+$AB167</f>
        <v>64.5</v>
      </c>
      <c r="Y167" s="71">
        <f>($AC167-$AB167)/2</f>
        <v>63.5</v>
      </c>
      <c r="Z167" s="71">
        <f>$AA167+$AB167</f>
        <v>125.3</v>
      </c>
      <c r="AA167" s="72">
        <f>($AG167-$AB167)/2</f>
        <v>124.3</v>
      </c>
      <c r="AB167" s="128">
        <v>1</v>
      </c>
      <c r="AC167" s="128">
        <v>128</v>
      </c>
      <c r="AD167" s="128"/>
      <c r="AE167" s="71">
        <f>IF($AD167="No",0,IF($AJ167="overworld",IF($X167&lt;64,64+($X167*3),0),0))</f>
        <v>0</v>
      </c>
      <c r="AF167" s="71">
        <f>IF($AD167="No",0,IF($AJ167="Overworld",IF($X167&lt;64,($Y167*3),0),0))</f>
        <v>0</v>
      </c>
      <c r="AG167" s="32">
        <f>IF($AC167&gt;64,64+(($AC167-64)*2.9),$AC167)</f>
        <v>249.6</v>
      </c>
      <c r="AH167" s="41" t="s">
        <v>527</v>
      </c>
      <c r="AI167" s="42"/>
      <c r="AJ167" s="131" t="s">
        <v>96</v>
      </c>
      <c r="AK167" s="20" t="str">
        <f>IF($X167&gt;64,"uniform",IF($AJ167="Overworld","normal","uniform"))</f>
        <v>uniform</v>
      </c>
      <c r="AL167" s="109" t="s">
        <v>528</v>
      </c>
      <c r="AM167" s="110" t="s">
        <v>98</v>
      </c>
      <c r="AN167" s="117"/>
      <c r="AO167" s="118" t="s">
        <v>56</v>
      </c>
      <c r="AP167" s="46"/>
    </row>
    <row r="168" spans="1:42" s="7" customFormat="1" ht="13.5">
      <c r="A168" s="31" t="s">
        <v>494</v>
      </c>
      <c r="B168" s="18"/>
      <c r="C168" s="105" t="s">
        <v>351</v>
      </c>
      <c r="D168" s="97" t="s">
        <v>59</v>
      </c>
      <c r="E168" s="98" t="s">
        <v>79</v>
      </c>
      <c r="F168" s="99" t="s">
        <v>61</v>
      </c>
      <c r="G168" s="37">
        <f>$H168*$I168/2</f>
        <v>72</v>
      </c>
      <c r="H168" s="123">
        <v>12</v>
      </c>
      <c r="I168" s="124">
        <v>12</v>
      </c>
      <c r="J168" s="146">
        <f>$H168/2</f>
        <v>6</v>
      </c>
      <c r="K168" s="147">
        <f>$I168/2</f>
        <v>6</v>
      </c>
      <c r="L168" s="77">
        <f>$G168/VLOOKUP($E168,Ore_Density[],2,FALSE)/Vanilla_COG_Divisor</f>
        <v>10.495609686468152</v>
      </c>
      <c r="M168" s="82" t="str">
        <f>IF(OR($E168="Layered Veins",$E168="Small Deposits",$E168="Geode"),"Motherlode",IF(OR($E168="Pipe Veins",$E168="Sparse Veins",$E168="Vertical Veins"),"No","ERROR"))</f>
        <v>No</v>
      </c>
      <c r="N168" s="86">
        <v>1</v>
      </c>
      <c r="O168" s="86">
        <v>1</v>
      </c>
      <c r="P168" s="82" t="str">
        <f>IF(OR($E168="Layered Veins",$E168="Pipe Veins",$E168="Sparse Veins"),"Branches",IF($E168="Vertical Veins","Vertical","none"))</f>
        <v>Branches</v>
      </c>
      <c r="Q168" s="152">
        <f>SQRT($L168)*$N168</f>
        <v>3.239692838290098</v>
      </c>
      <c r="R168" s="152" t="str">
        <f>IF($M168="Motherlode",(($O168*SQRT($L168))^(1/2))^(1/3),"none")</f>
        <v>none</v>
      </c>
      <c r="S168" s="152">
        <f>IF($P168="Branches",SQRT($L168)^(1/2),IF($P168="Vertical","default",$P168))</f>
        <v>1.7999146752804973</v>
      </c>
      <c r="T168" s="153">
        <f>IF($P168="Branches",SQRT(SQRT($L168))^(1/2),IF($P168="Vertical",SQRT($L168)^(1/2),"none"))</f>
        <v>1.3416089874775352</v>
      </c>
      <c r="U168" s="77">
        <f>$G168/VLOOKUP($F168,Ore_Density[],2,FALSE)/Vanilla_COG_Divisor</f>
        <v>5.8775510204081636</v>
      </c>
      <c r="V168" s="158">
        <f>SQRT($U168)</f>
        <v>2.424366106925306</v>
      </c>
      <c r="W168" s="147">
        <f>SQRT(SQRT($U168))</f>
        <v>1.5570376061371498</v>
      </c>
      <c r="X168" s="70">
        <f>$Y168+$AB168</f>
        <v>64.5</v>
      </c>
      <c r="Y168" s="71">
        <f>($AC168-$AB168)/2</f>
        <v>63.5</v>
      </c>
      <c r="Z168" s="71">
        <f>$AA168+$AB168</f>
        <v>125.3</v>
      </c>
      <c r="AA168" s="72">
        <f>($AG168-$AB168)/2</f>
        <v>124.3</v>
      </c>
      <c r="AB168" s="128">
        <v>1</v>
      </c>
      <c r="AC168" s="128">
        <v>128</v>
      </c>
      <c r="AD168" s="128"/>
      <c r="AE168" s="71">
        <f>IF($AD168="No",0,IF($AJ168="overworld",IF($X168&lt;64,64+($X168*3),0),0))</f>
        <v>0</v>
      </c>
      <c r="AF168" s="71">
        <f>IF($AD168="No",0,IF($AJ168="Overworld",IF($X168&lt;64,($Y168*3),0),0))</f>
        <v>0</v>
      </c>
      <c r="AG168" s="32">
        <f>IF($AC168&gt;64,64+(($AC168-64)*2.9),$AC168)</f>
        <v>249.6</v>
      </c>
      <c r="AH168" s="41" t="s">
        <v>533</v>
      </c>
      <c r="AI168" s="42" t="s">
        <v>534</v>
      </c>
      <c r="AJ168" s="131" t="s">
        <v>96</v>
      </c>
      <c r="AK168" s="20" t="str">
        <f>IF($X168&gt;64,"uniform",IF($AJ168="Overworld","normal","uniform"))</f>
        <v>uniform</v>
      </c>
      <c r="AL168" s="109" t="s">
        <v>535</v>
      </c>
      <c r="AM168" s="110" t="s">
        <v>98</v>
      </c>
      <c r="AN168" s="117" t="s">
        <v>83</v>
      </c>
      <c r="AO168" s="118" t="s">
        <v>84</v>
      </c>
      <c r="AP168" s="46"/>
    </row>
    <row r="169" spans="1:42" s="7" customFormat="1" ht="13.5">
      <c r="A169" s="31" t="s">
        <v>494</v>
      </c>
      <c r="B169" s="18"/>
      <c r="C169" s="105" t="s">
        <v>551</v>
      </c>
      <c r="D169" s="97" t="s">
        <v>59</v>
      </c>
      <c r="E169" s="98" t="s">
        <v>66</v>
      </c>
      <c r="F169" s="99" t="s">
        <v>61</v>
      </c>
      <c r="G169" s="37">
        <f>$H169*$I169/2</f>
        <v>32</v>
      </c>
      <c r="H169" s="123">
        <v>8</v>
      </c>
      <c r="I169" s="124">
        <v>8</v>
      </c>
      <c r="J169" s="146">
        <f>$H169/2</f>
        <v>4</v>
      </c>
      <c r="K169" s="147">
        <f>$I169/2</f>
        <v>4</v>
      </c>
      <c r="L169" s="77">
        <f>$G169/VLOOKUP($E169,Ore_Density[],2,FALSE)/Vanilla_COG_Divisor</f>
        <v>2.0039138943248531</v>
      </c>
      <c r="M169" s="82" t="str">
        <f>IF(OR($E169="Layered Veins",$E169="Small Deposits",$E169="Geode"),"Motherlode",IF(OR($E169="Pipe Veins",$E169="Sparse Veins",$E169="Vertical Veins"),"No","ERROR"))</f>
        <v>Motherlode</v>
      </c>
      <c r="N169" s="86">
        <v>1</v>
      </c>
      <c r="O169" s="86">
        <v>1</v>
      </c>
      <c r="P169" s="82" t="str">
        <f>IF(OR($E169="Layered Veins",$E169="Pipe Veins",$E169="Sparse Veins"),"Branches",IF($E169="Vertical Veins","Vertical","none"))</f>
        <v>Branches</v>
      </c>
      <c r="Q169" s="152">
        <f>SQRT($L169)*$N169</f>
        <v>1.4155966566521883</v>
      </c>
      <c r="R169" s="152">
        <f>IF($M169="Motherlode",(($O169*SQRT($L169))^(1/2))^(1/3),"none")</f>
        <v>1.0596357156920035</v>
      </c>
      <c r="S169" s="152">
        <f>IF($P169="Branches",SQRT($L169)^(1/2),IF($P169="Vertical","default",$P169))</f>
        <v>1.189788492401985</v>
      </c>
      <c r="T169" s="153">
        <f>IF($P169="Branches",SQRT(SQRT($L169))^(1/2),IF($P169="Vertical",SQRT($L169)^(1/2),"none"))</f>
        <v>1.0907742628069224</v>
      </c>
      <c r="U169" s="77">
        <f>$G169/VLOOKUP($F169,Ore_Density[],2,FALSE)/Vanilla_COG_Divisor</f>
        <v>2.6122448979591835</v>
      </c>
      <c r="V169" s="158">
        <f>SQRT($U169)</f>
        <v>1.6162440712835371</v>
      </c>
      <c r="W169" s="147">
        <f>SQRT(SQRT($U169))</f>
        <v>1.2713158817868739</v>
      </c>
      <c r="X169" s="70">
        <f>$Y169+$AB169</f>
        <v>64.5</v>
      </c>
      <c r="Y169" s="71">
        <f>($AC169-$AB169)/2</f>
        <v>63.5</v>
      </c>
      <c r="Z169" s="71">
        <f>$AA169+$AB169</f>
        <v>125.3</v>
      </c>
      <c r="AA169" s="72">
        <f>($AG169-$AB169)/2</f>
        <v>124.3</v>
      </c>
      <c r="AB169" s="128">
        <v>1</v>
      </c>
      <c r="AC169" s="128">
        <v>128</v>
      </c>
      <c r="AD169" s="128"/>
      <c r="AE169" s="71">
        <f>IF($AD169="No",0,IF($AJ169="overworld",IF($X169&lt;64,64+($X169*3),0),0))</f>
        <v>0</v>
      </c>
      <c r="AF169" s="71">
        <f>IF($AD169="No",0,IF($AJ169="Overworld",IF($X169&lt;64,($Y169*3),0),0))</f>
        <v>0</v>
      </c>
      <c r="AG169" s="32">
        <f>IF($AC169&gt;64,64+(($AC169-64)*2.9),$AC169)</f>
        <v>249.6</v>
      </c>
      <c r="AH169" s="41" t="s">
        <v>552</v>
      </c>
      <c r="AI169" s="42"/>
      <c r="AJ169" s="131" t="s">
        <v>96</v>
      </c>
      <c r="AK169" s="20" t="str">
        <f>IF($X169&gt;64,"uniform",IF($AJ169="Overworld","normal","uniform"))</f>
        <v>uniform</v>
      </c>
      <c r="AL169" s="109" t="s">
        <v>553</v>
      </c>
      <c r="AM169" s="110" t="s">
        <v>98</v>
      </c>
      <c r="AN169" s="117"/>
      <c r="AO169" s="118" t="s">
        <v>56</v>
      </c>
      <c r="AP169" s="46"/>
    </row>
    <row r="170" spans="1:42" s="7" customFormat="1" ht="13.5">
      <c r="A170" s="31" t="s">
        <v>494</v>
      </c>
      <c r="B170" s="18"/>
      <c r="C170" s="105" t="s">
        <v>179</v>
      </c>
      <c r="D170" s="97" t="s">
        <v>59</v>
      </c>
      <c r="E170" s="98" t="s">
        <v>66</v>
      </c>
      <c r="F170" s="99" t="s">
        <v>61</v>
      </c>
      <c r="G170" s="37">
        <f>$H170*$I170/2</f>
        <v>32</v>
      </c>
      <c r="H170" s="123">
        <v>8</v>
      </c>
      <c r="I170" s="124">
        <v>8</v>
      </c>
      <c r="J170" s="146">
        <f>$H170/2</f>
        <v>4</v>
      </c>
      <c r="K170" s="147">
        <f>$I170/2</f>
        <v>4</v>
      </c>
      <c r="L170" s="77">
        <f>$G170/VLOOKUP($E170,Ore_Density[],2,FALSE)/Vanilla_COG_Divisor</f>
        <v>2.0039138943248531</v>
      </c>
      <c r="M170" s="82" t="str">
        <f>IF(OR($E170="Layered Veins",$E170="Small Deposits",$E170="Geode"),"Motherlode",IF(OR($E170="Pipe Veins",$E170="Sparse Veins",$E170="Vertical Veins"),"No","ERROR"))</f>
        <v>Motherlode</v>
      </c>
      <c r="N170" s="86">
        <v>1</v>
      </c>
      <c r="O170" s="86">
        <v>1</v>
      </c>
      <c r="P170" s="82" t="str">
        <f>IF(OR($E170="Layered Veins",$E170="Pipe Veins",$E170="Sparse Veins"),"Branches",IF($E170="Vertical Veins","Vertical","none"))</f>
        <v>Branches</v>
      </c>
      <c r="Q170" s="152">
        <f>SQRT($L170)*$N170</f>
        <v>1.4155966566521883</v>
      </c>
      <c r="R170" s="152">
        <f>IF($M170="Motherlode",(($O170*SQRT($L170))^(1/2))^(1/3),"none")</f>
        <v>1.0596357156920035</v>
      </c>
      <c r="S170" s="152">
        <f>IF($P170="Branches",SQRT($L170)^(1/2),IF($P170="Vertical","default",$P170))</f>
        <v>1.189788492401985</v>
      </c>
      <c r="T170" s="153">
        <f>IF($P170="Branches",SQRT(SQRT($L170))^(1/2),IF($P170="Vertical",SQRT($L170)^(1/2),"none"))</f>
        <v>1.0907742628069224</v>
      </c>
      <c r="U170" s="77">
        <f>$G170/VLOOKUP($F170,Ore_Density[],2,FALSE)/Vanilla_COG_Divisor</f>
        <v>2.6122448979591835</v>
      </c>
      <c r="V170" s="158">
        <f>SQRT($U170)</f>
        <v>1.6162440712835371</v>
      </c>
      <c r="W170" s="147">
        <f>SQRT(SQRT($U170))</f>
        <v>1.2713158817868739</v>
      </c>
      <c r="X170" s="70">
        <f>$Y170+$AB170</f>
        <v>64.5</v>
      </c>
      <c r="Y170" s="71">
        <f>($AC170-$AB170)/2</f>
        <v>63.5</v>
      </c>
      <c r="Z170" s="71">
        <f>$AA170+$AB170</f>
        <v>125.3</v>
      </c>
      <c r="AA170" s="72">
        <f>($AG170-$AB170)/2</f>
        <v>124.3</v>
      </c>
      <c r="AB170" s="128">
        <v>1</v>
      </c>
      <c r="AC170" s="128">
        <v>128</v>
      </c>
      <c r="AD170" s="128"/>
      <c r="AE170" s="71">
        <f>IF($AD170="No",0,IF($AJ170="overworld",IF($X170&lt;64,64+($X170*3),0),0))</f>
        <v>0</v>
      </c>
      <c r="AF170" s="71">
        <f>IF($AD170="No",0,IF($AJ170="Overworld",IF($X170&lt;64,($Y170*3),0),0))</f>
        <v>0</v>
      </c>
      <c r="AG170" s="32">
        <f>IF($AC170&gt;64,64+(($AC170-64)*2.9),$AC170)</f>
        <v>249.6</v>
      </c>
      <c r="AH170" s="41" t="s">
        <v>180</v>
      </c>
      <c r="AI170" s="42"/>
      <c r="AJ170" s="131" t="s">
        <v>96</v>
      </c>
      <c r="AK170" s="20" t="str">
        <f>IF($X170&gt;64,"uniform",IF($AJ170="Overworld","normal","uniform"))</f>
        <v>uniform</v>
      </c>
      <c r="AL170" s="109" t="s">
        <v>504</v>
      </c>
      <c r="AM170" s="110" t="s">
        <v>98</v>
      </c>
      <c r="AN170" s="117"/>
      <c r="AO170" s="118" t="s">
        <v>56</v>
      </c>
      <c r="AP170" s="46"/>
    </row>
    <row r="171" spans="1:42" s="7" customFormat="1" ht="13.5">
      <c r="A171" s="31" t="s">
        <v>494</v>
      </c>
      <c r="B171" s="18"/>
      <c r="C171" s="105" t="s">
        <v>536</v>
      </c>
      <c r="D171" s="97" t="s">
        <v>59</v>
      </c>
      <c r="E171" s="98" t="s">
        <v>66</v>
      </c>
      <c r="F171" s="99" t="s">
        <v>61</v>
      </c>
      <c r="G171" s="37">
        <f>$H171*$I171/2</f>
        <v>3</v>
      </c>
      <c r="H171" s="123">
        <v>2</v>
      </c>
      <c r="I171" s="124">
        <v>3</v>
      </c>
      <c r="J171" s="146">
        <f>$H171/2</f>
        <v>1</v>
      </c>
      <c r="K171" s="147">
        <f>$I171/2</f>
        <v>1.5</v>
      </c>
      <c r="L171" s="77">
        <f>$G171/VLOOKUP($E171,Ore_Density[],2,FALSE)/Vanilla_COG_Divisor</f>
        <v>0.18786692759295498</v>
      </c>
      <c r="M171" s="82" t="str">
        <f>IF(OR($E171="Layered Veins",$E171="Small Deposits",$E171="Geode"),"Motherlode",IF(OR($E171="Pipe Veins",$E171="Sparse Veins",$E171="Vertical Veins"),"No","ERROR"))</f>
        <v>Motherlode</v>
      </c>
      <c r="N171" s="86">
        <v>1</v>
      </c>
      <c r="O171" s="86">
        <v>1</v>
      </c>
      <c r="P171" s="82" t="str">
        <f>IF(OR($E171="Layered Veins",$E171="Pipe Veins",$E171="Sparse Veins"),"Branches",IF($E171="Vertical Veins","Vertical","none"))</f>
        <v>Branches</v>
      </c>
      <c r="Q171" s="152">
        <f>SQRT($L171)*$N171</f>
        <v>0.43343618629846192</v>
      </c>
      <c r="R171" s="152">
        <f>IF($M171="Motherlode",(($O171*SQRT($L171))^(1/2))^(1/3),"none")</f>
        <v>0.86993644949298721</v>
      </c>
      <c r="S171" s="152">
        <f>IF($P171="Branches",SQRT($L171)^(1/2),IF($P171="Vertical","default",$P171))</f>
        <v>0.65835870640439009</v>
      </c>
      <c r="T171" s="153">
        <f>IF($P171="Branches",SQRT(SQRT($L171))^(1/2),IF($P171="Vertical",SQRT($L171)^(1/2),"none"))</f>
        <v>0.81139306529227262</v>
      </c>
      <c r="U171" s="77">
        <f>$G171/VLOOKUP($F171,Ore_Density[],2,FALSE)/Vanilla_COG_Divisor</f>
        <v>0.24489795918367346</v>
      </c>
      <c r="V171" s="158">
        <f>SQRT($U171)</f>
        <v>0.49487165930539351</v>
      </c>
      <c r="W171" s="147">
        <f>SQRT(SQRT($U171))</f>
        <v>0.70347115030070251</v>
      </c>
      <c r="X171" s="70">
        <f>$Y171+$AB171</f>
        <v>64.5</v>
      </c>
      <c r="Y171" s="71">
        <f>($AC171-$AB171)/2</f>
        <v>63.5</v>
      </c>
      <c r="Z171" s="71">
        <f>$AA171+$AB171</f>
        <v>125.3</v>
      </c>
      <c r="AA171" s="72">
        <f>($AG171-$AB171)/2</f>
        <v>124.3</v>
      </c>
      <c r="AB171" s="128">
        <v>1</v>
      </c>
      <c r="AC171" s="128">
        <v>128</v>
      </c>
      <c r="AD171" s="128"/>
      <c r="AE171" s="71">
        <f>IF($AD171="No",0,IF($AJ171="overworld",IF($X171&lt;64,64+($X171*3),0),0))</f>
        <v>0</v>
      </c>
      <c r="AF171" s="71">
        <f>IF($AD171="No",0,IF($AJ171="Overworld",IF($X171&lt;64,($Y171*3),0),0))</f>
        <v>0</v>
      </c>
      <c r="AG171" s="32">
        <f>IF($AC171&gt;64,64+(($AC171-64)*2.9),$AC171)</f>
        <v>249.6</v>
      </c>
      <c r="AH171" s="41" t="s">
        <v>537</v>
      </c>
      <c r="AI171" s="42"/>
      <c r="AJ171" s="131" t="s">
        <v>96</v>
      </c>
      <c r="AK171" s="20" t="str">
        <f>IF($X171&gt;64,"uniform",IF($AJ171="Overworld","normal","uniform"))</f>
        <v>uniform</v>
      </c>
      <c r="AL171" s="109" t="s">
        <v>538</v>
      </c>
      <c r="AM171" s="110" t="s">
        <v>98</v>
      </c>
      <c r="AN171" s="117"/>
      <c r="AO171" s="118" t="s">
        <v>56</v>
      </c>
      <c r="AP171" s="46"/>
    </row>
    <row r="172" spans="1:42" s="7" customFormat="1" ht="13.5">
      <c r="A172" s="31" t="s">
        <v>494</v>
      </c>
      <c r="B172" s="18"/>
      <c r="C172" s="105" t="s">
        <v>348</v>
      </c>
      <c r="D172" s="97" t="s">
        <v>59</v>
      </c>
      <c r="E172" s="98" t="s">
        <v>66</v>
      </c>
      <c r="F172" s="99" t="s">
        <v>61</v>
      </c>
      <c r="G172" s="37">
        <f>$H172*$I172/2</f>
        <v>32</v>
      </c>
      <c r="H172" s="123">
        <v>8</v>
      </c>
      <c r="I172" s="124">
        <v>8</v>
      </c>
      <c r="J172" s="146">
        <f>$H172/2</f>
        <v>4</v>
      </c>
      <c r="K172" s="147">
        <f>$I172/2</f>
        <v>4</v>
      </c>
      <c r="L172" s="77">
        <f>$G172/VLOOKUP($E172,Ore_Density[],2,FALSE)/Vanilla_COG_Divisor</f>
        <v>2.0039138943248531</v>
      </c>
      <c r="M172" s="82" t="str">
        <f>IF(OR($E172="Layered Veins",$E172="Small Deposits",$E172="Geode"),"Motherlode",IF(OR($E172="Pipe Veins",$E172="Sparse Veins",$E172="Vertical Veins"),"No","ERROR"))</f>
        <v>Motherlode</v>
      </c>
      <c r="N172" s="86">
        <v>1</v>
      </c>
      <c r="O172" s="86">
        <v>1</v>
      </c>
      <c r="P172" s="82" t="str">
        <f>IF(OR($E172="Layered Veins",$E172="Pipe Veins",$E172="Sparse Veins"),"Branches",IF($E172="Vertical Veins","Vertical","none"))</f>
        <v>Branches</v>
      </c>
      <c r="Q172" s="152">
        <f>SQRT($L172)*$N172</f>
        <v>1.4155966566521883</v>
      </c>
      <c r="R172" s="152">
        <f>IF($M172="Motherlode",(($O172*SQRT($L172))^(1/2))^(1/3),"none")</f>
        <v>1.0596357156920035</v>
      </c>
      <c r="S172" s="152">
        <f>IF($P172="Branches",SQRT($L172)^(1/2),IF($P172="Vertical","default",$P172))</f>
        <v>1.189788492401985</v>
      </c>
      <c r="T172" s="153">
        <f>IF($P172="Branches",SQRT(SQRT($L172))^(1/2),IF($P172="Vertical",SQRT($L172)^(1/2),"none"))</f>
        <v>1.0907742628069224</v>
      </c>
      <c r="U172" s="77">
        <f>$G172/VLOOKUP($F172,Ore_Density[],2,FALSE)/Vanilla_COG_Divisor</f>
        <v>2.6122448979591835</v>
      </c>
      <c r="V172" s="158">
        <f>SQRT($U172)</f>
        <v>1.6162440712835371</v>
      </c>
      <c r="W172" s="147">
        <f>SQRT(SQRT($U172))</f>
        <v>1.2713158817868739</v>
      </c>
      <c r="X172" s="70">
        <f>$Y172+$AB172</f>
        <v>64.5</v>
      </c>
      <c r="Y172" s="71">
        <f>($AC172-$AB172)/2</f>
        <v>63.5</v>
      </c>
      <c r="Z172" s="71">
        <f>$AA172+$AB172</f>
        <v>125.3</v>
      </c>
      <c r="AA172" s="72">
        <f>($AG172-$AB172)/2</f>
        <v>124.3</v>
      </c>
      <c r="AB172" s="128">
        <v>1</v>
      </c>
      <c r="AC172" s="128">
        <v>128</v>
      </c>
      <c r="AD172" s="128"/>
      <c r="AE172" s="71">
        <f>IF($AD172="No",0,IF($AJ172="overworld",IF($X172&lt;64,64+($X172*3),0),0))</f>
        <v>0</v>
      </c>
      <c r="AF172" s="71">
        <f>IF($AD172="No",0,IF($AJ172="Overworld",IF($X172&lt;64,($Y172*3),0),0))</f>
        <v>0</v>
      </c>
      <c r="AG172" s="32">
        <f>IF($AC172&gt;64,64+(($AC172-64)*2.9),$AC172)</f>
        <v>249.6</v>
      </c>
      <c r="AH172" s="41" t="s">
        <v>547</v>
      </c>
      <c r="AI172" s="42"/>
      <c r="AJ172" s="131" t="s">
        <v>96</v>
      </c>
      <c r="AK172" s="20" t="str">
        <f>IF($X172&gt;64,"uniform",IF($AJ172="Overworld","normal","uniform"))</f>
        <v>uniform</v>
      </c>
      <c r="AL172" s="109" t="s">
        <v>548</v>
      </c>
      <c r="AM172" s="110" t="s">
        <v>98</v>
      </c>
      <c r="AN172" s="117"/>
      <c r="AO172" s="118" t="s">
        <v>56</v>
      </c>
      <c r="AP172" s="46"/>
    </row>
    <row r="173" spans="1:42" s="7" customFormat="1" ht="13.5">
      <c r="A173" s="31" t="s">
        <v>494</v>
      </c>
      <c r="B173" s="18"/>
      <c r="C173" s="105" t="s">
        <v>340</v>
      </c>
      <c r="D173" s="97" t="s">
        <v>59</v>
      </c>
      <c r="E173" s="98" t="s">
        <v>60</v>
      </c>
      <c r="F173" s="99" t="s">
        <v>61</v>
      </c>
      <c r="G173" s="37">
        <f>$H173*$I173/2</f>
        <v>3</v>
      </c>
      <c r="H173" s="123">
        <v>2</v>
      </c>
      <c r="I173" s="124">
        <v>3</v>
      </c>
      <c r="J173" s="146">
        <f>$H173/2</f>
        <v>1</v>
      </c>
      <c r="K173" s="147">
        <f>$I173/2</f>
        <v>1.5</v>
      </c>
      <c r="L173" s="77">
        <f>$G173/VLOOKUP($E173,Ore_Density[],2,FALSE)/Vanilla_COG_Divisor</f>
        <v>1.1256664451905427</v>
      </c>
      <c r="M173" s="82" t="str">
        <f>IF(OR($E173="Layered Veins",$E173="Small Deposits",$E173="Geode"),"Motherlode",IF(OR($E173="Pipe Veins",$E173="Sparse Veins",$E173="Vertical Veins"),"No","ERROR"))</f>
        <v>No</v>
      </c>
      <c r="N173" s="86">
        <v>1</v>
      </c>
      <c r="O173" s="86">
        <v>1</v>
      </c>
      <c r="P173" s="82" t="str">
        <f>IF(OR($E173="Layered Veins",$E173="Pipe Veins",$E173="Sparse Veins"),"Branches",IF($E173="Vertical Veins","Vertical","none"))</f>
        <v>Branches</v>
      </c>
      <c r="Q173" s="152">
        <f>SQRT($L173)*$N173</f>
        <v>1.0609742905417372</v>
      </c>
      <c r="R173" s="152" t="str">
        <f>IF($M173="Motherlode",(($O173*SQRT($L173))^(1/2))^(1/3),"none")</f>
        <v>none</v>
      </c>
      <c r="S173" s="152">
        <f>IF($P173="Branches",SQRT($L173)^(1/2),IF($P173="Vertical","default",$P173))</f>
        <v>1.0300360627384544</v>
      </c>
      <c r="T173" s="153">
        <f>IF($P173="Branches",SQRT(SQRT($L173))^(1/2),IF($P173="Vertical",SQRT($L173)^(1/2),"none"))</f>
        <v>1.014906923189735</v>
      </c>
      <c r="U173" s="77">
        <f>$G173/VLOOKUP($F173,Ore_Density[],2,FALSE)/Vanilla_COG_Divisor</f>
        <v>0.24489795918367346</v>
      </c>
      <c r="V173" s="158">
        <f>SQRT($U173)</f>
        <v>0.49487165930539351</v>
      </c>
      <c r="W173" s="147">
        <f>SQRT(SQRT($U173))</f>
        <v>0.70347115030070251</v>
      </c>
      <c r="X173" s="70">
        <f>$Y173+$AB173</f>
        <v>64.5</v>
      </c>
      <c r="Y173" s="71">
        <f>($AC173-$AB173)/2</f>
        <v>63.5</v>
      </c>
      <c r="Z173" s="71">
        <f>$AA173+$AB173</f>
        <v>125.3</v>
      </c>
      <c r="AA173" s="72">
        <f>($AG173-$AB173)/2</f>
        <v>124.3</v>
      </c>
      <c r="AB173" s="128">
        <v>1</v>
      </c>
      <c r="AC173" s="128">
        <v>128</v>
      </c>
      <c r="AD173" s="128"/>
      <c r="AE173" s="71">
        <f>IF($AD173="No",0,IF($AJ173="overworld",IF($X173&lt;64,64+($X173*3),0),0))</f>
        <v>0</v>
      </c>
      <c r="AF173" s="71">
        <f>IF($AD173="No",0,IF($AJ173="Overworld",IF($X173&lt;64,($Y173*3),0),0))</f>
        <v>0</v>
      </c>
      <c r="AG173" s="32">
        <f>IF($AC173&gt;64,64+(($AC173-64)*2.9),$AC173)</f>
        <v>249.6</v>
      </c>
      <c r="AH173" s="41" t="s">
        <v>487</v>
      </c>
      <c r="AI173" s="42"/>
      <c r="AJ173" s="131" t="s">
        <v>96</v>
      </c>
      <c r="AK173" s="20" t="str">
        <f>IF($X173&gt;64,"uniform",IF($AJ173="Overworld","normal","uniform"))</f>
        <v>uniform</v>
      </c>
      <c r="AL173" s="109" t="s">
        <v>509</v>
      </c>
      <c r="AM173" s="110" t="s">
        <v>98</v>
      </c>
      <c r="AN173" s="117"/>
      <c r="AO173" s="118" t="s">
        <v>56</v>
      </c>
      <c r="AP173" s="46"/>
    </row>
    <row r="174" spans="1:42" s="7" customFormat="1" ht="13.5">
      <c r="A174" s="31" t="s">
        <v>560</v>
      </c>
      <c r="B174" s="18"/>
      <c r="C174" s="105" t="s">
        <v>577</v>
      </c>
      <c r="D174" s="97" t="s">
        <v>59</v>
      </c>
      <c r="E174" s="98" t="s">
        <v>66</v>
      </c>
      <c r="F174" s="99" t="s">
        <v>61</v>
      </c>
      <c r="G174" s="37">
        <f>$H174*$I174/2</f>
        <v>30</v>
      </c>
      <c r="H174" s="123">
        <v>6</v>
      </c>
      <c r="I174" s="124">
        <v>10</v>
      </c>
      <c r="J174" s="146">
        <f>$H174/2</f>
        <v>3</v>
      </c>
      <c r="K174" s="147">
        <f>$I174/2</f>
        <v>5</v>
      </c>
      <c r="L174" s="77">
        <f>$G174/VLOOKUP($E174,Ore_Density[],2,FALSE)/Vanilla_COG_Divisor</f>
        <v>1.8786692759295498</v>
      </c>
      <c r="M174" s="82" t="str">
        <f>IF(OR($E174="Layered Veins",$E174="Small Deposits",$E174="Geode"),"Motherlode",IF(OR($E174="Pipe Veins",$E174="Sparse Veins",$E174="Vertical Veins"),"No","ERROR"))</f>
        <v>Motherlode</v>
      </c>
      <c r="N174" s="86">
        <v>1</v>
      </c>
      <c r="O174" s="86">
        <v>1</v>
      </c>
      <c r="P174" s="82" t="str">
        <f>IF(OR($E174="Layered Veins",$E174="Pipe Veins",$E174="Sparse Veins"),"Branches",IF($E174="Vertical Veins","Vertical","none"))</f>
        <v>Branches</v>
      </c>
      <c r="Q174" s="152">
        <f>SQRT($L174)*$N174</f>
        <v>1.370645569040206</v>
      </c>
      <c r="R174" s="152">
        <f>IF($M174="Motherlode",(($O174*SQRT($L174))^(1/2))^(1/3),"none")</f>
        <v>1.0539520698099061</v>
      </c>
      <c r="S174" s="152">
        <f>IF($P174="Branches",SQRT($L174)^(1/2),IF($P174="Vertical","default",$P174))</f>
        <v>1.1707457320187873</v>
      </c>
      <c r="T174" s="153">
        <f>IF($P174="Branches",SQRT(SQRT($L174))^(1/2),IF($P174="Vertical",SQRT($L174)^(1/2),"none"))</f>
        <v>1.0820100424759409</v>
      </c>
      <c r="U174" s="77">
        <f>$G174/VLOOKUP($F174,Ore_Density[],2,FALSE)/Vanilla_COG_Divisor</f>
        <v>2.4489795918367347</v>
      </c>
      <c r="V174" s="158">
        <f>SQRT($U174)</f>
        <v>1.5649215928719031</v>
      </c>
      <c r="W174" s="147">
        <f>SQRT(SQRT($U174))</f>
        <v>1.2509682621361355</v>
      </c>
      <c r="X174" s="70">
        <f>$Y174+$AB174</f>
        <v>128</v>
      </c>
      <c r="Y174" s="71">
        <f>($AC174-$AB174)/2</f>
        <v>128</v>
      </c>
      <c r="Z174" s="71">
        <f>$AA174+$AB174</f>
        <v>310.39999999999998</v>
      </c>
      <c r="AA174" s="72">
        <f>($AG174-$AB174)/2</f>
        <v>310.39999999999998</v>
      </c>
      <c r="AB174" s="128">
        <v>0</v>
      </c>
      <c r="AC174" s="128">
        <v>256</v>
      </c>
      <c r="AD174" s="128"/>
      <c r="AE174" s="71">
        <f>IF($AD174="No",0,IF($AJ174="overworld",IF($X174&lt;64,64+($X174*3),0),0))</f>
        <v>0</v>
      </c>
      <c r="AF174" s="71">
        <f>IF($AD174="No",0,IF($AJ174="Overworld",IF($X174&lt;64,($Y174*3),0),0))</f>
        <v>0</v>
      </c>
      <c r="AG174" s="32">
        <f>IF($AC174&gt;64,64+(($AC174-64)*2.9),$AC174)</f>
        <v>620.79999999999995</v>
      </c>
      <c r="AH174" s="41" t="s">
        <v>575</v>
      </c>
      <c r="AI174" s="42"/>
      <c r="AJ174" s="131" t="s">
        <v>96</v>
      </c>
      <c r="AK174" s="20" t="str">
        <f>IF($X174&gt;64,"uniform",IF($AJ174="Overworld","normal","uniform"))</f>
        <v>uniform</v>
      </c>
      <c r="AL174" s="109" t="s">
        <v>578</v>
      </c>
      <c r="AM174" s="110" t="s">
        <v>98</v>
      </c>
      <c r="AN174" s="117"/>
      <c r="AO174" s="118" t="s">
        <v>56</v>
      </c>
      <c r="AP174" s="46"/>
    </row>
    <row r="175" spans="1:42" s="7" customFormat="1" ht="13.5">
      <c r="A175" s="31" t="s">
        <v>560</v>
      </c>
      <c r="B175" s="18"/>
      <c r="C175" s="105" t="s">
        <v>566</v>
      </c>
      <c r="D175" s="97" t="s">
        <v>59</v>
      </c>
      <c r="E175" s="98" t="s">
        <v>66</v>
      </c>
      <c r="F175" s="99" t="s">
        <v>61</v>
      </c>
      <c r="G175" s="37">
        <f>$H175*$I175/2</f>
        <v>25</v>
      </c>
      <c r="H175" s="123">
        <v>5</v>
      </c>
      <c r="I175" s="124">
        <v>10</v>
      </c>
      <c r="J175" s="146">
        <f>$H175/2</f>
        <v>2.5</v>
      </c>
      <c r="K175" s="147">
        <f>$I175/2</f>
        <v>5</v>
      </c>
      <c r="L175" s="77">
        <f>$G175/VLOOKUP($E175,Ore_Density[],2,FALSE)/Vanilla_COG_Divisor</f>
        <v>1.5655577299412915</v>
      </c>
      <c r="M175" s="82" t="str">
        <f>IF(OR($E175="Layered Veins",$E175="Small Deposits",$E175="Geode"),"Motherlode",IF(OR($E175="Pipe Veins",$E175="Sparse Veins",$E175="Vertical Veins"),"No","ERROR"))</f>
        <v>Motherlode</v>
      </c>
      <c r="N175" s="86">
        <v>1</v>
      </c>
      <c r="O175" s="86">
        <v>1</v>
      </c>
      <c r="P175" s="82" t="str">
        <f>IF(OR($E175="Layered Veins",$E175="Pipe Veins",$E175="Sparse Veins"),"Branches",IF($E175="Vertical Veins","Vertical","none"))</f>
        <v>Branches</v>
      </c>
      <c r="Q175" s="152">
        <f>SQRT($L175)*$N175</f>
        <v>1.2512224941797088</v>
      </c>
      <c r="R175" s="152">
        <f>IF($M175="Motherlode",(($O175*SQRT($L175))^(1/2))^(1/3),"none")</f>
        <v>1.038059922056233</v>
      </c>
      <c r="S175" s="152">
        <f>IF($P175="Branches",SQRT($L175)^(1/2),IF($P175="Vertical","default",$P175))</f>
        <v>1.1185805711613754</v>
      </c>
      <c r="T175" s="153">
        <f>IF($P175="Branches",SQRT(SQRT($L175))^(1/2),IF($P175="Vertical",SQRT($L175)^(1/2),"none"))</f>
        <v>1.0576296947237136</v>
      </c>
      <c r="U175" s="77">
        <f>$G175/VLOOKUP($F175,Ore_Density[],2,FALSE)/Vanilla_COG_Divisor</f>
        <v>2.0408163265306123</v>
      </c>
      <c r="V175" s="158">
        <f>SQRT($U175)</f>
        <v>1.4285714285714286</v>
      </c>
      <c r="W175" s="147">
        <f>SQRT(SQRT($U175))</f>
        <v>1.1952286093343936</v>
      </c>
      <c r="X175" s="70">
        <f>$Y175+$AB175</f>
        <v>128</v>
      </c>
      <c r="Y175" s="71">
        <f>($AC175-$AB175)/2</f>
        <v>128</v>
      </c>
      <c r="Z175" s="71">
        <f>$AA175+$AB175</f>
        <v>310.39999999999998</v>
      </c>
      <c r="AA175" s="72">
        <f>($AG175-$AB175)/2</f>
        <v>310.39999999999998</v>
      </c>
      <c r="AB175" s="128">
        <v>0</v>
      </c>
      <c r="AC175" s="128">
        <v>256</v>
      </c>
      <c r="AD175" s="128"/>
      <c r="AE175" s="71">
        <f>IF($AD175="No",0,IF($AJ175="overworld",IF($X175&lt;64,64+($X175*3),0),0))</f>
        <v>0</v>
      </c>
      <c r="AF175" s="71">
        <f>IF($AD175="No",0,IF($AJ175="Overworld",IF($X175&lt;64,($Y175*3),0),0))</f>
        <v>0</v>
      </c>
      <c r="AG175" s="32">
        <f>IF($AC175&gt;64,64+(($AC175-64)*2.9),$AC175)</f>
        <v>620.79999999999995</v>
      </c>
      <c r="AH175" s="41" t="s">
        <v>567</v>
      </c>
      <c r="AI175" s="42"/>
      <c r="AJ175" s="131" t="s">
        <v>96</v>
      </c>
      <c r="AK175" s="20" t="str">
        <f>IF($X175&gt;64,"uniform",IF($AJ175="Overworld","normal","uniform"))</f>
        <v>uniform</v>
      </c>
      <c r="AL175" s="109" t="s">
        <v>568</v>
      </c>
      <c r="AM175" s="110" t="s">
        <v>98</v>
      </c>
      <c r="AN175" s="117"/>
      <c r="AO175" s="118" t="s">
        <v>56</v>
      </c>
      <c r="AP175" s="46"/>
    </row>
    <row r="176" spans="1:42" s="7" customFormat="1" ht="13.5">
      <c r="A176" s="31" t="s">
        <v>560</v>
      </c>
      <c r="B176" s="18"/>
      <c r="C176" s="105" t="s">
        <v>574</v>
      </c>
      <c r="D176" s="97" t="s">
        <v>59</v>
      </c>
      <c r="E176" s="98" t="s">
        <v>66</v>
      </c>
      <c r="F176" s="99" t="s">
        <v>61</v>
      </c>
      <c r="G176" s="37">
        <f>$H176*$I176/2</f>
        <v>15</v>
      </c>
      <c r="H176" s="123">
        <v>5</v>
      </c>
      <c r="I176" s="124">
        <v>6</v>
      </c>
      <c r="J176" s="146">
        <f>$H176/2</f>
        <v>2.5</v>
      </c>
      <c r="K176" s="147">
        <f>$I176/2</f>
        <v>3</v>
      </c>
      <c r="L176" s="77">
        <f>$G176/VLOOKUP($E176,Ore_Density[],2,FALSE)/Vanilla_COG_Divisor</f>
        <v>0.9393346379647749</v>
      </c>
      <c r="M176" s="82" t="str">
        <f>IF(OR($E176="Layered Veins",$E176="Small Deposits",$E176="Geode"),"Motherlode",IF(OR($E176="Pipe Veins",$E176="Sparse Veins",$E176="Vertical Veins"),"No","ERROR"))</f>
        <v>Motherlode</v>
      </c>
      <c r="N176" s="86">
        <v>1</v>
      </c>
      <c r="O176" s="86">
        <v>1</v>
      </c>
      <c r="P176" s="82" t="str">
        <f>IF(OR($E176="Layered Veins",$E176="Pipe Veins",$E176="Sparse Veins"),"Branches",IF($E176="Vertical Veins","Vertical","none"))</f>
        <v>Branches</v>
      </c>
      <c r="Q176" s="152">
        <f>SQRT($L176)*$N176</f>
        <v>0.96919277647162383</v>
      </c>
      <c r="R176" s="152">
        <f>IF($M176="Motherlode",(($O176*SQRT($L176))^(1/2))^(1/3),"none")</f>
        <v>0.99479828549127336</v>
      </c>
      <c r="S176" s="152">
        <f>IF($P176="Branches",SQRT($L176)^(1/2),IF($P176="Vertical","default",$P176))</f>
        <v>0.98447588922818408</v>
      </c>
      <c r="T176" s="153">
        <f>IF($P176="Branches",SQRT(SQRT($L176))^(1/2),IF($P176="Vertical",SQRT($L176)^(1/2),"none"))</f>
        <v>0.99220758373849571</v>
      </c>
      <c r="U176" s="77">
        <f>$G176/VLOOKUP($F176,Ore_Density[],2,FALSE)/Vanilla_COG_Divisor</f>
        <v>1.2244897959183674</v>
      </c>
      <c r="V176" s="158">
        <f>SQRT($U176)</f>
        <v>1.1065666703449764</v>
      </c>
      <c r="W176" s="147">
        <f>SQRT(SQRT($U176))</f>
        <v>1.0519347272264454</v>
      </c>
      <c r="X176" s="70">
        <f>$Y176+$AB176</f>
        <v>128</v>
      </c>
      <c r="Y176" s="71">
        <f>($AC176-$AB176)/2</f>
        <v>128</v>
      </c>
      <c r="Z176" s="71">
        <f>$AA176+$AB176</f>
        <v>310.39999999999998</v>
      </c>
      <c r="AA176" s="72">
        <f>($AG176-$AB176)/2</f>
        <v>310.39999999999998</v>
      </c>
      <c r="AB176" s="128">
        <v>0</v>
      </c>
      <c r="AC176" s="128">
        <v>256</v>
      </c>
      <c r="AD176" s="128"/>
      <c r="AE176" s="71">
        <f>IF($AD176="No",0,IF($AJ176="overworld",IF($X176&lt;64,64+($X176*3),0),0))</f>
        <v>0</v>
      </c>
      <c r="AF176" s="71">
        <f>IF($AD176="No",0,IF($AJ176="Overworld",IF($X176&lt;64,($Y176*3),0),0))</f>
        <v>0</v>
      </c>
      <c r="AG176" s="32">
        <f>IF($AC176&gt;64,64+(($AC176-64)*2.9),$AC176)</f>
        <v>620.79999999999995</v>
      </c>
      <c r="AH176" s="41" t="s">
        <v>575</v>
      </c>
      <c r="AI176" s="42"/>
      <c r="AJ176" s="131" t="s">
        <v>96</v>
      </c>
      <c r="AK176" s="20" t="str">
        <f>IF($X176&gt;64,"uniform",IF($AJ176="Overworld","normal","uniform"))</f>
        <v>uniform</v>
      </c>
      <c r="AL176" s="109" t="s">
        <v>576</v>
      </c>
      <c r="AM176" s="110" t="s">
        <v>98</v>
      </c>
      <c r="AN176" s="117"/>
      <c r="AO176" s="118" t="s">
        <v>56</v>
      </c>
      <c r="AP176" s="46"/>
    </row>
    <row r="177" spans="1:42" s="7" customFormat="1" ht="13.5">
      <c r="A177" s="31" t="s">
        <v>560</v>
      </c>
      <c r="B177" s="18"/>
      <c r="C177" s="105" t="s">
        <v>561</v>
      </c>
      <c r="D177" s="97" t="s">
        <v>59</v>
      </c>
      <c r="E177" s="98" t="s">
        <v>66</v>
      </c>
      <c r="F177" s="99" t="s">
        <v>61</v>
      </c>
      <c r="G177" s="37">
        <f>$H177*$I177/2</f>
        <v>30</v>
      </c>
      <c r="H177" s="123">
        <v>6</v>
      </c>
      <c r="I177" s="124">
        <v>10</v>
      </c>
      <c r="J177" s="146">
        <f>$H177/2</f>
        <v>3</v>
      </c>
      <c r="K177" s="147">
        <f>$I177/2</f>
        <v>5</v>
      </c>
      <c r="L177" s="77">
        <f>$G177/VLOOKUP($E177,Ore_Density[],2,FALSE)/Vanilla_COG_Divisor</f>
        <v>1.8786692759295498</v>
      </c>
      <c r="M177" s="82" t="str">
        <f>IF(OR($E177="Layered Veins",$E177="Small Deposits",$E177="Geode"),"Motherlode",IF(OR($E177="Pipe Veins",$E177="Sparse Veins",$E177="Vertical Veins"),"No","ERROR"))</f>
        <v>Motherlode</v>
      </c>
      <c r="N177" s="86">
        <v>1</v>
      </c>
      <c r="O177" s="86">
        <v>1</v>
      </c>
      <c r="P177" s="82" t="str">
        <f>IF(OR($E177="Layered Veins",$E177="Pipe Veins",$E177="Sparse Veins"),"Branches",IF($E177="Vertical Veins","Vertical","none"))</f>
        <v>Branches</v>
      </c>
      <c r="Q177" s="152">
        <f>SQRT($L177)*$N177</f>
        <v>1.370645569040206</v>
      </c>
      <c r="R177" s="152">
        <f>IF($M177="Motherlode",(($O177*SQRT($L177))^(1/2))^(1/3),"none")</f>
        <v>1.0539520698099061</v>
      </c>
      <c r="S177" s="152">
        <f>IF($P177="Branches",SQRT($L177)^(1/2),IF($P177="Vertical","default",$P177))</f>
        <v>1.1707457320187873</v>
      </c>
      <c r="T177" s="153">
        <f>IF($P177="Branches",SQRT(SQRT($L177))^(1/2),IF($P177="Vertical",SQRT($L177)^(1/2),"none"))</f>
        <v>1.0820100424759409</v>
      </c>
      <c r="U177" s="77">
        <f>$G177/VLOOKUP($F177,Ore_Density[],2,FALSE)/Vanilla_COG_Divisor</f>
        <v>2.4489795918367347</v>
      </c>
      <c r="V177" s="158">
        <f>SQRT($U177)</f>
        <v>1.5649215928719031</v>
      </c>
      <c r="W177" s="147">
        <f>SQRT(SQRT($U177))</f>
        <v>1.2509682621361355</v>
      </c>
      <c r="X177" s="70">
        <f>$Y177+$AB177</f>
        <v>128</v>
      </c>
      <c r="Y177" s="71">
        <f>($AC177-$AB177)/2</f>
        <v>128</v>
      </c>
      <c r="Z177" s="71">
        <f>$AA177+$AB177</f>
        <v>310.39999999999998</v>
      </c>
      <c r="AA177" s="72">
        <f>($AG177-$AB177)/2</f>
        <v>310.39999999999998</v>
      </c>
      <c r="AB177" s="128">
        <v>0</v>
      </c>
      <c r="AC177" s="128">
        <v>256</v>
      </c>
      <c r="AD177" s="128"/>
      <c r="AE177" s="71">
        <f>IF($AD177="No",0,IF($AJ177="overworld",IF($X177&lt;64,64+($X177*3),0),0))</f>
        <v>0</v>
      </c>
      <c r="AF177" s="71">
        <f>IF($AD177="No",0,IF($AJ177="Overworld",IF($X177&lt;64,($Y177*3),0),0))</f>
        <v>0</v>
      </c>
      <c r="AG177" s="32">
        <f>IF($AC177&gt;64,64+(($AC177-64)*2.9),$AC177)</f>
        <v>620.79999999999995</v>
      </c>
      <c r="AH177" s="41" t="s">
        <v>562</v>
      </c>
      <c r="AI177" s="42"/>
      <c r="AJ177" s="131" t="s">
        <v>96</v>
      </c>
      <c r="AK177" s="20" t="str">
        <f>IF($X177&gt;64,"uniform",IF($AJ177="Overworld","normal","uniform"))</f>
        <v>uniform</v>
      </c>
      <c r="AL177" s="109" t="s">
        <v>563</v>
      </c>
      <c r="AM177" s="110" t="s">
        <v>98</v>
      </c>
      <c r="AN177" s="117"/>
      <c r="AO177" s="118" t="s">
        <v>56</v>
      </c>
      <c r="AP177" s="46"/>
    </row>
    <row r="178" spans="1:42" s="7" customFormat="1" ht="13.5">
      <c r="A178" s="31" t="s">
        <v>560</v>
      </c>
      <c r="B178" s="18"/>
      <c r="C178" s="105" t="s">
        <v>569</v>
      </c>
      <c r="D178" s="97" t="s">
        <v>59</v>
      </c>
      <c r="E178" s="98" t="s">
        <v>60</v>
      </c>
      <c r="F178" s="99" t="s">
        <v>61</v>
      </c>
      <c r="G178" s="37">
        <f>$H178*$I178/2</f>
        <v>2625</v>
      </c>
      <c r="H178" s="123">
        <v>15</v>
      </c>
      <c r="I178" s="124">
        <v>350</v>
      </c>
      <c r="J178" s="146">
        <f>$H178/2</f>
        <v>7.5</v>
      </c>
      <c r="K178" s="147">
        <f>$I178/2</f>
        <v>175</v>
      </c>
      <c r="L178" s="77">
        <f>$G178/VLOOKUP($E178,Ore_Density[],2,FALSE)/Vanilla_COG_Divisor</f>
        <v>984.95813954172502</v>
      </c>
      <c r="M178" s="82" t="str">
        <f>IF(OR($E178="Layered Veins",$E178="Small Deposits",$E178="Geode"),"Motherlode",IF(OR($E178="Pipe Veins",$E178="Sparse Veins",$E178="Vertical Veins"),"No","ERROR"))</f>
        <v>No</v>
      </c>
      <c r="N178" s="86">
        <v>1</v>
      </c>
      <c r="O178" s="86">
        <v>1</v>
      </c>
      <c r="P178" s="82" t="str">
        <f>IF(OR($E178="Layered Veins",$E178="Pipe Veins",$E178="Sparse Veins"),"Branches",IF($E178="Vertical Veins","Vertical","none"))</f>
        <v>Branches</v>
      </c>
      <c r="Q178" s="152">
        <f>SQRT($L178)*$N178</f>
        <v>31.384042753312151</v>
      </c>
      <c r="R178" s="152" t="str">
        <f>IF($M178="Motherlode",(($O178*SQRT($L178))^(1/2))^(1/3),"none")</f>
        <v>none</v>
      </c>
      <c r="S178" s="152">
        <f>IF($P178="Branches",SQRT($L178)^(1/2),IF($P178="Vertical","default",$P178))</f>
        <v>5.6021462631131076</v>
      </c>
      <c r="T178" s="153">
        <f>IF($P178="Branches",SQRT(SQRT($L178))^(1/2),IF($P178="Vertical",SQRT($L178)^(1/2),"none"))</f>
        <v>2.3668853506482117</v>
      </c>
      <c r="U178" s="77">
        <f>$G178/VLOOKUP($F178,Ore_Density[],2,FALSE)/Vanilla_COG_Divisor</f>
        <v>214.28571428571428</v>
      </c>
      <c r="V178" s="158">
        <f>SQRT($U178)</f>
        <v>14.638501094227998</v>
      </c>
      <c r="W178" s="147">
        <f>SQRT(SQRT($U178))</f>
        <v>3.8260294162784474</v>
      </c>
      <c r="X178" s="70">
        <f>$Y178+$AB178</f>
        <v>128</v>
      </c>
      <c r="Y178" s="71">
        <f>($AC178-$AB178)/2</f>
        <v>128</v>
      </c>
      <c r="Z178" s="71">
        <f>$AA178+$AB178</f>
        <v>310.39999999999998</v>
      </c>
      <c r="AA178" s="72">
        <f>($AG178-$AB178)/2</f>
        <v>310.39999999999998</v>
      </c>
      <c r="AB178" s="128">
        <v>0</v>
      </c>
      <c r="AC178" s="128">
        <v>256</v>
      </c>
      <c r="AD178" s="128"/>
      <c r="AE178" s="71">
        <f>IF($AD178="No",0,IF($AJ178="overworld",IF($X178&lt;64,64+($X178*3),0),0))</f>
        <v>0</v>
      </c>
      <c r="AF178" s="71">
        <f>IF($AD178="No",0,IF($AJ178="Overworld",IF($X178&lt;64,($Y178*3),0),0))</f>
        <v>0</v>
      </c>
      <c r="AG178" s="32">
        <f>IF($AC178&gt;64,64+(($AC178-64)*2.9),$AC178)</f>
        <v>620.79999999999995</v>
      </c>
      <c r="AH178" s="41" t="s">
        <v>570</v>
      </c>
      <c r="AI178" s="42"/>
      <c r="AJ178" s="131" t="s">
        <v>96</v>
      </c>
      <c r="AK178" s="20" t="str">
        <f>IF($X178&gt;64,"uniform",IF($AJ178="Overworld","normal","uniform"))</f>
        <v>uniform</v>
      </c>
      <c r="AL178" s="109" t="s">
        <v>571</v>
      </c>
      <c r="AM178" s="110" t="s">
        <v>572</v>
      </c>
      <c r="AN178" s="117"/>
      <c r="AO178" s="118" t="s">
        <v>56</v>
      </c>
      <c r="AP178" s="46" t="s">
        <v>573</v>
      </c>
    </row>
    <row r="179" spans="1:42" s="7" customFormat="1" ht="13.5">
      <c r="A179" s="31" t="s">
        <v>560</v>
      </c>
      <c r="B179" s="18"/>
      <c r="C179" s="105" t="s">
        <v>142</v>
      </c>
      <c r="D179" s="97" t="s">
        <v>59</v>
      </c>
      <c r="E179" s="98" t="s">
        <v>66</v>
      </c>
      <c r="F179" s="99" t="s">
        <v>61</v>
      </c>
      <c r="G179" s="37">
        <f>$H179*$I179/2</f>
        <v>35</v>
      </c>
      <c r="H179" s="123">
        <v>7</v>
      </c>
      <c r="I179" s="124">
        <v>10</v>
      </c>
      <c r="J179" s="146">
        <f>$H179/2</f>
        <v>3.5</v>
      </c>
      <c r="K179" s="147">
        <f>$I179/2</f>
        <v>5</v>
      </c>
      <c r="L179" s="77">
        <f>$G179/VLOOKUP($E179,Ore_Density[],2,FALSE)/Vanilla_COG_Divisor</f>
        <v>2.1917808219178081</v>
      </c>
      <c r="M179" s="82" t="str">
        <f>IF(OR($E179="Layered Veins",$E179="Small Deposits",$E179="Geode"),"Motherlode",IF(OR($E179="Pipe Veins",$E179="Sparse Veins",$E179="Vertical Veins"),"No","ERROR"))</f>
        <v>Motherlode</v>
      </c>
      <c r="N179" s="86">
        <v>1</v>
      </c>
      <c r="O179" s="86">
        <v>1</v>
      </c>
      <c r="P179" s="82" t="str">
        <f>IF(OR($E179="Layered Veins",$E179="Pipe Veins",$E179="Sparse Veins"),"Branches",IF($E179="Vertical Veins","Vertical","none"))</f>
        <v>Branches</v>
      </c>
      <c r="Q179" s="152">
        <f>SQRT($L179)*$N179</f>
        <v>1.4804664203952105</v>
      </c>
      <c r="R179" s="152">
        <f>IF($M179="Motherlode",(($O179*SQRT($L179))^(1/2))^(1/3),"none")</f>
        <v>1.0675783556531184</v>
      </c>
      <c r="S179" s="152">
        <f>IF($P179="Branches",SQRT($L179)^(1/2),IF($P179="Vertical","default",$P179))</f>
        <v>1.2167441885602786</v>
      </c>
      <c r="T179" s="153">
        <f>IF($P179="Branches",SQRT(SQRT($L179))^(1/2),IF($P179="Vertical",SQRT($L179)^(1/2),"none"))</f>
        <v>1.1030612805099627</v>
      </c>
      <c r="U179" s="77">
        <f>$G179/VLOOKUP($F179,Ore_Density[],2,FALSE)/Vanilla_COG_Divisor</f>
        <v>2.8571428571428572</v>
      </c>
      <c r="V179" s="158">
        <f>SQRT($U179)</f>
        <v>1.6903085094570331</v>
      </c>
      <c r="W179" s="147">
        <f>SQRT(SQRT($U179))</f>
        <v>1.3001186520687384</v>
      </c>
      <c r="X179" s="70">
        <f>$Y179+$AB179</f>
        <v>128</v>
      </c>
      <c r="Y179" s="71">
        <f>($AC179-$AB179)/2</f>
        <v>128</v>
      </c>
      <c r="Z179" s="71">
        <f>$AA179+$AB179</f>
        <v>310.39999999999998</v>
      </c>
      <c r="AA179" s="72">
        <f>($AG179-$AB179)/2</f>
        <v>310.39999999999998</v>
      </c>
      <c r="AB179" s="128">
        <v>0</v>
      </c>
      <c r="AC179" s="128">
        <v>256</v>
      </c>
      <c r="AD179" s="128"/>
      <c r="AE179" s="71">
        <f>IF($AD179="No",0,IF($AJ179="overworld",IF($X179&lt;64,64+($X179*3),0),0))</f>
        <v>0</v>
      </c>
      <c r="AF179" s="71">
        <f>IF($AD179="No",0,IF($AJ179="Overworld",IF($X179&lt;64,($Y179*3),0),0))</f>
        <v>0</v>
      </c>
      <c r="AG179" s="32">
        <f>IF($AC179&gt;64,64+(($AC179-64)*2.9),$AC179)</f>
        <v>620.79999999999995</v>
      </c>
      <c r="AH179" s="41" t="s">
        <v>564</v>
      </c>
      <c r="AI179" s="42"/>
      <c r="AJ179" s="131" t="s">
        <v>96</v>
      </c>
      <c r="AK179" s="20" t="str">
        <f>IF($X179&gt;64,"uniform",IF($AJ179="Overworld","normal","uniform"))</f>
        <v>uniform</v>
      </c>
      <c r="AL179" s="109" t="s">
        <v>565</v>
      </c>
      <c r="AM179" s="110" t="s">
        <v>98</v>
      </c>
      <c r="AN179" s="117"/>
      <c r="AO179" s="118" t="s">
        <v>56</v>
      </c>
      <c r="AP179" s="46"/>
    </row>
    <row r="180" spans="1:42" s="7" customFormat="1" ht="13.5">
      <c r="A180" s="31" t="s">
        <v>579</v>
      </c>
      <c r="B180" s="18"/>
      <c r="C180" s="105" t="s">
        <v>596</v>
      </c>
      <c r="D180" s="97" t="s">
        <v>59</v>
      </c>
      <c r="E180" s="98" t="s">
        <v>60</v>
      </c>
      <c r="F180" s="99" t="s">
        <v>61</v>
      </c>
      <c r="G180" s="37">
        <f>$H180*$I180/2</f>
        <v>6</v>
      </c>
      <c r="H180" s="123">
        <v>4</v>
      </c>
      <c r="I180" s="124">
        <v>3</v>
      </c>
      <c r="J180" s="146">
        <f>$H180/2</f>
        <v>2</v>
      </c>
      <c r="K180" s="147">
        <f>$I180/2</f>
        <v>1.5</v>
      </c>
      <c r="L180" s="77">
        <f>$G180/VLOOKUP($E180,Ore_Density[],2,FALSE)/Vanilla_COG_Divisor</f>
        <v>2.2513328903810854</v>
      </c>
      <c r="M180" s="82" t="str">
        <f>IF(OR($E180="Layered Veins",$E180="Small Deposits",$E180="Geode"),"Motherlode",IF(OR($E180="Pipe Veins",$E180="Sparse Veins",$E180="Vertical Veins"),"No","ERROR"))</f>
        <v>No</v>
      </c>
      <c r="N180" s="86">
        <v>1</v>
      </c>
      <c r="O180" s="86">
        <v>1</v>
      </c>
      <c r="P180" s="82" t="str">
        <f>IF(OR($E180="Layered Veins",$E180="Pipe Veins",$E180="Sparse Veins"),"Branches",IF($E180="Vertical Veins","Vertical","none"))</f>
        <v>Branches</v>
      </c>
      <c r="Q180" s="152">
        <f>SQRT($L180)*$N180</f>
        <v>1.5004442310132975</v>
      </c>
      <c r="R180" s="152" t="str">
        <f>IF($M180="Motherlode",(($O180*SQRT($L180))^(1/2))^(1/3),"none")</f>
        <v>none</v>
      </c>
      <c r="S180" s="152">
        <f>IF($P180="Branches",SQRT($L180)^(1/2),IF($P180="Vertical","default",$P180))</f>
        <v>1.2249262145179591</v>
      </c>
      <c r="T180" s="153">
        <f>IF($P180="Branches",SQRT(SQRT($L180))^(1/2),IF($P180="Vertical",SQRT($L180)^(1/2),"none"))</f>
        <v>1.1067638476739106</v>
      </c>
      <c r="U180" s="77">
        <f>$G180/VLOOKUP($F180,Ore_Density[],2,FALSE)/Vanilla_COG_Divisor</f>
        <v>0.48979591836734693</v>
      </c>
      <c r="V180" s="158">
        <f>SQRT($U180)</f>
        <v>0.6998542122237652</v>
      </c>
      <c r="W180" s="147">
        <f>SQRT(SQRT($U180))</f>
        <v>0.83657289713674399</v>
      </c>
      <c r="X180" s="70">
        <f>$Y180+$AB180</f>
        <v>10</v>
      </c>
      <c r="Y180" s="71">
        <f>($AC180-$AB180)/2</f>
        <v>10</v>
      </c>
      <c r="Z180" s="71">
        <f>$AA180+$AB180</f>
        <v>10</v>
      </c>
      <c r="AA180" s="72">
        <f>($AG180-$AB180)/2</f>
        <v>10</v>
      </c>
      <c r="AB180" s="128">
        <v>0</v>
      </c>
      <c r="AC180" s="128">
        <v>20</v>
      </c>
      <c r="AD180" s="128"/>
      <c r="AE180" s="71">
        <f>IF($AD180="No",0,IF($AJ180="overworld",IF($X180&lt;64,64+($X180*3),0),0))</f>
        <v>94</v>
      </c>
      <c r="AF180" s="71">
        <f>IF($AD180="No",0,IF($AJ180="Overworld",IF($X180&lt;64,($Y180*3),0),0))</f>
        <v>30</v>
      </c>
      <c r="AG180" s="32">
        <f>IF($AC180&gt;64,64+(($AC180-64)*2.9),$AC180)</f>
        <v>20</v>
      </c>
      <c r="AH180" s="41" t="s">
        <v>597</v>
      </c>
      <c r="AI180" s="42"/>
      <c r="AJ180" s="131" t="s">
        <v>53</v>
      </c>
      <c r="AK180" s="20" t="str">
        <f>IF($X180&gt;64,"uniform",IF($AJ180="Overworld","normal","uniform"))</f>
        <v>normal</v>
      </c>
      <c r="AL180" s="109" t="s">
        <v>598</v>
      </c>
      <c r="AM180" s="110" t="s">
        <v>64</v>
      </c>
      <c r="AN180" s="117"/>
      <c r="AO180" s="118" t="s">
        <v>56</v>
      </c>
      <c r="AP180" s="46"/>
    </row>
    <row r="181" spans="1:42" s="7" customFormat="1" ht="13.5">
      <c r="A181" s="31" t="s">
        <v>579</v>
      </c>
      <c r="B181" s="18"/>
      <c r="C181" s="105" t="s">
        <v>176</v>
      </c>
      <c r="D181" s="97" t="s">
        <v>59</v>
      </c>
      <c r="E181" s="98" t="s">
        <v>66</v>
      </c>
      <c r="F181" s="99" t="s">
        <v>61</v>
      </c>
      <c r="G181" s="37">
        <f>$H181*$I181/2</f>
        <v>28</v>
      </c>
      <c r="H181" s="123">
        <v>8</v>
      </c>
      <c r="I181" s="124">
        <v>7</v>
      </c>
      <c r="J181" s="146">
        <f>$H181/2</f>
        <v>4</v>
      </c>
      <c r="K181" s="147">
        <f>$I181/2</f>
        <v>3.5</v>
      </c>
      <c r="L181" s="77">
        <f>$G181/VLOOKUP($E181,Ore_Density[],2,FALSE)/Vanilla_COG_Divisor</f>
        <v>1.7534246575342465</v>
      </c>
      <c r="M181" s="82" t="str">
        <f>IF(OR($E181="Layered Veins",$E181="Small Deposits",$E181="Geode"),"Motherlode",IF(OR($E181="Pipe Veins",$E181="Sparse Veins",$E181="Vertical Veins"),"No","ERROR"))</f>
        <v>Motherlode</v>
      </c>
      <c r="N181" s="86">
        <v>1</v>
      </c>
      <c r="O181" s="86">
        <v>1</v>
      </c>
      <c r="P181" s="82" t="str">
        <f>IF(OR($E181="Layered Veins",$E181="Pipe Veins",$E181="Sparse Veins"),"Branches",IF($E181="Vertical Veins","Vertical","none"))</f>
        <v>Branches</v>
      </c>
      <c r="Q181" s="152">
        <f>SQRT($L181)*$N181</f>
        <v>1.3241694217637887</v>
      </c>
      <c r="R181" s="152">
        <f>IF($M181="Motherlode",(($O181*SQRT($L181))^(1/2))^(1/3),"none")</f>
        <v>1.0479098577103139</v>
      </c>
      <c r="S181" s="152">
        <f>IF($P181="Branches",SQRT($L181)^(1/2),IF($P181="Vertical","default",$P181))</f>
        <v>1.1507256066342613</v>
      </c>
      <c r="T181" s="153">
        <f>IF($P181="Branches",SQRT(SQRT($L181))^(1/2),IF($P181="Vertical",SQRT($L181)^(1/2),"none"))</f>
        <v>1.0727187919647261</v>
      </c>
      <c r="U181" s="77">
        <f>$G181/VLOOKUP($F181,Ore_Density[],2,FALSE)/Vanilla_COG_Divisor</f>
        <v>2.2857142857142856</v>
      </c>
      <c r="V181" s="158">
        <f>SQRT($U181)</f>
        <v>1.5118578920369088</v>
      </c>
      <c r="W181" s="147">
        <f>SQRT(SQRT($U181))</f>
        <v>1.2295763059025286</v>
      </c>
      <c r="X181" s="70">
        <f>$Y181+$AB181</f>
        <v>30</v>
      </c>
      <c r="Y181" s="71">
        <f>($AC181-$AB181)/2</f>
        <v>30</v>
      </c>
      <c r="Z181" s="71">
        <f>$AA181+$AB181</f>
        <v>30</v>
      </c>
      <c r="AA181" s="72">
        <f>($AG181-$AB181)/2</f>
        <v>30</v>
      </c>
      <c r="AB181" s="128">
        <v>0</v>
      </c>
      <c r="AC181" s="128">
        <v>60</v>
      </c>
      <c r="AD181" s="128"/>
      <c r="AE181" s="71">
        <f>IF($AD181="No",0,IF($AJ181="overworld",IF($X181&lt;64,64+($X181*3),0),0))</f>
        <v>154</v>
      </c>
      <c r="AF181" s="71">
        <f>IF($AD181="No",0,IF($AJ181="Overworld",IF($X181&lt;64,($Y181*3),0),0))</f>
        <v>90</v>
      </c>
      <c r="AG181" s="32">
        <f>IF($AC181&gt;64,64+(($AC181-64)*2.9),$AC181)</f>
        <v>60</v>
      </c>
      <c r="AH181" s="41" t="s">
        <v>582</v>
      </c>
      <c r="AI181" s="42"/>
      <c r="AJ181" s="131" t="s">
        <v>53</v>
      </c>
      <c r="AK181" s="20" t="str">
        <f>IF($X181&gt;64,"uniform",IF($AJ181="Overworld","normal","uniform"))</f>
        <v>normal</v>
      </c>
      <c r="AL181" s="111" t="s">
        <v>583</v>
      </c>
      <c r="AM181" s="110" t="s">
        <v>64</v>
      </c>
      <c r="AN181" s="117"/>
      <c r="AO181" s="118" t="s">
        <v>56</v>
      </c>
      <c r="AP181" s="46"/>
    </row>
    <row r="182" spans="1:42" s="7" customFormat="1" ht="13.5">
      <c r="A182" s="31" t="s">
        <v>579</v>
      </c>
      <c r="B182" s="18"/>
      <c r="C182" s="105" t="s">
        <v>188</v>
      </c>
      <c r="D182" s="97" t="s">
        <v>59</v>
      </c>
      <c r="E182" s="98" t="s">
        <v>66</v>
      </c>
      <c r="F182" s="99" t="s">
        <v>61</v>
      </c>
      <c r="G182" s="37">
        <f>$H182*$I182/2</f>
        <v>15</v>
      </c>
      <c r="H182" s="123">
        <v>5</v>
      </c>
      <c r="I182" s="124">
        <v>6</v>
      </c>
      <c r="J182" s="146">
        <f>$H182/2</f>
        <v>2.5</v>
      </c>
      <c r="K182" s="147">
        <f>$I182/2</f>
        <v>3</v>
      </c>
      <c r="L182" s="77">
        <f>$G182/VLOOKUP($E182,Ore_Density[],2,FALSE)/Vanilla_COG_Divisor</f>
        <v>0.9393346379647749</v>
      </c>
      <c r="M182" s="82" t="str">
        <f>IF(OR($E182="Layered Veins",$E182="Small Deposits",$E182="Geode"),"Motherlode",IF(OR($E182="Pipe Veins",$E182="Sparse Veins",$E182="Vertical Veins"),"No","ERROR"))</f>
        <v>Motherlode</v>
      </c>
      <c r="N182" s="86">
        <v>1</v>
      </c>
      <c r="O182" s="86">
        <v>1</v>
      </c>
      <c r="P182" s="82" t="str">
        <f>IF(OR($E182="Layered Veins",$E182="Pipe Veins",$E182="Sparse Veins"),"Branches",IF($E182="Vertical Veins","Vertical","none"))</f>
        <v>Branches</v>
      </c>
      <c r="Q182" s="152">
        <f>SQRT($L182)*$N182</f>
        <v>0.96919277647162383</v>
      </c>
      <c r="R182" s="152">
        <f>IF($M182="Motherlode",(($O182*SQRT($L182))^(1/2))^(1/3),"none")</f>
        <v>0.99479828549127336</v>
      </c>
      <c r="S182" s="152">
        <f>IF($P182="Branches",SQRT($L182)^(1/2),IF($P182="Vertical","default",$P182))</f>
        <v>0.98447588922818408</v>
      </c>
      <c r="T182" s="153">
        <f>IF($P182="Branches",SQRT(SQRT($L182))^(1/2),IF($P182="Vertical",SQRT($L182)^(1/2),"none"))</f>
        <v>0.99220758373849571</v>
      </c>
      <c r="U182" s="77">
        <f>$G182/VLOOKUP($F182,Ore_Density[],2,FALSE)/Vanilla_COG_Divisor</f>
        <v>1.2244897959183674</v>
      </c>
      <c r="V182" s="158">
        <f>SQRT($U182)</f>
        <v>1.1065666703449764</v>
      </c>
      <c r="W182" s="147">
        <f>SQRT(SQRT($U182))</f>
        <v>1.0519347272264454</v>
      </c>
      <c r="X182" s="70">
        <f>$Y182+$AB182</f>
        <v>20</v>
      </c>
      <c r="Y182" s="71">
        <f>($AC182-$AB182)/2</f>
        <v>20</v>
      </c>
      <c r="Z182" s="71">
        <f>$AA182+$AB182</f>
        <v>20</v>
      </c>
      <c r="AA182" s="72">
        <f>($AG182-$AB182)/2</f>
        <v>20</v>
      </c>
      <c r="AB182" s="128">
        <v>0</v>
      </c>
      <c r="AC182" s="128">
        <v>40</v>
      </c>
      <c r="AD182" s="128"/>
      <c r="AE182" s="71">
        <f>IF($AD182="No",0,IF($AJ182="overworld",IF($X182&lt;64,64+($X182*3),0),0))</f>
        <v>124</v>
      </c>
      <c r="AF182" s="71">
        <f>IF($AD182="No",0,IF($AJ182="Overworld",IF($X182&lt;64,($Y182*3),0),0))</f>
        <v>60</v>
      </c>
      <c r="AG182" s="32">
        <f>IF($AC182&gt;64,64+(($AC182-64)*2.9),$AC182)</f>
        <v>40</v>
      </c>
      <c r="AH182" s="41" t="s">
        <v>586</v>
      </c>
      <c r="AI182" s="42"/>
      <c r="AJ182" s="131" t="s">
        <v>53</v>
      </c>
      <c r="AK182" s="20" t="str">
        <f>IF($X182&gt;64,"uniform",IF($AJ182="Overworld","normal","uniform"))</f>
        <v>normal</v>
      </c>
      <c r="AL182" s="111" t="s">
        <v>587</v>
      </c>
      <c r="AM182" s="110" t="s">
        <v>64</v>
      </c>
      <c r="AN182" s="117"/>
      <c r="AO182" s="118" t="s">
        <v>56</v>
      </c>
      <c r="AP182" s="46"/>
    </row>
    <row r="183" spans="1:42" s="7" customFormat="1" ht="13.5">
      <c r="A183" s="31" t="s">
        <v>579</v>
      </c>
      <c r="B183" s="18"/>
      <c r="C183" s="105" t="s">
        <v>593</v>
      </c>
      <c r="D183" s="97" t="s">
        <v>59</v>
      </c>
      <c r="E183" s="98" t="s">
        <v>60</v>
      </c>
      <c r="F183" s="99" t="s">
        <v>61</v>
      </c>
      <c r="G183" s="37">
        <f>$H183*$I183/2</f>
        <v>6</v>
      </c>
      <c r="H183" s="123">
        <v>4</v>
      </c>
      <c r="I183" s="124">
        <v>3</v>
      </c>
      <c r="J183" s="146">
        <f>$H183/2</f>
        <v>2</v>
      </c>
      <c r="K183" s="147">
        <f>$I183/2</f>
        <v>1.5</v>
      </c>
      <c r="L183" s="77">
        <f>$G183/VLOOKUP($E183,Ore_Density[],2,FALSE)/Vanilla_COG_Divisor</f>
        <v>2.2513328903810854</v>
      </c>
      <c r="M183" s="82" t="str">
        <f>IF(OR($E183="Layered Veins",$E183="Small Deposits",$E183="Geode"),"Motherlode",IF(OR($E183="Pipe Veins",$E183="Sparse Veins",$E183="Vertical Veins"),"No","ERROR"))</f>
        <v>No</v>
      </c>
      <c r="N183" s="86">
        <v>1</v>
      </c>
      <c r="O183" s="86">
        <v>1</v>
      </c>
      <c r="P183" s="82" t="str">
        <f>IF(OR($E183="Layered Veins",$E183="Pipe Veins",$E183="Sparse Veins"),"Branches",IF($E183="Vertical Veins","Vertical","none"))</f>
        <v>Branches</v>
      </c>
      <c r="Q183" s="152">
        <f>SQRT($L183)*$N183</f>
        <v>1.5004442310132975</v>
      </c>
      <c r="R183" s="152" t="str">
        <f>IF($M183="Motherlode",(($O183*SQRT($L183))^(1/2))^(1/3),"none")</f>
        <v>none</v>
      </c>
      <c r="S183" s="152">
        <f>IF($P183="Branches",SQRT($L183)^(1/2),IF($P183="Vertical","default",$P183))</f>
        <v>1.2249262145179591</v>
      </c>
      <c r="T183" s="153">
        <f>IF($P183="Branches",SQRT(SQRT($L183))^(1/2),IF($P183="Vertical",SQRT($L183)^(1/2),"none"))</f>
        <v>1.1067638476739106</v>
      </c>
      <c r="U183" s="77">
        <f>$G183/VLOOKUP($F183,Ore_Density[],2,FALSE)/Vanilla_COG_Divisor</f>
        <v>0.48979591836734693</v>
      </c>
      <c r="V183" s="158">
        <f>SQRT($U183)</f>
        <v>0.6998542122237652</v>
      </c>
      <c r="W183" s="147">
        <f>SQRT(SQRT($U183))</f>
        <v>0.83657289713674399</v>
      </c>
      <c r="X183" s="70">
        <f>$Y183+$AB183</f>
        <v>12.5</v>
      </c>
      <c r="Y183" s="71">
        <f>($AC183-$AB183)/2</f>
        <v>12.5</v>
      </c>
      <c r="Z183" s="71">
        <f>$AA183+$AB183</f>
        <v>12.5</v>
      </c>
      <c r="AA183" s="72">
        <f>($AG183-$AB183)/2</f>
        <v>12.5</v>
      </c>
      <c r="AB183" s="128">
        <v>0</v>
      </c>
      <c r="AC183" s="128">
        <v>25</v>
      </c>
      <c r="AD183" s="128"/>
      <c r="AE183" s="71">
        <f>IF($AD183="No",0,IF($AJ183="overworld",IF($X183&lt;64,64+($X183*3),0),0))</f>
        <v>101.5</v>
      </c>
      <c r="AF183" s="71">
        <f>IF($AD183="No",0,IF($AJ183="Overworld",IF($X183&lt;64,($Y183*3),0),0))</f>
        <v>37.5</v>
      </c>
      <c r="AG183" s="32">
        <f>IF($AC183&gt;64,64+(($AC183-64)*2.9),$AC183)</f>
        <v>25</v>
      </c>
      <c r="AH183" s="41" t="s">
        <v>594</v>
      </c>
      <c r="AI183" s="42"/>
      <c r="AJ183" s="131" t="s">
        <v>53</v>
      </c>
      <c r="AK183" s="20" t="str">
        <f>IF($X183&gt;64,"uniform",IF($AJ183="Overworld","normal","uniform"))</f>
        <v>normal</v>
      </c>
      <c r="AL183" s="109" t="s">
        <v>595</v>
      </c>
      <c r="AM183" s="110" t="s">
        <v>64</v>
      </c>
      <c r="AN183" s="117"/>
      <c r="AO183" s="118" t="s">
        <v>56</v>
      </c>
      <c r="AP183" s="46"/>
    </row>
    <row r="184" spans="1:42" s="7" customFormat="1" ht="13.5">
      <c r="A184" s="31" t="s">
        <v>579</v>
      </c>
      <c r="B184" s="18"/>
      <c r="C184" s="105" t="s">
        <v>590</v>
      </c>
      <c r="D184" s="97" t="s">
        <v>59</v>
      </c>
      <c r="E184" s="98" t="s">
        <v>60</v>
      </c>
      <c r="F184" s="99" t="s">
        <v>61</v>
      </c>
      <c r="G184" s="37">
        <f>$H184*$I184/2</f>
        <v>7.5</v>
      </c>
      <c r="H184" s="123">
        <v>5</v>
      </c>
      <c r="I184" s="124">
        <v>3</v>
      </c>
      <c r="J184" s="146">
        <f>$H184/2</f>
        <v>2.5</v>
      </c>
      <c r="K184" s="147">
        <f>$I184/2</f>
        <v>1.5</v>
      </c>
      <c r="L184" s="77">
        <f>$G184/VLOOKUP($E184,Ore_Density[],2,FALSE)/Vanilla_COG_Divisor</f>
        <v>2.8141661129763569</v>
      </c>
      <c r="M184" s="82" t="str">
        <f>IF(OR($E184="Layered Veins",$E184="Small Deposits",$E184="Geode"),"Motherlode",IF(OR($E184="Pipe Veins",$E184="Sparse Veins",$E184="Vertical Veins"),"No","ERROR"))</f>
        <v>No</v>
      </c>
      <c r="N184" s="86">
        <v>1</v>
      </c>
      <c r="O184" s="86">
        <v>1</v>
      </c>
      <c r="P184" s="82" t="str">
        <f>IF(OR($E184="Layered Veins",$E184="Pipe Veins",$E184="Sparse Veins"),"Branches",IF($E184="Vertical Veins","Vertical","none"))</f>
        <v>Branches</v>
      </c>
      <c r="Q184" s="152">
        <f>SQRT($L184)*$N184</f>
        <v>1.6775476484965657</v>
      </c>
      <c r="R184" s="152" t="str">
        <f>IF($M184="Motherlode",(($O184*SQRT($L184))^(1/2))^(1/3),"none")</f>
        <v>none</v>
      </c>
      <c r="S184" s="152">
        <f>IF($P184="Branches",SQRT($L184)^(1/2),IF($P184="Vertical","default",$P184))</f>
        <v>1.2952017790663219</v>
      </c>
      <c r="T184" s="153">
        <f>IF($P184="Branches",SQRT(SQRT($L184))^(1/2),IF($P184="Vertical",SQRT($L184)^(1/2),"none"))</f>
        <v>1.1380693208527861</v>
      </c>
      <c r="U184" s="77">
        <f>$G184/VLOOKUP($F184,Ore_Density[],2,FALSE)/Vanilla_COG_Divisor</f>
        <v>0.61224489795918369</v>
      </c>
      <c r="V184" s="158">
        <f>SQRT($U184)</f>
        <v>0.78246079643595157</v>
      </c>
      <c r="W184" s="147">
        <f>SQRT(SQRT($U184))</f>
        <v>0.884568141205612</v>
      </c>
      <c r="X184" s="70">
        <f>$Y184+$AB184</f>
        <v>64</v>
      </c>
      <c r="Y184" s="71">
        <f>($AC184-$AB184)/2</f>
        <v>64</v>
      </c>
      <c r="Z184" s="71">
        <f>$AA184+$AB184</f>
        <v>124.8</v>
      </c>
      <c r="AA184" s="72">
        <f>($AG184-$AB184)/2</f>
        <v>124.8</v>
      </c>
      <c r="AB184" s="128">
        <v>0</v>
      </c>
      <c r="AC184" s="128">
        <v>128</v>
      </c>
      <c r="AD184" s="128"/>
      <c r="AE184" s="71">
        <f>IF($AD184="No",0,IF($AJ184="overworld",IF($X184&lt;64,64+($X184*3),0),0))</f>
        <v>0</v>
      </c>
      <c r="AF184" s="71">
        <f>IF($AD184="No",0,IF($AJ184="Overworld",IF($X184&lt;64,($Y184*3),0),0))</f>
        <v>0</v>
      </c>
      <c r="AG184" s="32">
        <f>IF($AC184&gt;64,64+(($AC184-64)*2.9),$AC184)</f>
        <v>249.6</v>
      </c>
      <c r="AH184" s="41" t="s">
        <v>591</v>
      </c>
      <c r="AI184" s="42"/>
      <c r="AJ184" s="131" t="s">
        <v>96</v>
      </c>
      <c r="AK184" s="20" t="str">
        <f>IF($X184&gt;64,"uniform",IF($AJ184="Overworld","normal","uniform"))</f>
        <v>uniform</v>
      </c>
      <c r="AL184" s="109" t="s">
        <v>592</v>
      </c>
      <c r="AM184" s="110" t="s">
        <v>98</v>
      </c>
      <c r="AN184" s="117"/>
      <c r="AO184" s="118" t="s">
        <v>56</v>
      </c>
      <c r="AP184" s="46"/>
    </row>
    <row r="185" spans="1:42" s="7" customFormat="1" ht="13.5">
      <c r="A185" s="31" t="s">
        <v>579</v>
      </c>
      <c r="B185" s="18"/>
      <c r="C185" s="105" t="s">
        <v>173</v>
      </c>
      <c r="D185" s="97" t="s">
        <v>59</v>
      </c>
      <c r="E185" s="98" t="s">
        <v>66</v>
      </c>
      <c r="F185" s="99" t="s">
        <v>61</v>
      </c>
      <c r="G185" s="37">
        <f>$H185*$I185/2</f>
        <v>12.5</v>
      </c>
      <c r="H185" s="123">
        <v>5</v>
      </c>
      <c r="I185" s="124">
        <v>5</v>
      </c>
      <c r="J185" s="146">
        <f>$H185/2</f>
        <v>2.5</v>
      </c>
      <c r="K185" s="147">
        <f>$I185/2</f>
        <v>2.5</v>
      </c>
      <c r="L185" s="77">
        <f>$G185/VLOOKUP($E185,Ore_Density[],2,FALSE)/Vanilla_COG_Divisor</f>
        <v>0.78277886497064575</v>
      </c>
      <c r="M185" s="82" t="str">
        <f>IF(OR($E185="Layered Veins",$E185="Small Deposits",$E185="Geode"),"Motherlode",IF(OR($E185="Pipe Veins",$E185="Sparse Veins",$E185="Vertical Veins"),"No","ERROR"))</f>
        <v>Motherlode</v>
      </c>
      <c r="N185" s="86">
        <v>1</v>
      </c>
      <c r="O185" s="86">
        <v>1</v>
      </c>
      <c r="P185" s="82" t="str">
        <f>IF(OR($E185="Layered Veins",$E185="Pipe Veins",$E185="Sparse Veins"),"Branches",IF($E185="Vertical Veins","Vertical","none"))</f>
        <v>Branches</v>
      </c>
      <c r="Q185" s="152">
        <f>SQRT($L185)*$N185</f>
        <v>0.88474791040761758</v>
      </c>
      <c r="R185" s="152">
        <f>IF($M185="Motherlode",(($O185*SQRT($L185))^(1/2))^(1/3),"none")</f>
        <v>0.97979809545323915</v>
      </c>
      <c r="S185" s="152">
        <f>IF($P185="Branches",SQRT($L185)^(1/2),IF($P185="Vertical","default",$P185))</f>
        <v>0.94061039246205314</v>
      </c>
      <c r="T185" s="153">
        <f>IF($P185="Branches",SQRT(SQRT($L185))^(1/2),IF($P185="Vertical",SQRT($L185)^(1/2),"none"))</f>
        <v>0.96985070627496739</v>
      </c>
      <c r="U185" s="77">
        <f>$G185/VLOOKUP($F185,Ore_Density[],2,FALSE)/Vanilla_COG_Divisor</f>
        <v>1.0204081632653061</v>
      </c>
      <c r="V185" s="158">
        <f>SQRT($U185)</f>
        <v>1.0101525445522108</v>
      </c>
      <c r="W185" s="147">
        <f>SQRT(SQRT($U185))</f>
        <v>1.0050634529979741</v>
      </c>
      <c r="X185" s="70">
        <f>$Y185+$AB185</f>
        <v>20</v>
      </c>
      <c r="Y185" s="71">
        <f>($AC185-$AB185)/2</f>
        <v>20</v>
      </c>
      <c r="Z185" s="71">
        <f>$AA185+$AB185</f>
        <v>20</v>
      </c>
      <c r="AA185" s="72">
        <f>($AG185-$AB185)/2</f>
        <v>20</v>
      </c>
      <c r="AB185" s="128">
        <v>0</v>
      </c>
      <c r="AC185" s="128">
        <v>40</v>
      </c>
      <c r="AD185" s="128"/>
      <c r="AE185" s="71">
        <f>IF($AD185="No",0,IF($AJ185="overworld",IF($X185&lt;64,64+($X185*3),0),0))</f>
        <v>124</v>
      </c>
      <c r="AF185" s="71">
        <f>IF($AD185="No",0,IF($AJ185="Overworld",IF($X185&lt;64,($Y185*3),0),0))</f>
        <v>60</v>
      </c>
      <c r="AG185" s="32">
        <f>IF($AC185&gt;64,64+(($AC185-64)*2.9),$AC185)</f>
        <v>40</v>
      </c>
      <c r="AH185" s="41" t="s">
        <v>588</v>
      </c>
      <c r="AI185" s="42"/>
      <c r="AJ185" s="131" t="s">
        <v>53</v>
      </c>
      <c r="AK185" s="20" t="str">
        <f>IF($X185&gt;64,"uniform",IF($AJ185="Overworld","normal","uniform"))</f>
        <v>normal</v>
      </c>
      <c r="AL185" s="111" t="s">
        <v>589</v>
      </c>
      <c r="AM185" s="110" t="s">
        <v>64</v>
      </c>
      <c r="AN185" s="117"/>
      <c r="AO185" s="118" t="s">
        <v>56</v>
      </c>
      <c r="AP185" s="46"/>
    </row>
    <row r="186" spans="1:42" s="7" customFormat="1" ht="13.5">
      <c r="A186" s="31" t="s">
        <v>579</v>
      </c>
      <c r="B186" s="18"/>
      <c r="C186" s="105" t="s">
        <v>357</v>
      </c>
      <c r="D186" s="97" t="s">
        <v>59</v>
      </c>
      <c r="E186" s="98" t="s">
        <v>60</v>
      </c>
      <c r="F186" s="99" t="s">
        <v>61</v>
      </c>
      <c r="G186" s="37">
        <f>$H186*$I186/2</f>
        <v>10</v>
      </c>
      <c r="H186" s="123">
        <v>5</v>
      </c>
      <c r="I186" s="124">
        <v>4</v>
      </c>
      <c r="J186" s="146">
        <f>$H186/2</f>
        <v>2.5</v>
      </c>
      <c r="K186" s="147">
        <f>$I186/2</f>
        <v>2</v>
      </c>
      <c r="L186" s="77">
        <f>$G186/VLOOKUP($E186,Ore_Density[],2,FALSE)/Vanilla_COG_Divisor</f>
        <v>3.752221483968476</v>
      </c>
      <c r="M186" s="82" t="str">
        <f>IF(OR($E186="Layered Veins",$E186="Small Deposits",$E186="Geode"),"Motherlode",IF(OR($E186="Pipe Veins",$E186="Sparse Veins",$E186="Vertical Veins"),"No","ERROR"))</f>
        <v>No</v>
      </c>
      <c r="N186" s="86">
        <v>1</v>
      </c>
      <c r="O186" s="86">
        <v>1</v>
      </c>
      <c r="P186" s="82" t="str">
        <f>IF(OR($E186="Layered Veins",$E186="Pipe Veins",$E186="Sparse Veins"),"Branches",IF($E186="Vertical Veins","Vertical","none"))</f>
        <v>Branches</v>
      </c>
      <c r="Q186" s="152">
        <f>SQRT($L186)*$N186</f>
        <v>1.9370651728758317</v>
      </c>
      <c r="R186" s="152" t="str">
        <f>IF($M186="Motherlode",(($O186*SQRT($L186))^(1/2))^(1/3),"none")</f>
        <v>none</v>
      </c>
      <c r="S186" s="152">
        <f>IF($P186="Branches",SQRT($L186)^(1/2),IF($P186="Vertical","default",$P186))</f>
        <v>1.3917848874290277</v>
      </c>
      <c r="T186" s="153">
        <f>IF($P186="Branches",SQRT(SQRT($L186))^(1/2),IF($P186="Vertical",SQRT($L186)^(1/2),"none"))</f>
        <v>1.179739330288275</v>
      </c>
      <c r="U186" s="77">
        <f>$G186/VLOOKUP($F186,Ore_Density[],2,FALSE)/Vanilla_COG_Divisor</f>
        <v>0.81632653061224492</v>
      </c>
      <c r="V186" s="158">
        <f>SQRT($U186)</f>
        <v>0.90350790290525129</v>
      </c>
      <c r="W186" s="147">
        <f>SQRT(SQRT($U186))</f>
        <v>0.95053032718859176</v>
      </c>
      <c r="X186" s="70">
        <f>$Y186+$AB186</f>
        <v>20</v>
      </c>
      <c r="Y186" s="71">
        <f>($AC186-$AB186)/2</f>
        <v>20</v>
      </c>
      <c r="Z186" s="71">
        <f>$AA186+$AB186</f>
        <v>20</v>
      </c>
      <c r="AA186" s="72">
        <f>($AG186-$AB186)/2</f>
        <v>20</v>
      </c>
      <c r="AB186" s="128">
        <v>0</v>
      </c>
      <c r="AC186" s="128">
        <v>40</v>
      </c>
      <c r="AD186" s="128"/>
      <c r="AE186" s="71">
        <f>IF($AD186="No",0,IF($AJ186="overworld",IF($X186&lt;64,64+($X186*3),0),0))</f>
        <v>124</v>
      </c>
      <c r="AF186" s="71">
        <f>IF($AD186="No",0,IF($AJ186="Overworld",IF($X186&lt;64,($Y186*3),0),0))</f>
        <v>60</v>
      </c>
      <c r="AG186" s="32">
        <f>IF($AC186&gt;64,64+(($AC186-64)*2.9),$AC186)</f>
        <v>40</v>
      </c>
      <c r="AH186" s="41" t="s">
        <v>599</v>
      </c>
      <c r="AI186" s="42"/>
      <c r="AJ186" s="131" t="s">
        <v>53</v>
      </c>
      <c r="AK186" s="20" t="str">
        <f>IF($X186&gt;64,"uniform",IF($AJ186="Overworld","normal","uniform"))</f>
        <v>normal</v>
      </c>
      <c r="AL186" s="109" t="s">
        <v>600</v>
      </c>
      <c r="AM186" s="110" t="s">
        <v>64</v>
      </c>
      <c r="AN186" s="117"/>
      <c r="AO186" s="118" t="s">
        <v>56</v>
      </c>
      <c r="AP186" s="46"/>
    </row>
    <row r="187" spans="1:42" s="7" customFormat="1" ht="13.5">
      <c r="A187" s="31" t="s">
        <v>579</v>
      </c>
      <c r="B187" s="18"/>
      <c r="C187" s="105" t="s">
        <v>179</v>
      </c>
      <c r="D187" s="97" t="s">
        <v>59</v>
      </c>
      <c r="E187" s="98" t="s">
        <v>66</v>
      </c>
      <c r="F187" s="99" t="s">
        <v>61</v>
      </c>
      <c r="G187" s="37">
        <f>$H187*$I187/2</f>
        <v>24</v>
      </c>
      <c r="H187" s="123">
        <v>8</v>
      </c>
      <c r="I187" s="124">
        <v>6</v>
      </c>
      <c r="J187" s="146">
        <f>$H187/2</f>
        <v>4</v>
      </c>
      <c r="K187" s="147">
        <f>$I187/2</f>
        <v>3</v>
      </c>
      <c r="L187" s="77">
        <f>$G187/VLOOKUP($E187,Ore_Density[],2,FALSE)/Vanilla_COG_Divisor</f>
        <v>1.5029354207436398</v>
      </c>
      <c r="M187" s="82" t="str">
        <f>IF(OR($E187="Layered Veins",$E187="Small Deposits",$E187="Geode"),"Motherlode",IF(OR($E187="Pipe Veins",$E187="Sparse Veins",$E187="Vertical Veins"),"No","ERROR"))</f>
        <v>Motherlode</v>
      </c>
      <c r="N187" s="86">
        <v>1</v>
      </c>
      <c r="O187" s="86">
        <v>1</v>
      </c>
      <c r="P187" s="82" t="str">
        <f>IF(OR($E187="Layered Veins",$E187="Pipe Veins",$E187="Sparse Veins"),"Branches",IF($E187="Vertical Veins","Vertical","none"))</f>
        <v>Branches</v>
      </c>
      <c r="Q187" s="152">
        <f>SQRT($L187)*$N187</f>
        <v>1.2259426661731125</v>
      </c>
      <c r="R187" s="152">
        <f>IF($M187="Motherlode",(($O187*SQRT($L187))^(1/2))^(1/3),"none")</f>
        <v>1.0345346153372657</v>
      </c>
      <c r="S187" s="152">
        <f>IF($P187="Branches",SQRT($L187)^(1/2),IF($P187="Vertical","default",$P187))</f>
        <v>1.1072229523330486</v>
      </c>
      <c r="T187" s="153">
        <f>IF($P187="Branches",SQRT(SQRT($L187))^(1/2),IF($P187="Vertical",SQRT($L187)^(1/2),"none"))</f>
        <v>1.0522466214405484</v>
      </c>
      <c r="U187" s="77">
        <f>$G187/VLOOKUP($F187,Ore_Density[],2,FALSE)/Vanilla_COG_Divisor</f>
        <v>1.9591836734693877</v>
      </c>
      <c r="V187" s="158">
        <f>SQRT($U187)</f>
        <v>1.3997084244475304</v>
      </c>
      <c r="W187" s="147">
        <f>SQRT(SQRT($U187))</f>
        <v>1.1830927370445354</v>
      </c>
      <c r="X187" s="70">
        <f>$Y187+$AB187</f>
        <v>30</v>
      </c>
      <c r="Y187" s="71">
        <f>($AC187-$AB187)/2</f>
        <v>30</v>
      </c>
      <c r="Z187" s="71">
        <f>$AA187+$AB187</f>
        <v>30</v>
      </c>
      <c r="AA187" s="72">
        <f>($AG187-$AB187)/2</f>
        <v>30</v>
      </c>
      <c r="AB187" s="128">
        <v>0</v>
      </c>
      <c r="AC187" s="128">
        <v>60</v>
      </c>
      <c r="AD187" s="128"/>
      <c r="AE187" s="71">
        <f>IF($AD187="No",0,IF($AJ187="overworld",IF($X187&lt;64,64+($X187*3),0),0))</f>
        <v>154</v>
      </c>
      <c r="AF187" s="71">
        <f>IF($AD187="No",0,IF($AJ187="Overworld",IF($X187&lt;64,($Y187*3),0),0))</f>
        <v>90</v>
      </c>
      <c r="AG187" s="32">
        <f>IF($AC187&gt;64,64+(($AC187-64)*2.9),$AC187)</f>
        <v>60</v>
      </c>
      <c r="AH187" s="41" t="s">
        <v>584</v>
      </c>
      <c r="AI187" s="42"/>
      <c r="AJ187" s="131" t="s">
        <v>53</v>
      </c>
      <c r="AK187" s="20" t="str">
        <f>IF($X187&gt;64,"uniform",IF($AJ187="Overworld","normal","uniform"))</f>
        <v>normal</v>
      </c>
      <c r="AL187" s="111" t="s">
        <v>585</v>
      </c>
      <c r="AM187" s="110" t="s">
        <v>64</v>
      </c>
      <c r="AN187" s="117"/>
      <c r="AO187" s="118" t="s">
        <v>56</v>
      </c>
      <c r="AP187" s="46"/>
    </row>
    <row r="188" spans="1:42" s="7" customFormat="1" ht="13.5">
      <c r="A188" s="31" t="s">
        <v>579</v>
      </c>
      <c r="B188" s="18"/>
      <c r="C188" s="105" t="s">
        <v>340</v>
      </c>
      <c r="D188" s="97" t="s">
        <v>59</v>
      </c>
      <c r="E188" s="98" t="s">
        <v>60</v>
      </c>
      <c r="F188" s="99" t="s">
        <v>61</v>
      </c>
      <c r="G188" s="37">
        <f>$H188*$I188/2</f>
        <v>10</v>
      </c>
      <c r="H188" s="123">
        <v>5</v>
      </c>
      <c r="I188" s="124">
        <v>4</v>
      </c>
      <c r="J188" s="146">
        <f>$H188/2</f>
        <v>2.5</v>
      </c>
      <c r="K188" s="147">
        <f>$I188/2</f>
        <v>2</v>
      </c>
      <c r="L188" s="77">
        <f>$G188/VLOOKUP($E188,Ore_Density[],2,FALSE)/Vanilla_COG_Divisor</f>
        <v>3.752221483968476</v>
      </c>
      <c r="M188" s="82" t="str">
        <f>IF(OR($E188="Layered Veins",$E188="Small Deposits",$E188="Geode"),"Motherlode",IF(OR($E188="Pipe Veins",$E188="Sparse Veins",$E188="Vertical Veins"),"No","ERROR"))</f>
        <v>No</v>
      </c>
      <c r="N188" s="86">
        <v>1</v>
      </c>
      <c r="O188" s="86">
        <v>1</v>
      </c>
      <c r="P188" s="82" t="str">
        <f>IF(OR($E188="Layered Veins",$E188="Pipe Veins",$E188="Sparse Veins"),"Branches",IF($E188="Vertical Veins","Vertical","none"))</f>
        <v>Branches</v>
      </c>
      <c r="Q188" s="152">
        <f>SQRT($L188)*$N188</f>
        <v>1.9370651728758317</v>
      </c>
      <c r="R188" s="152" t="str">
        <f>IF($M188="Motherlode",(($O188*SQRT($L188))^(1/2))^(1/3),"none")</f>
        <v>none</v>
      </c>
      <c r="S188" s="152">
        <f>IF($P188="Branches",SQRT($L188)^(1/2),IF($P188="Vertical","default",$P188))</f>
        <v>1.3917848874290277</v>
      </c>
      <c r="T188" s="153">
        <f>IF($P188="Branches",SQRT(SQRT($L188))^(1/2),IF($P188="Vertical",SQRT($L188)^(1/2),"none"))</f>
        <v>1.179739330288275</v>
      </c>
      <c r="U188" s="77">
        <f>$G188/VLOOKUP($F188,Ore_Density[],2,FALSE)/Vanilla_COG_Divisor</f>
        <v>0.81632653061224492</v>
      </c>
      <c r="V188" s="158">
        <f>SQRT($U188)</f>
        <v>0.90350790290525129</v>
      </c>
      <c r="W188" s="147">
        <f>SQRT(SQRT($U188))</f>
        <v>0.95053032718859176</v>
      </c>
      <c r="X188" s="70">
        <f>$Y188+$AB188</f>
        <v>20</v>
      </c>
      <c r="Y188" s="71">
        <f>($AC188-$AB188)/2</f>
        <v>20</v>
      </c>
      <c r="Z188" s="71">
        <f>$AA188+$AB188</f>
        <v>20</v>
      </c>
      <c r="AA188" s="72">
        <f>($AG188-$AB188)/2</f>
        <v>20</v>
      </c>
      <c r="AB188" s="128">
        <v>0</v>
      </c>
      <c r="AC188" s="128">
        <v>40</v>
      </c>
      <c r="AD188" s="128"/>
      <c r="AE188" s="71">
        <f>IF($AD188="No",0,IF($AJ188="overworld",IF($X188&lt;64,64+($X188*3),0),0))</f>
        <v>124</v>
      </c>
      <c r="AF188" s="71">
        <f>IF($AD188="No",0,IF($AJ188="Overworld",IF($X188&lt;64,($Y188*3),0),0))</f>
        <v>60</v>
      </c>
      <c r="AG188" s="32">
        <f>IF($AC188&gt;64,64+(($AC188-64)*2.9),$AC188)</f>
        <v>40</v>
      </c>
      <c r="AH188" s="41" t="s">
        <v>580</v>
      </c>
      <c r="AI188" s="42"/>
      <c r="AJ188" s="131" t="s">
        <v>53</v>
      </c>
      <c r="AK188" s="20" t="str">
        <f>IF($X188&gt;64,"uniform",IF($AJ188="Overworld","normal","uniform"))</f>
        <v>normal</v>
      </c>
      <c r="AL188" s="109" t="s">
        <v>581</v>
      </c>
      <c r="AM188" s="110" t="s">
        <v>64</v>
      </c>
      <c r="AN188" s="117"/>
      <c r="AO188" s="118" t="s">
        <v>56</v>
      </c>
      <c r="AP188" s="46"/>
    </row>
    <row r="189" spans="1:42" s="7" customFormat="1" ht="13.5">
      <c r="A189" s="31" t="s">
        <v>319</v>
      </c>
      <c r="B189" s="18"/>
      <c r="C189" s="105" t="s">
        <v>320</v>
      </c>
      <c r="D189" s="97" t="s">
        <v>59</v>
      </c>
      <c r="E189" s="98" t="s">
        <v>60</v>
      </c>
      <c r="F189" s="99" t="s">
        <v>61</v>
      </c>
      <c r="G189" s="37">
        <f>$H189*$I189/2</f>
        <v>75</v>
      </c>
      <c r="H189" s="123">
        <v>5</v>
      </c>
      <c r="I189" s="124">
        <v>30</v>
      </c>
      <c r="J189" s="146">
        <f>$H189/2</f>
        <v>2.5</v>
      </c>
      <c r="K189" s="147">
        <f>$I189/2</f>
        <v>15</v>
      </c>
      <c r="L189" s="77">
        <f>$G189/VLOOKUP($E189,Ore_Density[],2,FALSE)/Vanilla_COG_Divisor</f>
        <v>28.14166112976357</v>
      </c>
      <c r="M189" s="82" t="str">
        <f>IF(OR($E189="Layered Veins",$E189="Small Deposits",$E189="Geode"),"Motherlode",IF(OR($E189="Pipe Veins",$E189="Sparse Veins",$E189="Vertical Veins"),"No","ERROR"))</f>
        <v>No</v>
      </c>
      <c r="N189" s="86">
        <v>1</v>
      </c>
      <c r="O189" s="86">
        <v>1</v>
      </c>
      <c r="P189" s="82" t="str">
        <f>IF(OR($E189="Layered Veins",$E189="Pipe Veins",$E189="Sparse Veins"),"Branches",IF($E189="Vertical Veins","Vertical","none"))</f>
        <v>Branches</v>
      </c>
      <c r="Q189" s="152">
        <f>SQRT($L189)*$N189</f>
        <v>5.3048714527086869</v>
      </c>
      <c r="R189" s="152" t="str">
        <f>IF($M189="Motherlode",(($O189*SQRT($L189))^(1/2))^(1/3),"none")</f>
        <v>none</v>
      </c>
      <c r="S189" s="152">
        <f>IF($P189="Branches",SQRT($L189)^(1/2),IF($P189="Vertical","default",$P189))</f>
        <v>2.3032306555594224</v>
      </c>
      <c r="T189" s="153">
        <f>IF($P189="Branches",SQRT(SQRT($L189))^(1/2),IF($P189="Vertical",SQRT($L189)^(1/2),"none"))</f>
        <v>1.5176398306447489</v>
      </c>
      <c r="U189" s="77">
        <f>$G189/VLOOKUP($F189,Ore_Density[],2,FALSE)/Vanilla_COG_Divisor</f>
        <v>6.1224489795918364</v>
      </c>
      <c r="V189" s="158">
        <f>SQRT($U189)</f>
        <v>2.4743582965269675</v>
      </c>
      <c r="W189" s="147">
        <f>SQRT(SQRT($U189))</f>
        <v>1.5730093122823423</v>
      </c>
      <c r="X189" s="70">
        <f>$Y189+$AB189</f>
        <v>67</v>
      </c>
      <c r="Y189" s="71">
        <f>($AC189-$AB189)/2</f>
        <v>61</v>
      </c>
      <c r="Z189" s="71">
        <f>$AA189+$AB189</f>
        <v>127.8</v>
      </c>
      <c r="AA189" s="72">
        <f>($AG189-$AB189)/2</f>
        <v>121.8</v>
      </c>
      <c r="AB189" s="128">
        <v>6</v>
      </c>
      <c r="AC189" s="128">
        <v>128</v>
      </c>
      <c r="AD189" s="128"/>
      <c r="AE189" s="71">
        <f>IF($AD189="No",0,IF($AJ189="overworld",IF($X189&lt;64,64+($X189*3),0),0))</f>
        <v>0</v>
      </c>
      <c r="AF189" s="71">
        <f>IF($AD189="No",0,IF($AJ189="Overworld",IF($X189&lt;64,($Y189*3),0),0))</f>
        <v>0</v>
      </c>
      <c r="AG189" s="32">
        <f>IF($AC189&gt;64,64+(($AC189-64)*2.9),$AC189)</f>
        <v>249.6</v>
      </c>
      <c r="AH189" s="41" t="s">
        <v>321</v>
      </c>
      <c r="AI189" s="42"/>
      <c r="AJ189" s="131" t="s">
        <v>53</v>
      </c>
      <c r="AK189" s="20" t="str">
        <f>IF($X189&gt;64,"uniform",IF($AJ189="Overworld","normal","uniform"))</f>
        <v>uniform</v>
      </c>
      <c r="AL189" s="109" t="s">
        <v>322</v>
      </c>
      <c r="AM189" s="110" t="s">
        <v>64</v>
      </c>
      <c r="AN189" s="117"/>
      <c r="AO189" s="118" t="s">
        <v>56</v>
      </c>
      <c r="AP189" s="46"/>
    </row>
    <row r="190" spans="1:42" s="7" customFormat="1" ht="13.5">
      <c r="A190" s="31" t="s">
        <v>601</v>
      </c>
      <c r="B190" s="18"/>
      <c r="C190" s="105" t="s">
        <v>176</v>
      </c>
      <c r="D190" s="97" t="s">
        <v>59</v>
      </c>
      <c r="E190" s="98" t="s">
        <v>66</v>
      </c>
      <c r="F190" s="99" t="s">
        <v>61</v>
      </c>
      <c r="G190" s="37">
        <f>$H190*$I190/2</f>
        <v>32</v>
      </c>
      <c r="H190" s="123">
        <v>8</v>
      </c>
      <c r="I190" s="124">
        <v>8</v>
      </c>
      <c r="J190" s="146">
        <f>$H190/2</f>
        <v>4</v>
      </c>
      <c r="K190" s="147">
        <f>$I190/2</f>
        <v>4</v>
      </c>
      <c r="L190" s="77">
        <f>$G190/VLOOKUP($E190,Ore_Density[],2,FALSE)/Vanilla_COG_Divisor</f>
        <v>2.0039138943248531</v>
      </c>
      <c r="M190" s="82" t="str">
        <f>IF(OR($E190="Layered Veins",$E190="Small Deposits",$E190="Geode"),"Motherlode",IF(OR($E190="Pipe Veins",$E190="Sparse Veins",$E190="Vertical Veins"),"No","ERROR"))</f>
        <v>Motherlode</v>
      </c>
      <c r="N190" s="86">
        <v>1</v>
      </c>
      <c r="O190" s="86">
        <v>1</v>
      </c>
      <c r="P190" s="82" t="str">
        <f>IF(OR($E190="Layered Veins",$E190="Pipe Veins",$E190="Sparse Veins"),"Branches",IF($E190="Vertical Veins","Vertical","none"))</f>
        <v>Branches</v>
      </c>
      <c r="Q190" s="152">
        <f>SQRT($L190)*$N190</f>
        <v>1.4155966566521883</v>
      </c>
      <c r="R190" s="152">
        <f>IF($M190="Motherlode",(($O190*SQRT($L190))^(1/2))^(1/3),"none")</f>
        <v>1.0596357156920035</v>
      </c>
      <c r="S190" s="152">
        <f>IF($P190="Branches",SQRT($L190)^(1/2),IF($P190="Vertical","default",$P190))</f>
        <v>1.189788492401985</v>
      </c>
      <c r="T190" s="153">
        <f>IF($P190="Branches",SQRT(SQRT($L190))^(1/2),IF($P190="Vertical",SQRT($L190)^(1/2),"none"))</f>
        <v>1.0907742628069224</v>
      </c>
      <c r="U190" s="77">
        <f>$G190/VLOOKUP($F190,Ore_Density[],2,FALSE)/Vanilla_COG_Divisor</f>
        <v>2.6122448979591835</v>
      </c>
      <c r="V190" s="158">
        <f>SQRT($U190)</f>
        <v>1.6162440712835371</v>
      </c>
      <c r="W190" s="147">
        <f>SQRT(SQRT($U190))</f>
        <v>1.2713158817868739</v>
      </c>
      <c r="X190" s="70">
        <f>$Y190+$AB190</f>
        <v>35</v>
      </c>
      <c r="Y190" s="71">
        <f>($AC190-$AB190)/2</f>
        <v>29</v>
      </c>
      <c r="Z190" s="71">
        <f>$AA190+$AB190</f>
        <v>35</v>
      </c>
      <c r="AA190" s="72">
        <f>($AG190-$AB190)/2</f>
        <v>29</v>
      </c>
      <c r="AB190" s="128">
        <v>6</v>
      </c>
      <c r="AC190" s="128">
        <v>64</v>
      </c>
      <c r="AD190" s="128"/>
      <c r="AE190" s="71">
        <f>IF($AD190="No",0,IF($AJ190="overworld",IF($X190&lt;64,64+($X190*3),0),0))</f>
        <v>169</v>
      </c>
      <c r="AF190" s="71">
        <f>IF($AD190="No",0,IF($AJ190="Overworld",IF($X190&lt;64,($Y190*3),0),0))</f>
        <v>87</v>
      </c>
      <c r="AG190" s="32">
        <f>IF($AC190&gt;64,64+(($AC190-64)*2.9),$AC190)</f>
        <v>64</v>
      </c>
      <c r="AH190" s="41" t="s">
        <v>177</v>
      </c>
      <c r="AI190" s="42"/>
      <c r="AJ190" s="131" t="s">
        <v>53</v>
      </c>
      <c r="AK190" s="20" t="str">
        <f>IF($X190&gt;64,"uniform",IF($AJ190="Overworld","normal","uniform"))</f>
        <v>normal</v>
      </c>
      <c r="AL190" s="109" t="s">
        <v>611</v>
      </c>
      <c r="AM190" s="110" t="s">
        <v>64</v>
      </c>
      <c r="AN190" s="117"/>
      <c r="AO190" s="118" t="s">
        <v>56</v>
      </c>
      <c r="AP190" s="46"/>
    </row>
    <row r="191" spans="1:42" s="7" customFormat="1" ht="13.5">
      <c r="A191" s="31" t="s">
        <v>601</v>
      </c>
      <c r="B191" s="18"/>
      <c r="C191" s="105" t="s">
        <v>614</v>
      </c>
      <c r="D191" s="97" t="s">
        <v>59</v>
      </c>
      <c r="E191" s="98" t="s">
        <v>73</v>
      </c>
      <c r="F191" s="99" t="s">
        <v>61</v>
      </c>
      <c r="G191" s="37">
        <f>$H191*$I191/2</f>
        <v>8</v>
      </c>
      <c r="H191" s="123">
        <v>8</v>
      </c>
      <c r="I191" s="124">
        <v>2</v>
      </c>
      <c r="J191" s="146">
        <f>$H191/2</f>
        <v>4</v>
      </c>
      <c r="K191" s="147">
        <f>$I191/2</f>
        <v>1</v>
      </c>
      <c r="L191" s="77">
        <f>$G191/VLOOKUP($E191,Ore_Density[],2,FALSE)/Vanilla_COG_Divisor</f>
        <v>1.6534391534391533</v>
      </c>
      <c r="M191" s="82" t="str">
        <f>IF(OR($E191="Layered Veins",$E191="Small Deposits",$E191="Geode"),"Motherlode",IF(OR($E191="Pipe Veins",$E191="Sparse Veins",$E191="Vertical Veins"),"No","ERROR"))</f>
        <v>No</v>
      </c>
      <c r="N191" s="86">
        <v>1</v>
      </c>
      <c r="O191" s="86">
        <v>1</v>
      </c>
      <c r="P191" s="82" t="str">
        <f>IF(OR($E191="Layered Veins",$E191="Pipe Veins",$E191="Sparse Veins"),"Branches",IF($E191="Vertical Veins","Vertical","none"))</f>
        <v>Vertical</v>
      </c>
      <c r="Q191" s="152">
        <f>SQRT($L191)*$N191</f>
        <v>1.2858612496840991</v>
      </c>
      <c r="R191" s="152" t="str">
        <f>IF($M191="Motherlode",(($O191*SQRT($L191))^(1/2))^(1/3),"none")</f>
        <v>none</v>
      </c>
      <c r="S191" s="152" t="str">
        <f>IF($P191="Branches",SQRT($L191)^(1/2),IF($P191="Vertical","default",$P191))</f>
        <v>default</v>
      </c>
      <c r="T191" s="153">
        <f>IF($P191="Branches",SQRT(SQRT($L191))^(1/2),IF($P191="Vertical",SQRT($L191)^(1/2),"none"))</f>
        <v>1.1339582221952003</v>
      </c>
      <c r="U191" s="77">
        <f>$G191/VLOOKUP($F191,Ore_Density[],2,FALSE)/Vanilla_COG_Divisor</f>
        <v>0.65306122448979587</v>
      </c>
      <c r="V191" s="158">
        <f>SQRT($U191)</f>
        <v>0.80812203564176854</v>
      </c>
      <c r="W191" s="147">
        <f>SQRT(SQRT($U191))</f>
        <v>0.89895608104165381</v>
      </c>
      <c r="X191" s="70">
        <f>$Y191+$AB191</f>
        <v>11</v>
      </c>
      <c r="Y191" s="71">
        <f>($AC191-$AB191)/2</f>
        <v>5</v>
      </c>
      <c r="Z191" s="71">
        <f>$AA191+$AB191</f>
        <v>11</v>
      </c>
      <c r="AA191" s="72">
        <f>($AG191-$AB191)/2</f>
        <v>5</v>
      </c>
      <c r="AB191" s="128">
        <v>6</v>
      </c>
      <c r="AC191" s="128">
        <v>16</v>
      </c>
      <c r="AD191" s="128"/>
      <c r="AE191" s="71">
        <f>IF($AD191="No",0,IF($AJ191="overworld",IF($X191&lt;64,64+($X191*3),0),0))</f>
        <v>97</v>
      </c>
      <c r="AF191" s="71">
        <f>IF($AD191="No",0,IF($AJ191="Overworld",IF($X191&lt;64,($Y191*3),0),0))</f>
        <v>15</v>
      </c>
      <c r="AG191" s="32">
        <f>IF($AC191&gt;64,64+(($AC191-64)*2.9),$AC191)</f>
        <v>16</v>
      </c>
      <c r="AH191" s="41" t="s">
        <v>511</v>
      </c>
      <c r="AI191" s="42"/>
      <c r="AJ191" s="131" t="s">
        <v>53</v>
      </c>
      <c r="AK191" s="20" t="str">
        <f>IF($X191&gt;64,"uniform",IF($AJ191="Overworld","normal","uniform"))</f>
        <v>normal</v>
      </c>
      <c r="AL191" s="109" t="s">
        <v>615</v>
      </c>
      <c r="AM191" s="110" t="s">
        <v>64</v>
      </c>
      <c r="AN191" s="117"/>
      <c r="AO191" s="118" t="s">
        <v>56</v>
      </c>
      <c r="AP191" s="46"/>
    </row>
    <row r="192" spans="1:42" s="7" customFormat="1" ht="13.5">
      <c r="A192" s="31" t="s">
        <v>601</v>
      </c>
      <c r="B192" s="18"/>
      <c r="C192" s="105" t="s">
        <v>169</v>
      </c>
      <c r="D192" s="97" t="s">
        <v>49</v>
      </c>
      <c r="E192" s="98" t="s">
        <v>66</v>
      </c>
      <c r="F192" s="99" t="s">
        <v>51</v>
      </c>
      <c r="G192" s="37">
        <f>$H192*$I192/2</f>
        <v>8</v>
      </c>
      <c r="H192" s="123">
        <v>16</v>
      </c>
      <c r="I192" s="124">
        <v>1</v>
      </c>
      <c r="J192" s="146">
        <f>$H192/2</f>
        <v>8</v>
      </c>
      <c r="K192" s="147">
        <f>$I192/2</f>
        <v>0.5</v>
      </c>
      <c r="L192" s="77">
        <f>$G192/VLOOKUP($E192,Ore_Density[],2,FALSE)/Vanilla_COG_Divisor</f>
        <v>0.50097847358121328</v>
      </c>
      <c r="M192" s="82" t="str">
        <f>IF(OR($E192="Layered Veins",$E192="Small Deposits",$E192="Geode"),"Motherlode",IF(OR($E192="Pipe Veins",$E192="Sparse Veins",$E192="Vertical Veins"),"No","ERROR"))</f>
        <v>Motherlode</v>
      </c>
      <c r="N192" s="86">
        <v>1</v>
      </c>
      <c r="O192" s="86">
        <v>1</v>
      </c>
      <c r="P192" s="82" t="str">
        <f>IF(OR($E192="Layered Veins",$E192="Pipe Veins",$E192="Sparse Veins"),"Branches",IF($E192="Vertical Veins","Vertical","none"))</f>
        <v>Branches</v>
      </c>
      <c r="Q192" s="152">
        <f>SQRT($L192)*$N192</f>
        <v>0.70779832832609413</v>
      </c>
      <c r="R192" s="152">
        <f>IF($M192="Motherlode",(($O192*SQRT($L192))^(1/2))^(1/3),"none")</f>
        <v>0.94402810080572686</v>
      </c>
      <c r="S192" s="152">
        <f>IF($P192="Branches",SQRT($L192)^(1/2),IF($P192="Vertical","default",$P192))</f>
        <v>0.84130751115516267</v>
      </c>
      <c r="T192" s="153">
        <f>IF($P192="Branches",SQRT(SQRT($L192))^(1/2),IF($P192="Vertical",SQRT($L192)^(1/2),"none"))</f>
        <v>0.91722816744535418</v>
      </c>
      <c r="U192" s="77">
        <f>$G192/VLOOKUP($F192,Ore_Density[],2,FALSE)/Vanilla_COG_Divisor</f>
        <v>0.22321428571428573</v>
      </c>
      <c r="V192" s="158">
        <f>SQRT($U192)</f>
        <v>0.47245559126153402</v>
      </c>
      <c r="W192" s="147">
        <f>SQRT(SQRT($U192))</f>
        <v>0.68735405088028256</v>
      </c>
      <c r="X192" s="70">
        <f>$Y192+$AB192</f>
        <v>48</v>
      </c>
      <c r="Y192" s="71">
        <f>($AC192-$AB192)/2</f>
        <v>16</v>
      </c>
      <c r="Z192" s="71">
        <f>$AA192+$AB192</f>
        <v>48</v>
      </c>
      <c r="AA192" s="72">
        <f>($AG192-$AB192)/2</f>
        <v>16</v>
      </c>
      <c r="AB192" s="128">
        <v>32</v>
      </c>
      <c r="AC192" s="128">
        <v>64</v>
      </c>
      <c r="AD192" s="128"/>
      <c r="AE192" s="71">
        <f>IF($AD192="No",0,IF($AJ192="overworld",IF($X192&lt;64,64+($X192*3),0),0))</f>
        <v>208</v>
      </c>
      <c r="AF192" s="71">
        <f>IF($AD192="No",0,IF($AJ192="Overworld",IF($X192&lt;64,($Y192*3),0),0))</f>
        <v>48</v>
      </c>
      <c r="AG192" s="32">
        <f>IF($AC192&gt;64,64+(($AC192-64)*2.9),$AC192)</f>
        <v>64</v>
      </c>
      <c r="AH192" s="41" t="s">
        <v>554</v>
      </c>
      <c r="AI192" s="42"/>
      <c r="AJ192" s="131" t="s">
        <v>53</v>
      </c>
      <c r="AK192" s="20" t="str">
        <f>IF($X192&gt;64,"uniform",IF($AJ192="Overworld","normal","uniform"))</f>
        <v>normal</v>
      </c>
      <c r="AL192" s="109" t="s">
        <v>616</v>
      </c>
      <c r="AM192" s="110" t="s">
        <v>64</v>
      </c>
      <c r="AN192" s="117"/>
      <c r="AO192" s="118" t="s">
        <v>56</v>
      </c>
      <c r="AP192" s="46"/>
    </row>
    <row r="193" spans="1:42" s="7" customFormat="1" ht="13.5">
      <c r="A193" s="31" t="s">
        <v>601</v>
      </c>
      <c r="B193" s="18"/>
      <c r="C193" s="105" t="s">
        <v>127</v>
      </c>
      <c r="D193" s="97" t="s">
        <v>59</v>
      </c>
      <c r="E193" s="98" t="s">
        <v>79</v>
      </c>
      <c r="F193" s="99" t="s">
        <v>61</v>
      </c>
      <c r="G193" s="37">
        <f>$H193*$I193/2</f>
        <v>0.5</v>
      </c>
      <c r="H193" s="123">
        <v>1</v>
      </c>
      <c r="I193" s="124">
        <v>1</v>
      </c>
      <c r="J193" s="146">
        <f>$H193/2</f>
        <v>0.5</v>
      </c>
      <c r="K193" s="147">
        <f>$I193/2</f>
        <v>0.5</v>
      </c>
      <c r="L193" s="77">
        <f>$G193/VLOOKUP($E193,Ore_Density[],2,FALSE)/Vanilla_COG_Divisor</f>
        <v>7.2886178378251051E-2</v>
      </c>
      <c r="M193" s="82" t="str">
        <f>IF(OR($E193="Layered Veins",$E193="Small Deposits",$E193="Geode"),"Motherlode",IF(OR($E193="Pipe Veins",$E193="Sparse Veins",$E193="Vertical Veins"),"No","ERROR"))</f>
        <v>No</v>
      </c>
      <c r="N193" s="86">
        <v>1</v>
      </c>
      <c r="O193" s="86">
        <v>1</v>
      </c>
      <c r="P193" s="82" t="str">
        <f>IF(OR($E193="Layered Veins",$E193="Pipe Veins",$E193="Sparse Veins"),"Branches",IF($E193="Vertical Veins","Vertical","none"))</f>
        <v>Branches</v>
      </c>
      <c r="Q193" s="152">
        <f>SQRT($L193)*$N193</f>
        <v>0.26997440319084148</v>
      </c>
      <c r="R193" s="152" t="str">
        <f>IF($M193="Motherlode",(($O193*SQRT($L193))^(1/2))^(1/3),"none")</f>
        <v>none</v>
      </c>
      <c r="S193" s="152">
        <f>IF($P193="Branches",SQRT($L193)^(1/2),IF($P193="Vertical","default",$P193))</f>
        <v>0.51959061114577643</v>
      </c>
      <c r="T193" s="153">
        <f>IF($P193="Branches",SQRT(SQRT($L193))^(1/2),IF($P193="Vertical",SQRT($L193)^(1/2),"none"))</f>
        <v>0.72082633910379301</v>
      </c>
      <c r="U193" s="77">
        <f>$G193/VLOOKUP($F193,Ore_Density[],2,FALSE)/Vanilla_COG_Divisor</f>
        <v>4.0816326530612242E-2</v>
      </c>
      <c r="V193" s="158">
        <f>SQRT($U193)</f>
        <v>0.20203050891044214</v>
      </c>
      <c r="W193" s="147">
        <f>SQRT(SQRT($U193))</f>
        <v>0.4494780405208269</v>
      </c>
      <c r="X193" s="70">
        <f>$Y193+$AB193</f>
        <v>22</v>
      </c>
      <c r="Y193" s="71">
        <f>($AC193-$AB193)/2</f>
        <v>6</v>
      </c>
      <c r="Z193" s="71">
        <f>$AA193+$AB193</f>
        <v>22</v>
      </c>
      <c r="AA193" s="72">
        <f>($AG193-$AB193)/2</f>
        <v>6</v>
      </c>
      <c r="AB193" s="128">
        <v>16</v>
      </c>
      <c r="AC193" s="128">
        <v>28</v>
      </c>
      <c r="AD193" s="128" t="s">
        <v>790</v>
      </c>
      <c r="AE193" s="71">
        <f>IF($AD193="No",0,IF($AJ193="overworld",IF($X193&lt;64,64+($X193*3),0),0))</f>
        <v>0</v>
      </c>
      <c r="AF193" s="71">
        <f>IF($AD193="No",0,IF($AJ193="Overworld",IF($X193&lt;64,($Y193*3),0),0))</f>
        <v>0</v>
      </c>
      <c r="AG193" s="32">
        <f>IF($AC193&gt;64,64+(($AC193-64)*2.9),$AC193)</f>
        <v>28</v>
      </c>
      <c r="AH193" s="41" t="s">
        <v>608</v>
      </c>
      <c r="AI193" s="42" t="s">
        <v>609</v>
      </c>
      <c r="AJ193" s="131" t="s">
        <v>53</v>
      </c>
      <c r="AK193" s="20" t="str">
        <f>IF($X193&gt;64,"uniform",IF($AJ193="Overworld","normal","uniform"))</f>
        <v>normal</v>
      </c>
      <c r="AL193" s="109" t="s">
        <v>610</v>
      </c>
      <c r="AM193" s="110" t="s">
        <v>64</v>
      </c>
      <c r="AN193" s="117"/>
      <c r="AO193" s="118" t="s">
        <v>56</v>
      </c>
      <c r="AP193" s="46"/>
    </row>
    <row r="194" spans="1:42" s="7" customFormat="1" ht="13.5">
      <c r="A194" s="31" t="s">
        <v>601</v>
      </c>
      <c r="B194" s="18"/>
      <c r="C194" s="105" t="s">
        <v>122</v>
      </c>
      <c r="D194" s="97" t="s">
        <v>59</v>
      </c>
      <c r="E194" s="98" t="s">
        <v>79</v>
      </c>
      <c r="F194" s="99" t="s">
        <v>61</v>
      </c>
      <c r="G194" s="37">
        <f>$H194*$I194/2</f>
        <v>0.5</v>
      </c>
      <c r="H194" s="123">
        <v>1</v>
      </c>
      <c r="I194" s="124">
        <v>1</v>
      </c>
      <c r="J194" s="146">
        <f>$H194/2</f>
        <v>0.5</v>
      </c>
      <c r="K194" s="147">
        <f>$I194/2</f>
        <v>0.5</v>
      </c>
      <c r="L194" s="77">
        <f>$G194/VLOOKUP($E194,Ore_Density[],2,FALSE)/Vanilla_COG_Divisor</f>
        <v>7.2886178378251051E-2</v>
      </c>
      <c r="M194" s="82" t="str">
        <f>IF(OR($E194="Layered Veins",$E194="Small Deposits",$E194="Geode"),"Motherlode",IF(OR($E194="Pipe Veins",$E194="Sparse Veins",$E194="Vertical Veins"),"No","ERROR"))</f>
        <v>No</v>
      </c>
      <c r="N194" s="86">
        <v>1</v>
      </c>
      <c r="O194" s="86">
        <v>1</v>
      </c>
      <c r="P194" s="82" t="str">
        <f>IF(OR($E194="Layered Veins",$E194="Pipe Veins",$E194="Sparse Veins"),"Branches",IF($E194="Vertical Veins","Vertical","none"))</f>
        <v>Branches</v>
      </c>
      <c r="Q194" s="152">
        <f>SQRT($L194)*$N194</f>
        <v>0.26997440319084148</v>
      </c>
      <c r="R194" s="152" t="str">
        <f>IF($M194="Motherlode",(($O194*SQRT($L194))^(1/2))^(1/3),"none")</f>
        <v>none</v>
      </c>
      <c r="S194" s="152">
        <f>IF($P194="Branches",SQRT($L194)^(1/2),IF($P194="Vertical","default",$P194))</f>
        <v>0.51959061114577643</v>
      </c>
      <c r="T194" s="153">
        <f>IF($P194="Branches",SQRT(SQRT($L194))^(1/2),IF($P194="Vertical",SQRT($L194)^(1/2),"none"))</f>
        <v>0.72082633910379301</v>
      </c>
      <c r="U194" s="77">
        <f>$G194/VLOOKUP($F194,Ore_Density[],2,FALSE)/Vanilla_COG_Divisor</f>
        <v>4.0816326530612242E-2</v>
      </c>
      <c r="V194" s="158">
        <f>SQRT($U194)</f>
        <v>0.20203050891044214</v>
      </c>
      <c r="W194" s="147">
        <f>SQRT(SQRT($U194))</f>
        <v>0.4494780405208269</v>
      </c>
      <c r="X194" s="70">
        <f>$Y194+$AB194</f>
        <v>16</v>
      </c>
      <c r="Y194" s="71">
        <f>($AC194-$AB194)/2</f>
        <v>4</v>
      </c>
      <c r="Z194" s="71">
        <f>$AA194+$AB194</f>
        <v>16</v>
      </c>
      <c r="AA194" s="72">
        <f>($AG194-$AB194)/2</f>
        <v>4</v>
      </c>
      <c r="AB194" s="128">
        <v>12</v>
      </c>
      <c r="AC194" s="128">
        <v>20</v>
      </c>
      <c r="AD194" s="128" t="s">
        <v>790</v>
      </c>
      <c r="AE194" s="71">
        <f>IF($AD194="No",0,IF($AJ194="overworld",IF($X194&lt;64,64+($X194*3),0),0))</f>
        <v>0</v>
      </c>
      <c r="AF194" s="71">
        <f>IF($AD194="No",0,IF($AJ194="Overworld",IF($X194&lt;64,($Y194*3),0),0))</f>
        <v>0</v>
      </c>
      <c r="AG194" s="32">
        <f>IF($AC194&gt;64,64+(($AC194-64)*2.9),$AC194)</f>
        <v>20</v>
      </c>
      <c r="AH194" s="41" t="s">
        <v>602</v>
      </c>
      <c r="AI194" s="42" t="s">
        <v>603</v>
      </c>
      <c r="AJ194" s="131" t="s">
        <v>53</v>
      </c>
      <c r="AK194" s="20" t="str">
        <f>IF($X194&gt;64,"uniform",IF($AJ194="Overworld","normal","uniform"))</f>
        <v>normal</v>
      </c>
      <c r="AL194" s="109" t="s">
        <v>604</v>
      </c>
      <c r="AM194" s="110" t="s">
        <v>64</v>
      </c>
      <c r="AN194" s="117"/>
      <c r="AO194" s="118" t="s">
        <v>56</v>
      </c>
      <c r="AP194" s="46"/>
    </row>
    <row r="195" spans="1:42" s="7" customFormat="1" ht="13.5">
      <c r="A195" s="31" t="s">
        <v>601</v>
      </c>
      <c r="B195" s="18"/>
      <c r="C195" s="105" t="s">
        <v>147</v>
      </c>
      <c r="D195" s="97" t="s">
        <v>59</v>
      </c>
      <c r="E195" s="98" t="s">
        <v>79</v>
      </c>
      <c r="F195" s="99" t="s">
        <v>61</v>
      </c>
      <c r="G195" s="37">
        <f>$H195*$I195/2</f>
        <v>0.5</v>
      </c>
      <c r="H195" s="123">
        <v>1</v>
      </c>
      <c r="I195" s="124">
        <v>1</v>
      </c>
      <c r="J195" s="146">
        <f>$H195/2</f>
        <v>0.5</v>
      </c>
      <c r="K195" s="147">
        <f>$I195/2</f>
        <v>0.5</v>
      </c>
      <c r="L195" s="77">
        <f>$G195/VLOOKUP($E195,Ore_Density[],2,FALSE)/Vanilla_COG_Divisor</f>
        <v>7.2886178378251051E-2</v>
      </c>
      <c r="M195" s="82" t="str">
        <f>IF(OR($E195="Layered Veins",$E195="Small Deposits",$E195="Geode"),"Motherlode",IF(OR($E195="Pipe Veins",$E195="Sparse Veins",$E195="Vertical Veins"),"No","ERROR"))</f>
        <v>No</v>
      </c>
      <c r="N195" s="86">
        <v>1</v>
      </c>
      <c r="O195" s="86">
        <v>1</v>
      </c>
      <c r="P195" s="82" t="str">
        <f>IF(OR($E195="Layered Veins",$E195="Pipe Veins",$E195="Sparse Veins"),"Branches",IF($E195="Vertical Veins","Vertical","none"))</f>
        <v>Branches</v>
      </c>
      <c r="Q195" s="152">
        <f>SQRT($L195)*$N195</f>
        <v>0.26997440319084148</v>
      </c>
      <c r="R195" s="152" t="str">
        <f>IF($M195="Motherlode",(($O195*SQRT($L195))^(1/2))^(1/3),"none")</f>
        <v>none</v>
      </c>
      <c r="S195" s="152">
        <f>IF($P195="Branches",SQRT($L195)^(1/2),IF($P195="Vertical","default",$P195))</f>
        <v>0.51959061114577643</v>
      </c>
      <c r="T195" s="153">
        <f>IF($P195="Branches",SQRT(SQRT($L195))^(1/2),IF($P195="Vertical",SQRT($L195)^(1/2),"none"))</f>
        <v>0.72082633910379301</v>
      </c>
      <c r="U195" s="77">
        <f>$G195/VLOOKUP($F195,Ore_Density[],2,FALSE)/Vanilla_COG_Divisor</f>
        <v>4.0816326530612242E-2</v>
      </c>
      <c r="V195" s="158">
        <f>SQRT($U195)</f>
        <v>0.20203050891044214</v>
      </c>
      <c r="W195" s="147">
        <f>SQRT(SQRT($U195))</f>
        <v>0.4494780405208269</v>
      </c>
      <c r="X195" s="70">
        <f>$Y195+$AB195</f>
        <v>16</v>
      </c>
      <c r="Y195" s="71">
        <f>($AC195-$AB195)/2</f>
        <v>4</v>
      </c>
      <c r="Z195" s="71">
        <f>$AA195+$AB195</f>
        <v>16</v>
      </c>
      <c r="AA195" s="72">
        <f>($AG195-$AB195)/2</f>
        <v>4</v>
      </c>
      <c r="AB195" s="128">
        <v>12</v>
      </c>
      <c r="AC195" s="128">
        <v>20</v>
      </c>
      <c r="AD195" s="128" t="s">
        <v>790</v>
      </c>
      <c r="AE195" s="71">
        <f>IF($AD195="No",0,IF($AJ195="overworld",IF($X195&lt;64,64+($X195*3),0),0))</f>
        <v>0</v>
      </c>
      <c r="AF195" s="71">
        <f>IF($AD195="No",0,IF($AJ195="Overworld",IF($X195&lt;64,($Y195*3),0),0))</f>
        <v>0</v>
      </c>
      <c r="AG195" s="32">
        <f>IF($AC195&gt;64,64+(($AC195-64)*2.9),$AC195)</f>
        <v>20</v>
      </c>
      <c r="AH195" s="41" t="s">
        <v>605</v>
      </c>
      <c r="AI195" s="42" t="s">
        <v>606</v>
      </c>
      <c r="AJ195" s="131" t="s">
        <v>53</v>
      </c>
      <c r="AK195" s="20" t="str">
        <f>IF($X195&gt;64,"uniform",IF($AJ195="Overworld","normal","uniform"))</f>
        <v>normal</v>
      </c>
      <c r="AL195" s="109" t="s">
        <v>607</v>
      </c>
      <c r="AM195" s="110" t="s">
        <v>64</v>
      </c>
      <c r="AN195" s="117"/>
      <c r="AO195" s="118" t="s">
        <v>56</v>
      </c>
      <c r="AP195" s="46"/>
    </row>
    <row r="196" spans="1:42" s="7" customFormat="1" ht="13.5">
      <c r="A196" s="31" t="s">
        <v>601</v>
      </c>
      <c r="B196" s="18"/>
      <c r="C196" s="105" t="s">
        <v>173</v>
      </c>
      <c r="D196" s="97" t="s">
        <v>59</v>
      </c>
      <c r="E196" s="98" t="s">
        <v>66</v>
      </c>
      <c r="F196" s="99" t="s">
        <v>61</v>
      </c>
      <c r="G196" s="37">
        <f>$H196*$I196/2</f>
        <v>2</v>
      </c>
      <c r="H196" s="123">
        <v>4</v>
      </c>
      <c r="I196" s="124">
        <v>1</v>
      </c>
      <c r="J196" s="146">
        <f>$H196/2</f>
        <v>2</v>
      </c>
      <c r="K196" s="147">
        <f>$I196/2</f>
        <v>0.5</v>
      </c>
      <c r="L196" s="77">
        <f>$G196/VLOOKUP($E196,Ore_Density[],2,FALSE)/Vanilla_COG_Divisor</f>
        <v>0.12524461839530332</v>
      </c>
      <c r="M196" s="82" t="str">
        <f>IF(OR($E196="Layered Veins",$E196="Small Deposits",$E196="Geode"),"Motherlode",IF(OR($E196="Pipe Veins",$E196="Sparse Veins",$E196="Vertical Veins"),"No","ERROR"))</f>
        <v>Motherlode</v>
      </c>
      <c r="N196" s="86">
        <v>1</v>
      </c>
      <c r="O196" s="86">
        <v>1</v>
      </c>
      <c r="P196" s="82" t="str">
        <f>IF(OR($E196="Layered Veins",$E196="Pipe Veins",$E196="Sparse Veins"),"Branches",IF($E196="Vertical Veins","Vertical","none"))</f>
        <v>Branches</v>
      </c>
      <c r="Q196" s="152">
        <f>SQRT($L196)*$N196</f>
        <v>0.35389916416304706</v>
      </c>
      <c r="R196" s="152">
        <f>IF($M196="Motherlode",(($O196*SQRT($L196))^(1/2))^(1/3),"none")</f>
        <v>0.84103342489628108</v>
      </c>
      <c r="S196" s="152">
        <f>IF($P196="Branches",SQRT($L196)^(1/2),IF($P196="Vertical","default",$P196))</f>
        <v>0.59489424620099252</v>
      </c>
      <c r="T196" s="153">
        <f>IF($P196="Branches",SQRT(SQRT($L196))^(1/2),IF($P196="Vertical",SQRT($L196)^(1/2),"none"))</f>
        <v>0.77129387797453219</v>
      </c>
      <c r="U196" s="77">
        <f>$G196/VLOOKUP($F196,Ore_Density[],2,FALSE)/Vanilla_COG_Divisor</f>
        <v>0.16326530612244897</v>
      </c>
      <c r="V196" s="158">
        <f>SQRT($U196)</f>
        <v>0.40406101782088427</v>
      </c>
      <c r="W196" s="147">
        <f>SQRT(SQRT($U196))</f>
        <v>0.63565794089343697</v>
      </c>
      <c r="X196" s="70">
        <f>$Y196+$AB196</f>
        <v>19</v>
      </c>
      <c r="Y196" s="71">
        <f>($AC196-$AB196)/2</f>
        <v>13</v>
      </c>
      <c r="Z196" s="71">
        <f>$AA196+$AB196</f>
        <v>19</v>
      </c>
      <c r="AA196" s="72">
        <f>($AG196-$AB196)/2</f>
        <v>13</v>
      </c>
      <c r="AB196" s="128">
        <v>6</v>
      </c>
      <c r="AC196" s="128">
        <v>32</v>
      </c>
      <c r="AD196" s="128"/>
      <c r="AE196" s="71">
        <f>IF($AD196="No",0,IF($AJ196="overworld",IF($X196&lt;64,64+($X196*3),0),0))</f>
        <v>121</v>
      </c>
      <c r="AF196" s="71">
        <f>IF($AD196="No",0,IF($AJ196="Overworld",IF($X196&lt;64,($Y196*3),0),0))</f>
        <v>39</v>
      </c>
      <c r="AG196" s="32">
        <f>IF($AC196&gt;64,64+(($AC196-64)*2.9),$AC196)</f>
        <v>32</v>
      </c>
      <c r="AH196" s="41" t="s">
        <v>174</v>
      </c>
      <c r="AI196" s="42"/>
      <c r="AJ196" s="131" t="s">
        <v>53</v>
      </c>
      <c r="AK196" s="20" t="str">
        <f>IF($X196&gt;64,"uniform",IF($AJ196="Overworld","normal","uniform"))</f>
        <v>normal</v>
      </c>
      <c r="AL196" s="109" t="s">
        <v>613</v>
      </c>
      <c r="AM196" s="110" t="s">
        <v>64</v>
      </c>
      <c r="AN196" s="117"/>
      <c r="AO196" s="118" t="s">
        <v>56</v>
      </c>
      <c r="AP196" s="46"/>
    </row>
    <row r="197" spans="1:42" s="7" customFormat="1" ht="13.5">
      <c r="A197" s="31" t="s">
        <v>601</v>
      </c>
      <c r="B197" s="18"/>
      <c r="C197" s="105" t="s">
        <v>179</v>
      </c>
      <c r="D197" s="97" t="s">
        <v>59</v>
      </c>
      <c r="E197" s="98" t="s">
        <v>66</v>
      </c>
      <c r="F197" s="99" t="s">
        <v>61</v>
      </c>
      <c r="G197" s="37">
        <f>$H197*$I197/2</f>
        <v>20</v>
      </c>
      <c r="H197" s="123">
        <v>8</v>
      </c>
      <c r="I197" s="124">
        <v>5</v>
      </c>
      <c r="J197" s="146">
        <f>$H197/2</f>
        <v>4</v>
      </c>
      <c r="K197" s="147">
        <f>$I197/2</f>
        <v>2.5</v>
      </c>
      <c r="L197" s="77">
        <f>$G197/VLOOKUP($E197,Ore_Density[],2,FALSE)/Vanilla_COG_Divisor</f>
        <v>1.2524461839530332</v>
      </c>
      <c r="M197" s="82" t="str">
        <f>IF(OR($E197="Layered Veins",$E197="Small Deposits",$E197="Geode"),"Motherlode",IF(OR($E197="Pipe Veins",$E197="Sparse Veins",$E197="Vertical Veins"),"No","ERROR"))</f>
        <v>Motherlode</v>
      </c>
      <c r="N197" s="86">
        <v>1</v>
      </c>
      <c r="O197" s="86">
        <v>1</v>
      </c>
      <c r="P197" s="82" t="str">
        <f>IF(OR($E197="Layered Veins",$E197="Pipe Veins",$E197="Sparse Veins"),"Branches",IF($E197="Vertical Veins","Vertical","none"))</f>
        <v>Branches</v>
      </c>
      <c r="Q197" s="152">
        <f>SQRT($L197)*$N197</f>
        <v>1.1191274207850657</v>
      </c>
      <c r="R197" s="152">
        <f>IF($M197="Motherlode",(($O197*SQRT($L197))^(1/2))^(1/3),"none")</f>
        <v>1.0189352560929743</v>
      </c>
      <c r="S197" s="152">
        <f>IF($P197="Branches",SQRT($L197)^(1/2),IF($P197="Vertical","default",$P197))</f>
        <v>1.0578881891698506</v>
      </c>
      <c r="T197" s="153">
        <f>IF($P197="Branches",SQRT(SQRT($L197))^(1/2),IF($P197="Vertical",SQRT($L197)^(1/2),"none"))</f>
        <v>1.0285369167754022</v>
      </c>
      <c r="U197" s="77">
        <f>$G197/VLOOKUP($F197,Ore_Density[],2,FALSE)/Vanilla_COG_Divisor</f>
        <v>1.6326530612244898</v>
      </c>
      <c r="V197" s="158">
        <f>SQRT($U197)</f>
        <v>1.2777531299998799</v>
      </c>
      <c r="W197" s="147">
        <f>SQRT(SQRT($U197))</f>
        <v>1.1303774281185377</v>
      </c>
      <c r="X197" s="70">
        <f>$Y197+$AB197</f>
        <v>27</v>
      </c>
      <c r="Y197" s="71">
        <f>($AC197-$AB197)/2</f>
        <v>21</v>
      </c>
      <c r="Z197" s="71">
        <f>$AA197+$AB197</f>
        <v>27</v>
      </c>
      <c r="AA197" s="72">
        <f>($AG197-$AB197)/2</f>
        <v>21</v>
      </c>
      <c r="AB197" s="128">
        <v>6</v>
      </c>
      <c r="AC197" s="128">
        <v>48</v>
      </c>
      <c r="AD197" s="128"/>
      <c r="AE197" s="71">
        <f>IF($AD197="No",0,IF($AJ197="overworld",IF($X197&lt;64,64+($X197*3),0),0))</f>
        <v>145</v>
      </c>
      <c r="AF197" s="71">
        <f>IF($AD197="No",0,IF($AJ197="Overworld",IF($X197&lt;64,($Y197*3),0),0))</f>
        <v>63</v>
      </c>
      <c r="AG197" s="32">
        <f>IF($AC197&gt;64,64+(($AC197-64)*2.9),$AC197)</f>
        <v>48</v>
      </c>
      <c r="AH197" s="41" t="s">
        <v>180</v>
      </c>
      <c r="AI197" s="42"/>
      <c r="AJ197" s="131" t="s">
        <v>53</v>
      </c>
      <c r="AK197" s="20" t="str">
        <f>IF($X197&gt;64,"uniform",IF($AJ197="Overworld","normal","uniform"))</f>
        <v>normal</v>
      </c>
      <c r="AL197" s="109" t="s">
        <v>612</v>
      </c>
      <c r="AM197" s="110" t="s">
        <v>64</v>
      </c>
      <c r="AN197" s="117"/>
      <c r="AO197" s="118" t="s">
        <v>56</v>
      </c>
      <c r="AP197" s="46"/>
    </row>
    <row r="198" spans="1:42" s="7" customFormat="1" ht="13.5">
      <c r="A198" s="31" t="s">
        <v>617</v>
      </c>
      <c r="B198" s="18"/>
      <c r="C198" s="105" t="s">
        <v>642</v>
      </c>
      <c r="D198" s="97" t="s">
        <v>59</v>
      </c>
      <c r="E198" s="98" t="s">
        <v>643</v>
      </c>
      <c r="F198" s="99" t="s">
        <v>61</v>
      </c>
      <c r="G198" s="37">
        <f>$H198*$I198/2</f>
        <v>0.5</v>
      </c>
      <c r="H198" s="123">
        <v>1</v>
      </c>
      <c r="I198" s="124">
        <v>1</v>
      </c>
      <c r="J198" s="146">
        <f>$H198/2</f>
        <v>0.5</v>
      </c>
      <c r="K198" s="147">
        <f>$I198/2</f>
        <v>0.5</v>
      </c>
      <c r="L198" s="77">
        <f>$G198/VLOOKUP($E198,Ore_Density[],2,FALSE)/Vanilla_COG_Divisor</f>
        <v>0.18761107419842379</v>
      </c>
      <c r="M198" s="83" t="str">
        <f>IF(OR($E198="Layered Veins",$E198="Small Deposits",$E198="Geode"),"Motherlode",IF(OR($E198="Pipe Veins",$E198="Sparse Veins",$E198="Vertical Veins"),"No","ERROR"))</f>
        <v>Motherlode</v>
      </c>
      <c r="N198" s="86">
        <v>1</v>
      </c>
      <c r="O198" s="86">
        <v>1</v>
      </c>
      <c r="P198" s="82" t="str">
        <f>IF(OR($E198="Layered Veins",$E198="Pipe Veins",$E198="Sparse Veins"),"Branches",IF($E198="Vertical Veins","Vertical","none"))</f>
        <v>none</v>
      </c>
      <c r="Q198" s="152">
        <f>SQRT($L198)*$N198</f>
        <v>0.43314094033977413</v>
      </c>
      <c r="R198" s="152">
        <f>IF($M198="Motherlode",(($O198*SQRT($L198))^(1/2))^(1/3),"none")</f>
        <v>0.86983765826831727</v>
      </c>
      <c r="S198" s="152" t="str">
        <f>IF($P198="Branches",SQRT($L198)^(1/2),IF($P198="Vertical","default",$P198))</f>
        <v>none</v>
      </c>
      <c r="T198" s="153" t="str">
        <f>IF($P198="Branches",SQRT(SQRT($L198))^(1/2),IF($P198="Vertical",SQRT($L198)^(1/2),"none"))</f>
        <v>none</v>
      </c>
      <c r="U198" s="77">
        <f>$G198/VLOOKUP($F198,Ore_Density[],2,FALSE)/Vanilla_COG_Divisor</f>
        <v>4.0816326530612242E-2</v>
      </c>
      <c r="V198" s="158">
        <f>SQRT($U198)</f>
        <v>0.20203050891044214</v>
      </c>
      <c r="W198" s="147">
        <f>SQRT(SQRT($U198))</f>
        <v>0.4494780405208269</v>
      </c>
      <c r="X198" s="70">
        <f>$Y198+$AB198</f>
        <v>30</v>
      </c>
      <c r="Y198" s="71">
        <f>($AC198-$AB198)/2</f>
        <v>10</v>
      </c>
      <c r="Z198" s="71">
        <f>$AA198+$AB198</f>
        <v>30</v>
      </c>
      <c r="AA198" s="72">
        <f>($AG198-$AB198)/2</f>
        <v>10</v>
      </c>
      <c r="AB198" s="128">
        <v>20</v>
      </c>
      <c r="AC198" s="128">
        <v>40</v>
      </c>
      <c r="AD198" s="128"/>
      <c r="AE198" s="71">
        <f>IF($AD198="No",0,IF($AJ198="overworld",IF($X198&lt;64,64+($X198*3),0),0))</f>
        <v>154</v>
      </c>
      <c r="AF198" s="71">
        <f>IF($AD198="No",0,IF($AJ198="Overworld",IF($X198&lt;64,($Y198*3),0),0))</f>
        <v>30</v>
      </c>
      <c r="AG198" s="32">
        <f>IF($AC198&gt;64,64+(($AC198-64)*2.9),$AC198)</f>
        <v>40</v>
      </c>
      <c r="AH198" s="41" t="s">
        <v>644</v>
      </c>
      <c r="AI198" s="42" t="s">
        <v>645</v>
      </c>
      <c r="AJ198" s="131" t="s">
        <v>53</v>
      </c>
      <c r="AK198" s="20" t="str">
        <f>IF($X198&gt;64,"uniform",IF($AJ198="Overworld","normal","uniform"))</f>
        <v>normal</v>
      </c>
      <c r="AL198" s="109" t="s">
        <v>646</v>
      </c>
      <c r="AM198" s="112" t="s">
        <v>647</v>
      </c>
      <c r="AN198" s="117"/>
      <c r="AO198" s="118" t="s">
        <v>56</v>
      </c>
      <c r="AP198" s="46" t="s">
        <v>648</v>
      </c>
    </row>
    <row r="199" spans="1:42" s="7" customFormat="1" ht="13.5">
      <c r="A199" s="31" t="s">
        <v>617</v>
      </c>
      <c r="B199" s="18"/>
      <c r="C199" s="105" t="s">
        <v>636</v>
      </c>
      <c r="D199" s="97" t="s">
        <v>59</v>
      </c>
      <c r="E199" s="98" t="s">
        <v>50</v>
      </c>
      <c r="F199" s="99" t="s">
        <v>61</v>
      </c>
      <c r="G199" s="37">
        <f>$H199*$I199/2</f>
        <v>0.125</v>
      </c>
      <c r="H199" s="123">
        <v>1</v>
      </c>
      <c r="I199" s="124">
        <f>1/4</f>
        <v>0.25</v>
      </c>
      <c r="J199" s="146">
        <f>$H199/2</f>
        <v>0.5</v>
      </c>
      <c r="K199" s="147">
        <f>$I199/2</f>
        <v>0.125</v>
      </c>
      <c r="L199" s="77">
        <f>$G199/VLOOKUP($E199,Ore_Density[],2,FALSE)/Vanilla_COG_Divisor</f>
        <v>1.2247697432882617E-2</v>
      </c>
      <c r="M199" s="82" t="str">
        <f>IF(OR($E199="Layered Veins",$E199="Small Deposits",$E199="Geode"),"Motherlode",IF(OR($E199="Pipe Veins",$E199="Sparse Veins",$E199="Vertical Veins"),"No","ERROR"))</f>
        <v>Motherlode</v>
      </c>
      <c r="N199" s="86">
        <v>1</v>
      </c>
      <c r="O199" s="86">
        <v>1</v>
      </c>
      <c r="P199" s="82" t="str">
        <f>IF(OR($E199="Layered Veins",$E199="Pipe Veins",$E199="Sparse Veins"),"Branches",IF($E199="Vertical Veins","Vertical","none"))</f>
        <v>none</v>
      </c>
      <c r="Q199" s="152">
        <f>SQRT($L199)*$N199</f>
        <v>0.11066931567911052</v>
      </c>
      <c r="R199" s="152">
        <f>IF($M199="Motherlode",(($O199*SQRT($L199))^(1/2))^(1/3),"none")</f>
        <v>0.69290102548490606</v>
      </c>
      <c r="S199" s="152" t="str">
        <f>IF($P199="Branches",SQRT($L199)^(1/2),IF($P199="Vertical","default",$P199))</f>
        <v>none</v>
      </c>
      <c r="T199" s="153" t="str">
        <f>IF($P199="Branches",SQRT(SQRT($L199))^(1/2),IF($P199="Vertical",SQRT($L199)^(1/2),"none"))</f>
        <v>none</v>
      </c>
      <c r="U199" s="77">
        <f>$G199/VLOOKUP($F199,Ore_Density[],2,FALSE)/Vanilla_COG_Divisor</f>
        <v>1.020408163265306E-2</v>
      </c>
      <c r="V199" s="158">
        <f>SQRT($U199)</f>
        <v>0.10101525445522107</v>
      </c>
      <c r="W199" s="147">
        <f>SQRT(SQRT($U199))</f>
        <v>0.31782897044671848</v>
      </c>
      <c r="X199" s="70">
        <f>$Y199+$AB199</f>
        <v>16</v>
      </c>
      <c r="Y199" s="71">
        <f>($AC199-$AB199)/2</f>
        <v>15</v>
      </c>
      <c r="Z199" s="71">
        <f>$AA199+$AB199</f>
        <v>16</v>
      </c>
      <c r="AA199" s="72">
        <f>($AG199-$AB199)/2</f>
        <v>15</v>
      </c>
      <c r="AB199" s="128">
        <v>1</v>
      </c>
      <c r="AC199" s="128">
        <v>31</v>
      </c>
      <c r="AD199" s="128"/>
      <c r="AE199" s="71">
        <f>IF($AD199="No",0,IF($AJ199="overworld",IF($X199&lt;64,64+($X199*3),0),0))</f>
        <v>0</v>
      </c>
      <c r="AF199" s="71">
        <f>IF($AD199="No",0,IF($AJ199="Overworld",IF($X199&lt;64,($Y199*3),0),0))</f>
        <v>0</v>
      </c>
      <c r="AG199" s="32">
        <f>IF($AC199&gt;64,64+(($AC199-64)*2.9),$AC199)</f>
        <v>31</v>
      </c>
      <c r="AH199" s="41" t="s">
        <v>637</v>
      </c>
      <c r="AI199" s="42"/>
      <c r="AJ199" s="131" t="s">
        <v>96</v>
      </c>
      <c r="AK199" s="20" t="str">
        <f>IF($X199&gt;64,"uniform",IF($AJ199="Overworld","normal","uniform"))</f>
        <v>uniform</v>
      </c>
      <c r="AL199" s="109" t="s">
        <v>638</v>
      </c>
      <c r="AM199" s="110" t="s">
        <v>98</v>
      </c>
      <c r="AN199" s="117" t="s">
        <v>639</v>
      </c>
      <c r="AO199" s="118" t="s">
        <v>640</v>
      </c>
      <c r="AP199" s="46" t="s">
        <v>641</v>
      </c>
    </row>
    <row r="200" spans="1:42" s="7" customFormat="1" ht="13.5">
      <c r="A200" s="31" t="s">
        <v>617</v>
      </c>
      <c r="B200" s="18"/>
      <c r="C200" s="105" t="s">
        <v>622</v>
      </c>
      <c r="D200" s="97" t="s">
        <v>59</v>
      </c>
      <c r="E200" s="98" t="s">
        <v>60</v>
      </c>
      <c r="F200" s="99" t="s">
        <v>61</v>
      </c>
      <c r="G200" s="37">
        <f>$H200*$I200/2</f>
        <v>128</v>
      </c>
      <c r="H200" s="123">
        <v>8</v>
      </c>
      <c r="I200" s="124">
        <v>32</v>
      </c>
      <c r="J200" s="146">
        <f>$H200/2</f>
        <v>4</v>
      </c>
      <c r="K200" s="147">
        <f>$I200/2</f>
        <v>16</v>
      </c>
      <c r="L200" s="77">
        <f>$G200/VLOOKUP($E200,Ore_Density[],2,FALSE)/Vanilla_COG_Divisor</f>
        <v>48.028434994796491</v>
      </c>
      <c r="M200" s="82" t="str">
        <f>IF(OR($E200="Layered Veins",$E200="Small Deposits",$E200="Geode"),"Motherlode",IF(OR($E200="Pipe Veins",$E200="Sparse Veins",$E200="Vertical Veins"),"No","ERROR"))</f>
        <v>No</v>
      </c>
      <c r="N200" s="86">
        <v>1</v>
      </c>
      <c r="O200" s="86">
        <v>1</v>
      </c>
      <c r="P200" s="82" t="str">
        <f>IF(OR($E200="Layered Veins",$E200="Pipe Veins",$E200="Sparse Veins"),"Branches",IF($E200="Vertical Veins","Vertical","none"))</f>
        <v>Branches</v>
      </c>
      <c r="Q200" s="152">
        <f>SQRT($L200)*$N200</f>
        <v>6.930255045436386</v>
      </c>
      <c r="R200" s="152" t="str">
        <f>IF($M200="Motherlode",(($O200*SQRT($L200))^(1/2))^(1/3),"none")</f>
        <v>none</v>
      </c>
      <c r="S200" s="152">
        <f>IF($P200="Branches",SQRT($L200)^(1/2),IF($P200="Vertical","default",$P200))</f>
        <v>2.6325377576468654</v>
      </c>
      <c r="T200" s="153">
        <f>IF($P200="Branches",SQRT(SQRT($L200))^(1/2),IF($P200="Vertical",SQRT($L200)^(1/2),"none"))</f>
        <v>1.622509709569365</v>
      </c>
      <c r="U200" s="77">
        <f>$G200/VLOOKUP($F200,Ore_Density[],2,FALSE)/Vanilla_COG_Divisor</f>
        <v>10.448979591836734</v>
      </c>
      <c r="V200" s="158">
        <f>SQRT($U200)</f>
        <v>3.2324881425670742</v>
      </c>
      <c r="W200" s="147">
        <f>SQRT(SQRT($U200))</f>
        <v>1.7979121620833076</v>
      </c>
      <c r="X200" s="70">
        <f>$Y200+$AB200</f>
        <v>60</v>
      </c>
      <c r="Y200" s="71">
        <f>($AC200-$AB200)/2</f>
        <v>3</v>
      </c>
      <c r="Z200" s="71">
        <f>$AA200+$AB200</f>
        <v>60</v>
      </c>
      <c r="AA200" s="72">
        <f>($AG200-$AB200)/2</f>
        <v>3</v>
      </c>
      <c r="AB200" s="128">
        <v>57</v>
      </c>
      <c r="AC200" s="128">
        <v>63</v>
      </c>
      <c r="AD200" s="128"/>
      <c r="AE200" s="71">
        <f>IF($AD200="No",0,IF($AJ200="overworld",IF($X200&lt;64,64+($X200*3),0),0))</f>
        <v>244</v>
      </c>
      <c r="AF200" s="71">
        <f>IF($AD200="No",0,IF($AJ200="Overworld",IF($X200&lt;64,($Y200*3),0),0))</f>
        <v>9</v>
      </c>
      <c r="AG200" s="32">
        <f>IF($AC200&gt;64,64+(($AC200-64)*2.9),$AC200)</f>
        <v>63</v>
      </c>
      <c r="AH200" s="41" t="s">
        <v>177</v>
      </c>
      <c r="AI200" s="42"/>
      <c r="AJ200" s="131" t="s">
        <v>53</v>
      </c>
      <c r="AK200" s="20" t="str">
        <f>IF($X200&gt;64,"uniform",IF($AJ200="Overworld","normal","uniform"))</f>
        <v>normal</v>
      </c>
      <c r="AL200" s="109" t="s">
        <v>623</v>
      </c>
      <c r="AM200" s="110" t="s">
        <v>64</v>
      </c>
      <c r="AN200" s="117"/>
      <c r="AO200" s="118" t="s">
        <v>56</v>
      </c>
      <c r="AP200" s="46"/>
    </row>
    <row r="201" spans="1:42" s="7" customFormat="1" ht="13.5">
      <c r="A201" s="31" t="s">
        <v>617</v>
      </c>
      <c r="B201" s="18"/>
      <c r="C201" s="105" t="s">
        <v>620</v>
      </c>
      <c r="D201" s="97" t="s">
        <v>59</v>
      </c>
      <c r="E201" s="98" t="s">
        <v>60</v>
      </c>
      <c r="F201" s="99" t="s">
        <v>61</v>
      </c>
      <c r="G201" s="37">
        <f>$H201*$I201/2</f>
        <v>16</v>
      </c>
      <c r="H201" s="123">
        <v>1</v>
      </c>
      <c r="I201" s="124">
        <v>32</v>
      </c>
      <c r="J201" s="146">
        <f>$H201/2</f>
        <v>0.5</v>
      </c>
      <c r="K201" s="147">
        <f>$I201/2</f>
        <v>16</v>
      </c>
      <c r="L201" s="77">
        <f>$G201/VLOOKUP($E201,Ore_Density[],2,FALSE)/Vanilla_COG_Divisor</f>
        <v>6.0035543743495614</v>
      </c>
      <c r="M201" s="82" t="str">
        <f>IF(OR($E201="Layered Veins",$E201="Small Deposits",$E201="Geode"),"Motherlode",IF(OR($E201="Pipe Veins",$E201="Sparse Veins",$E201="Vertical Veins"),"No","ERROR"))</f>
        <v>No</v>
      </c>
      <c r="N201" s="86">
        <v>1</v>
      </c>
      <c r="O201" s="86">
        <v>1</v>
      </c>
      <c r="P201" s="82" t="str">
        <f>IF(OR($E201="Layered Veins",$E201="Pipe Veins",$E201="Sparse Veins"),"Branches",IF($E201="Vertical Veins","Vertical","none"))</f>
        <v>Branches</v>
      </c>
      <c r="Q201" s="152">
        <f>SQRT($L201)*$N201</f>
        <v>2.450215168990177</v>
      </c>
      <c r="R201" s="152" t="str">
        <f>IF($M201="Motherlode",(($O201*SQRT($L201))^(1/2))^(1/3),"none")</f>
        <v>none</v>
      </c>
      <c r="S201" s="152">
        <f>IF($P201="Branches",SQRT($L201)^(1/2),IF($P201="Vertical","default",$P201))</f>
        <v>1.5653163159534806</v>
      </c>
      <c r="T201" s="153">
        <f>IF($P201="Branches",SQRT(SQRT($L201))^(1/2),IF($P201="Vertical",SQRT($L201)^(1/2),"none"))</f>
        <v>1.2511260192136844</v>
      </c>
      <c r="U201" s="77">
        <f>$G201/VLOOKUP($F201,Ore_Density[],2,FALSE)/Vanilla_COG_Divisor</f>
        <v>1.3061224489795917</v>
      </c>
      <c r="V201" s="158">
        <f>SQRT($U201)</f>
        <v>1.1428571428571428</v>
      </c>
      <c r="W201" s="147">
        <f>SQRT(SQRT($U201))</f>
        <v>1.0690449676496976</v>
      </c>
      <c r="X201" s="70">
        <f>$Y201+$AB201</f>
        <v>15</v>
      </c>
      <c r="Y201" s="71">
        <f>($AC201-$AB201)/2</f>
        <v>1</v>
      </c>
      <c r="Z201" s="71">
        <f>$AA201+$AB201</f>
        <v>15</v>
      </c>
      <c r="AA201" s="72">
        <f>($AG201-$AB201)/2</f>
        <v>1</v>
      </c>
      <c r="AB201" s="128">
        <v>14</v>
      </c>
      <c r="AC201" s="128">
        <v>16</v>
      </c>
      <c r="AD201" s="128"/>
      <c r="AE201" s="71">
        <f>IF($AD201="No",0,IF($AJ201="overworld",IF($X201&lt;64,64+($X201*3),0),0))</f>
        <v>109</v>
      </c>
      <c r="AF201" s="71">
        <f>IF($AD201="No",0,IF($AJ201="Overworld",IF($X201&lt;64,($Y201*3),0),0))</f>
        <v>3</v>
      </c>
      <c r="AG201" s="32">
        <f>IF($AC201&gt;64,64+(($AC201-64)*2.9),$AC201)</f>
        <v>16</v>
      </c>
      <c r="AH201" s="41" t="s">
        <v>70</v>
      </c>
      <c r="AI201" s="42"/>
      <c r="AJ201" s="131" t="s">
        <v>53</v>
      </c>
      <c r="AK201" s="20" t="str">
        <f>IF($X201&gt;64,"uniform",IF($AJ201="Overworld","normal","uniform"))</f>
        <v>normal</v>
      </c>
      <c r="AL201" s="109" t="s">
        <v>621</v>
      </c>
      <c r="AM201" s="110" t="s">
        <v>64</v>
      </c>
      <c r="AN201" s="117"/>
      <c r="AO201" s="118" t="s">
        <v>56</v>
      </c>
      <c r="AP201" s="46"/>
    </row>
    <row r="202" spans="1:42" s="7" customFormat="1" ht="13.5">
      <c r="A202" s="31" t="s">
        <v>617</v>
      </c>
      <c r="B202" s="18"/>
      <c r="C202" s="105" t="s">
        <v>618</v>
      </c>
      <c r="D202" s="97" t="s">
        <v>59</v>
      </c>
      <c r="E202" s="98" t="s">
        <v>60</v>
      </c>
      <c r="F202" s="99" t="s">
        <v>61</v>
      </c>
      <c r="G202" s="37">
        <f>$H202*$I202/2</f>
        <v>256</v>
      </c>
      <c r="H202" s="123">
        <v>16</v>
      </c>
      <c r="I202" s="124">
        <v>32</v>
      </c>
      <c r="J202" s="146">
        <f>$H202/2</f>
        <v>8</v>
      </c>
      <c r="K202" s="147">
        <f>$I202/2</f>
        <v>16</v>
      </c>
      <c r="L202" s="77">
        <f>$G202/VLOOKUP($E202,Ore_Density[],2,FALSE)/Vanilla_COG_Divisor</f>
        <v>96.056869989592983</v>
      </c>
      <c r="M202" s="82" t="str">
        <f>IF(OR($E202="Layered Veins",$E202="Small Deposits",$E202="Geode"),"Motherlode",IF(OR($E202="Pipe Veins",$E202="Sparse Veins",$E202="Vertical Veins"),"No","ERROR"))</f>
        <v>No</v>
      </c>
      <c r="N202" s="86">
        <v>1</v>
      </c>
      <c r="O202" s="86">
        <v>1</v>
      </c>
      <c r="P202" s="82" t="str">
        <f>IF(OR($E202="Layered Veins",$E202="Pipe Veins",$E202="Sparse Veins"),"Branches",IF($E202="Vertical Veins","Vertical","none"))</f>
        <v>Branches</v>
      </c>
      <c r="Q202" s="152">
        <f>SQRT($L202)*$N202</f>
        <v>9.800860675960708</v>
      </c>
      <c r="R202" s="152" t="str">
        <f>IF($M202="Motherlode",(($O202*SQRT($L202))^(1/2))^(1/3),"none")</f>
        <v>none</v>
      </c>
      <c r="S202" s="152">
        <f>IF($P202="Branches",SQRT($L202)^(1/2),IF($P202="Vertical","default",$P202))</f>
        <v>3.1306326319069613</v>
      </c>
      <c r="T202" s="153">
        <f>IF($P202="Branches",SQRT(SQRT($L202))^(1/2),IF($P202="Vertical",SQRT($L202)^(1/2),"none"))</f>
        <v>1.7693593846098541</v>
      </c>
      <c r="U202" s="77">
        <f>$G202/VLOOKUP($F202,Ore_Density[],2,FALSE)/Vanilla_COG_Divisor</f>
        <v>20.897959183673468</v>
      </c>
      <c r="V202" s="158">
        <f>SQRT($U202)</f>
        <v>4.5714285714285712</v>
      </c>
      <c r="W202" s="147">
        <f>SQRT(SQRT($U202))</f>
        <v>2.1380899352993952</v>
      </c>
      <c r="X202" s="70">
        <f>$Y202+$AB202</f>
        <v>40</v>
      </c>
      <c r="Y202" s="71">
        <f>($AC202-$AB202)/2</f>
        <v>4</v>
      </c>
      <c r="Z202" s="71">
        <f>$AA202+$AB202</f>
        <v>40</v>
      </c>
      <c r="AA202" s="72">
        <f>($AG202-$AB202)/2</f>
        <v>4</v>
      </c>
      <c r="AB202" s="128">
        <v>36</v>
      </c>
      <c r="AC202" s="128">
        <v>44</v>
      </c>
      <c r="AD202" s="128"/>
      <c r="AE202" s="71">
        <f>IF($AD202="No",0,IF($AJ202="overworld",IF($X202&lt;64,64+($X202*3),0),0))</f>
        <v>184</v>
      </c>
      <c r="AF202" s="71">
        <f>IF($AD202="No",0,IF($AJ202="Overworld",IF($X202&lt;64,($Y202*3),0),0))</f>
        <v>12</v>
      </c>
      <c r="AG202" s="32">
        <f>IF($AC202&gt;64,64+(($AC202-64)*2.9),$AC202)</f>
        <v>44</v>
      </c>
      <c r="AH202" s="41" t="s">
        <v>67</v>
      </c>
      <c r="AI202" s="42"/>
      <c r="AJ202" s="131" t="s">
        <v>53</v>
      </c>
      <c r="AK202" s="20" t="str">
        <f>IF($X202&gt;64,"uniform",IF($AJ202="Overworld","normal","uniform"))</f>
        <v>normal</v>
      </c>
      <c r="AL202" s="109" t="s">
        <v>619</v>
      </c>
      <c r="AM202" s="110" t="s">
        <v>64</v>
      </c>
      <c r="AN202" s="117"/>
      <c r="AO202" s="118" t="s">
        <v>56</v>
      </c>
      <c r="AP202" s="46"/>
    </row>
    <row r="203" spans="1:42" s="7" customFormat="1" ht="13.5">
      <c r="A203" s="31" t="s">
        <v>617</v>
      </c>
      <c r="B203" s="18"/>
      <c r="C203" s="105" t="s">
        <v>626</v>
      </c>
      <c r="D203" s="97" t="s">
        <v>59</v>
      </c>
      <c r="E203" s="98" t="s">
        <v>60</v>
      </c>
      <c r="F203" s="99" t="s">
        <v>61</v>
      </c>
      <c r="G203" s="37">
        <f>$H203*$I203/2</f>
        <v>96</v>
      </c>
      <c r="H203" s="123">
        <v>6</v>
      </c>
      <c r="I203" s="124">
        <v>32</v>
      </c>
      <c r="J203" s="146">
        <f>$H203/2</f>
        <v>3</v>
      </c>
      <c r="K203" s="147">
        <f>$I203/2</f>
        <v>16</v>
      </c>
      <c r="L203" s="77">
        <f>$G203/VLOOKUP($E203,Ore_Density[],2,FALSE)/Vanilla_COG_Divisor</f>
        <v>36.021326246097367</v>
      </c>
      <c r="M203" s="82" t="str">
        <f>IF(OR($E203="Layered Veins",$E203="Small Deposits",$E203="Geode"),"Motherlode",IF(OR($E203="Pipe Veins",$E203="Sparse Veins",$E203="Vertical Veins"),"No","ERROR"))</f>
        <v>No</v>
      </c>
      <c r="N203" s="86">
        <v>1</v>
      </c>
      <c r="O203" s="86">
        <v>1</v>
      </c>
      <c r="P203" s="82" t="str">
        <f>IF(OR($E203="Layered Veins",$E203="Pipe Veins",$E203="Sparse Veins"),"Branches",IF($E203="Vertical Veins","Vertical","none"))</f>
        <v>Branches</v>
      </c>
      <c r="Q203" s="152">
        <f>SQRT($L203)*$N203</f>
        <v>6.00177692405319</v>
      </c>
      <c r="R203" s="152" t="str">
        <f>IF($M203="Motherlode",(($O203*SQRT($L203))^(1/2))^(1/3),"none")</f>
        <v>none</v>
      </c>
      <c r="S203" s="152">
        <f>IF($P203="Branches",SQRT($L203)^(1/2),IF($P203="Vertical","default",$P203))</f>
        <v>2.4498524290359183</v>
      </c>
      <c r="T203" s="153">
        <f>IF($P203="Branches",SQRT(SQRT($L203))^(1/2),IF($P203="Vertical",SQRT($L203)^(1/2),"none"))</f>
        <v>1.5652004437246747</v>
      </c>
      <c r="U203" s="77">
        <f>$G203/VLOOKUP($F203,Ore_Density[],2,FALSE)/Vanilla_COG_Divisor</f>
        <v>7.8367346938775508</v>
      </c>
      <c r="V203" s="158">
        <f>SQRT($U203)</f>
        <v>2.7994168488950608</v>
      </c>
      <c r="W203" s="147">
        <f>SQRT(SQRT($U203))</f>
        <v>1.673145794273488</v>
      </c>
      <c r="X203" s="70">
        <f>$Y203+$AB203</f>
        <v>30</v>
      </c>
      <c r="Y203" s="71">
        <f>($AC203-$AB203)/2</f>
        <v>3</v>
      </c>
      <c r="Z203" s="71">
        <f>$AA203+$AB203</f>
        <v>30</v>
      </c>
      <c r="AA203" s="72">
        <f>($AG203-$AB203)/2</f>
        <v>3</v>
      </c>
      <c r="AB203" s="128">
        <v>27</v>
      </c>
      <c r="AC203" s="128">
        <v>33</v>
      </c>
      <c r="AD203" s="128"/>
      <c r="AE203" s="71">
        <f>IF($AD203="No",0,IF($AJ203="overworld",IF($X203&lt;64,64+($X203*3),0),0))</f>
        <v>154</v>
      </c>
      <c r="AF203" s="71">
        <f>IF($AD203="No",0,IF($AJ203="Overworld",IF($X203&lt;64,($Y203*3),0),0))</f>
        <v>9</v>
      </c>
      <c r="AG203" s="32">
        <f>IF($AC203&gt;64,64+(($AC203-64)*2.9),$AC203)</f>
        <v>33</v>
      </c>
      <c r="AH203" s="41" t="s">
        <v>189</v>
      </c>
      <c r="AI203" s="42"/>
      <c r="AJ203" s="131" t="s">
        <v>53</v>
      </c>
      <c r="AK203" s="20" t="str">
        <f>IF($X203&gt;64,"uniform",IF($AJ203="Overworld","normal","uniform"))</f>
        <v>normal</v>
      </c>
      <c r="AL203" s="109" t="s">
        <v>627</v>
      </c>
      <c r="AM203" s="110" t="s">
        <v>64</v>
      </c>
      <c r="AN203" s="117"/>
      <c r="AO203" s="118" t="s">
        <v>56</v>
      </c>
      <c r="AP203" s="46"/>
    </row>
    <row r="204" spans="1:42" s="7" customFormat="1" ht="13.5">
      <c r="A204" s="31" t="s">
        <v>617</v>
      </c>
      <c r="B204" s="18"/>
      <c r="C204" s="105" t="s">
        <v>624</v>
      </c>
      <c r="D204" s="97" t="s">
        <v>59</v>
      </c>
      <c r="E204" s="98" t="s">
        <v>60</v>
      </c>
      <c r="F204" s="99" t="s">
        <v>61</v>
      </c>
      <c r="G204" s="37">
        <f>$H204*$I204/2</f>
        <v>32</v>
      </c>
      <c r="H204" s="123">
        <v>2</v>
      </c>
      <c r="I204" s="124">
        <v>32</v>
      </c>
      <c r="J204" s="146">
        <f>$H204/2</f>
        <v>1</v>
      </c>
      <c r="K204" s="147">
        <f>$I204/2</f>
        <v>16</v>
      </c>
      <c r="L204" s="77">
        <f>$G204/VLOOKUP($E204,Ore_Density[],2,FALSE)/Vanilla_COG_Divisor</f>
        <v>12.007108748699123</v>
      </c>
      <c r="M204" s="82" t="str">
        <f>IF(OR($E204="Layered Veins",$E204="Small Deposits",$E204="Geode"),"Motherlode",IF(OR($E204="Pipe Veins",$E204="Sparse Veins",$E204="Vertical Veins"),"No","ERROR"))</f>
        <v>No</v>
      </c>
      <c r="N204" s="86">
        <v>1</v>
      </c>
      <c r="O204" s="86">
        <v>1</v>
      </c>
      <c r="P204" s="82" t="str">
        <f>IF(OR($E204="Layered Veins",$E204="Pipe Veins",$E204="Sparse Veins"),"Branches",IF($E204="Vertical Veins","Vertical","none"))</f>
        <v>Branches</v>
      </c>
      <c r="Q204" s="152">
        <f>SQRT($L204)*$N204</f>
        <v>3.465127522718193</v>
      </c>
      <c r="R204" s="152" t="str">
        <f>IF($M204="Motherlode",(($O204*SQRT($L204))^(1/2))^(1/3),"none")</f>
        <v>none</v>
      </c>
      <c r="S204" s="152">
        <f>IF($P204="Branches",SQRT($L204)^(1/2),IF($P204="Vertical","default",$P204))</f>
        <v>1.8614853001617264</v>
      </c>
      <c r="T204" s="153">
        <f>IF($P204="Branches",SQRT(SQRT($L204))^(1/2),IF($P204="Vertical",SQRT($L204)^(1/2),"none"))</f>
        <v>1.3643625984912247</v>
      </c>
      <c r="U204" s="77">
        <f>$G204/VLOOKUP($F204,Ore_Density[],2,FALSE)/Vanilla_COG_Divisor</f>
        <v>2.6122448979591835</v>
      </c>
      <c r="V204" s="158">
        <f>SQRT($U204)</f>
        <v>1.6162440712835371</v>
      </c>
      <c r="W204" s="147">
        <f>SQRT(SQRT($U204))</f>
        <v>1.2713158817868739</v>
      </c>
      <c r="X204" s="70">
        <f>$Y204+$AB204</f>
        <v>50</v>
      </c>
      <c r="Y204" s="71">
        <f>($AC204-$AB204)/2</f>
        <v>2</v>
      </c>
      <c r="Z204" s="71">
        <f>$AA204+$AB204</f>
        <v>50</v>
      </c>
      <c r="AA204" s="72">
        <f>($AG204-$AB204)/2</f>
        <v>2</v>
      </c>
      <c r="AB204" s="128">
        <v>48</v>
      </c>
      <c r="AC204" s="128">
        <v>52</v>
      </c>
      <c r="AD204" s="128"/>
      <c r="AE204" s="71">
        <f>IF($AD204="No",0,IF($AJ204="overworld",IF($X204&lt;64,64+($X204*3),0),0))</f>
        <v>214</v>
      </c>
      <c r="AF204" s="71">
        <f>IF($AD204="No",0,IF($AJ204="Overworld",IF($X204&lt;64,($Y204*3),0),0))</f>
        <v>6</v>
      </c>
      <c r="AG204" s="32">
        <f>IF($AC204&gt;64,64+(($AC204-64)*2.9),$AC204)</f>
        <v>52</v>
      </c>
      <c r="AH204" s="41" t="s">
        <v>180</v>
      </c>
      <c r="AI204" s="42"/>
      <c r="AJ204" s="131" t="s">
        <v>53</v>
      </c>
      <c r="AK204" s="20" t="str">
        <f>IF($X204&gt;64,"uniform",IF($AJ204="Overworld","normal","uniform"))</f>
        <v>normal</v>
      </c>
      <c r="AL204" s="109" t="s">
        <v>625</v>
      </c>
      <c r="AM204" s="110" t="s">
        <v>64</v>
      </c>
      <c r="AN204" s="117"/>
      <c r="AO204" s="118" t="s">
        <v>56</v>
      </c>
      <c r="AP204" s="46"/>
    </row>
    <row r="205" spans="1:42" s="7" customFormat="1" ht="13.5">
      <c r="A205" s="31" t="s">
        <v>617</v>
      </c>
      <c r="B205" s="18"/>
      <c r="C205" s="105" t="s">
        <v>385</v>
      </c>
      <c r="D205" s="97" t="s">
        <v>59</v>
      </c>
      <c r="E205" s="98" t="s">
        <v>60</v>
      </c>
      <c r="F205" s="99" t="s">
        <v>61</v>
      </c>
      <c r="G205" s="37">
        <f>$H205*$I205/2</f>
        <v>32</v>
      </c>
      <c r="H205" s="123">
        <v>1</v>
      </c>
      <c r="I205" s="124">
        <v>64</v>
      </c>
      <c r="J205" s="146">
        <f>$H205/2</f>
        <v>0.5</v>
      </c>
      <c r="K205" s="147">
        <f>$I205/2</f>
        <v>32</v>
      </c>
      <c r="L205" s="77">
        <f>$G205/VLOOKUP($E205,Ore_Density[],2,FALSE)/Vanilla_COG_Divisor</f>
        <v>12.007108748699123</v>
      </c>
      <c r="M205" s="82" t="str">
        <f>IF(OR($E205="Layered Veins",$E205="Small Deposits",$E205="Geode"),"Motherlode",IF(OR($E205="Pipe Veins",$E205="Sparse Veins",$E205="Vertical Veins"),"No","ERROR"))</f>
        <v>No</v>
      </c>
      <c r="N205" s="86">
        <v>1</v>
      </c>
      <c r="O205" s="86">
        <v>1</v>
      </c>
      <c r="P205" s="82" t="str">
        <f>IF(OR($E205="Layered Veins",$E205="Pipe Veins",$E205="Sparse Veins"),"Branches",IF($E205="Vertical Veins","Vertical","none"))</f>
        <v>Branches</v>
      </c>
      <c r="Q205" s="152">
        <f>SQRT($L205)*$N205</f>
        <v>3.465127522718193</v>
      </c>
      <c r="R205" s="152" t="str">
        <f>IF($M205="Motherlode",(($O205*SQRT($L205))^(1/2))^(1/3),"none")</f>
        <v>none</v>
      </c>
      <c r="S205" s="152">
        <f>IF($P205="Branches",SQRT($L205)^(1/2),IF($P205="Vertical","default",$P205))</f>
        <v>1.8614853001617264</v>
      </c>
      <c r="T205" s="153">
        <f>IF($P205="Branches",SQRT(SQRT($L205))^(1/2),IF($P205="Vertical",SQRT($L205)^(1/2),"none"))</f>
        <v>1.3643625984912247</v>
      </c>
      <c r="U205" s="77">
        <f>$G205/VLOOKUP($F205,Ore_Density[],2,FALSE)/Vanilla_COG_Divisor</f>
        <v>2.6122448979591835</v>
      </c>
      <c r="V205" s="158">
        <f>SQRT($U205)</f>
        <v>1.6162440712835371</v>
      </c>
      <c r="W205" s="147">
        <f>SQRT(SQRT($U205))</f>
        <v>1.2713158817868739</v>
      </c>
      <c r="X205" s="70">
        <f>$Y205+$AB205</f>
        <v>64</v>
      </c>
      <c r="Y205" s="71">
        <f>($AC205-$AB205)/2</f>
        <v>5</v>
      </c>
      <c r="Z205" s="71">
        <f>$AA205+$AB205</f>
        <v>68.75</v>
      </c>
      <c r="AA205" s="72">
        <f>($AG205-$AB205)/2</f>
        <v>9.75</v>
      </c>
      <c r="AB205" s="128">
        <v>59</v>
      </c>
      <c r="AC205" s="128">
        <v>69</v>
      </c>
      <c r="AD205" s="128"/>
      <c r="AE205" s="71">
        <f>IF($AD205="No",0,IF($AJ205="overworld",IF($X205&lt;64,64+($X205*3),0),0))</f>
        <v>0</v>
      </c>
      <c r="AF205" s="71">
        <f>IF($AD205="No",0,IF($AJ205="Overworld",IF($X205&lt;64,($Y205*3),0),0))</f>
        <v>0</v>
      </c>
      <c r="AG205" s="32">
        <f>IF($AC205&gt;64,64+(($AC205-64)*2.9),$AC205)</f>
        <v>78.5</v>
      </c>
      <c r="AH205" s="41" t="s">
        <v>631</v>
      </c>
      <c r="AI205" s="42"/>
      <c r="AJ205" s="131" t="s">
        <v>53</v>
      </c>
      <c r="AK205" s="20" t="str">
        <f>IF($X205&gt;64,"uniform",IF($AJ205="Overworld","normal","uniform"))</f>
        <v>normal</v>
      </c>
      <c r="AL205" s="109" t="s">
        <v>632</v>
      </c>
      <c r="AM205" s="110" t="s">
        <v>633</v>
      </c>
      <c r="AN205" s="117" t="s">
        <v>634</v>
      </c>
      <c r="AO205" s="118" t="s">
        <v>635</v>
      </c>
      <c r="AP205" s="46"/>
    </row>
    <row r="206" spans="1:42" s="7" customFormat="1" ht="13.5">
      <c r="A206" s="31" t="s">
        <v>617</v>
      </c>
      <c r="B206" s="18"/>
      <c r="C206" s="105" t="s">
        <v>351</v>
      </c>
      <c r="D206" s="97" t="s">
        <v>59</v>
      </c>
      <c r="E206" s="98" t="s">
        <v>79</v>
      </c>
      <c r="F206" s="99" t="s">
        <v>61</v>
      </c>
      <c r="G206" s="37">
        <f>$H206*$I206/2</f>
        <v>20</v>
      </c>
      <c r="H206" s="123">
        <v>10</v>
      </c>
      <c r="I206" s="124">
        <v>4</v>
      </c>
      <c r="J206" s="146">
        <f>$H206/2</f>
        <v>5</v>
      </c>
      <c r="K206" s="147">
        <f>$I206/2</f>
        <v>2</v>
      </c>
      <c r="L206" s="77">
        <f>$G206/VLOOKUP($E206,Ore_Density[],2,FALSE)/Vanilla_COG_Divisor</f>
        <v>2.9154471351300417</v>
      </c>
      <c r="M206" s="82" t="str">
        <f>IF(OR($E206="Layered Veins",$E206="Small Deposits",$E206="Geode"),"Motherlode",IF(OR($E206="Pipe Veins",$E206="Sparse Veins",$E206="Vertical Veins"),"No","ERROR"))</f>
        <v>No</v>
      </c>
      <c r="N206" s="86">
        <v>1</v>
      </c>
      <c r="O206" s="86">
        <v>1</v>
      </c>
      <c r="P206" s="82" t="str">
        <f>IF(OR($E206="Layered Veins",$E206="Pipe Veins",$E206="Sparse Veins"),"Branches",IF($E206="Vertical Veins","Vertical","none"))</f>
        <v>Branches</v>
      </c>
      <c r="Q206" s="152">
        <f>SQRT($L206)*$N206</f>
        <v>1.7074680480553777</v>
      </c>
      <c r="R206" s="152" t="str">
        <f>IF($M206="Motherlode",(($O206*SQRT($L206))^(1/2))^(1/3),"none")</f>
        <v>none</v>
      </c>
      <c r="S206" s="152">
        <f>IF($P206="Branches",SQRT($L206)^(1/2),IF($P206="Vertical","default",$P206))</f>
        <v>1.3067012084081722</v>
      </c>
      <c r="T206" s="153">
        <f>IF($P206="Branches",SQRT(SQRT($L206))^(1/2),IF($P206="Vertical",SQRT($L206)^(1/2),"none"))</f>
        <v>1.1431103220635235</v>
      </c>
      <c r="U206" s="77">
        <f>$G206/VLOOKUP($F206,Ore_Density[],2,FALSE)/Vanilla_COG_Divisor</f>
        <v>1.6326530612244898</v>
      </c>
      <c r="V206" s="158">
        <f>SQRT($U206)</f>
        <v>1.2777531299998799</v>
      </c>
      <c r="W206" s="147">
        <f>SQRT(SQRT($U206))</f>
        <v>1.1303774281185377</v>
      </c>
      <c r="X206" s="70">
        <f>$Y206+$AB206</f>
        <v>11</v>
      </c>
      <c r="Y206" s="71">
        <f>($AC206-$AB206)/2</f>
        <v>5</v>
      </c>
      <c r="Z206" s="71">
        <f>$AA206+$AB206</f>
        <v>11</v>
      </c>
      <c r="AA206" s="72">
        <f>($AG206-$AB206)/2</f>
        <v>5</v>
      </c>
      <c r="AB206" s="128">
        <v>6</v>
      </c>
      <c r="AC206" s="128">
        <v>16</v>
      </c>
      <c r="AD206" s="128" t="s">
        <v>790</v>
      </c>
      <c r="AE206" s="71">
        <f>IF($AD206="No",0,IF($AJ206="overworld",IF($X206&lt;64,64+($X206*3),0),0))</f>
        <v>0</v>
      </c>
      <c r="AF206" s="71">
        <f>IF($AD206="No",0,IF($AJ206="Overworld",IF($X206&lt;64,($Y206*3),0),0))</f>
        <v>0</v>
      </c>
      <c r="AG206" s="32">
        <f>IF($AC206&gt;64,64+(($AC206-64)*2.9),$AC206)</f>
        <v>16</v>
      </c>
      <c r="AH206" s="41" t="s">
        <v>628</v>
      </c>
      <c r="AI206" s="42" t="s">
        <v>629</v>
      </c>
      <c r="AJ206" s="131" t="s">
        <v>53</v>
      </c>
      <c r="AK206" s="20" t="str">
        <f>IF($X206&gt;64,"uniform",IF($AJ206="Overworld","normal","uniform"))</f>
        <v>normal</v>
      </c>
      <c r="AL206" s="109" t="s">
        <v>630</v>
      </c>
      <c r="AM206" s="110" t="s">
        <v>64</v>
      </c>
      <c r="AN206" s="117" t="s">
        <v>83</v>
      </c>
      <c r="AO206" s="118" t="s">
        <v>84</v>
      </c>
      <c r="AP206" s="46"/>
    </row>
    <row r="207" spans="1:42" s="7" customFormat="1" ht="13.5">
      <c r="A207" s="31" t="s">
        <v>649</v>
      </c>
      <c r="B207" s="18"/>
      <c r="C207" s="105" t="s">
        <v>663</v>
      </c>
      <c r="D207" s="97" t="s">
        <v>59</v>
      </c>
      <c r="E207" s="98" t="s">
        <v>60</v>
      </c>
      <c r="F207" s="99" t="s">
        <v>61</v>
      </c>
      <c r="G207" s="37">
        <f>$H207*$I207/2</f>
        <v>24</v>
      </c>
      <c r="H207" s="123">
        <v>8</v>
      </c>
      <c r="I207" s="124">
        <v>6</v>
      </c>
      <c r="J207" s="146">
        <f>$H207/2</f>
        <v>4</v>
      </c>
      <c r="K207" s="147">
        <f>$I207/2</f>
        <v>3</v>
      </c>
      <c r="L207" s="77">
        <f>$G207/VLOOKUP($E207,Ore_Density[],2,FALSE)/Vanilla_COG_Divisor</f>
        <v>9.0053315615243417</v>
      </c>
      <c r="M207" s="82" t="str">
        <f>IF(OR($E207="Layered Veins",$E207="Small Deposits",$E207="Geode"),"Motherlode",IF(OR($E207="Pipe Veins",$E207="Sparse Veins",$E207="Vertical Veins"),"No","ERROR"))</f>
        <v>No</v>
      </c>
      <c r="N207" s="86">
        <v>1</v>
      </c>
      <c r="O207" s="86">
        <v>1</v>
      </c>
      <c r="P207" s="82" t="str">
        <f>IF(OR($E207="Layered Veins",$E207="Pipe Veins",$E207="Sparse Veins"),"Branches",IF($E207="Vertical Veins","Vertical","none"))</f>
        <v>Branches</v>
      </c>
      <c r="Q207" s="152">
        <f>SQRT($L207)*$N207</f>
        <v>3.000888462026595</v>
      </c>
      <c r="R207" s="152" t="str">
        <f>IF($M207="Motherlode",(($O207*SQRT($L207))^(1/2))^(1/3),"none")</f>
        <v>none</v>
      </c>
      <c r="S207" s="152">
        <f>IF($P207="Branches",SQRT($L207)^(1/2),IF($P207="Vertical","default",$P207))</f>
        <v>1.7323072654776333</v>
      </c>
      <c r="T207" s="153">
        <f>IF($P207="Branches",SQRT(SQRT($L207))^(1/2),IF($P207="Vertical",SQRT($L207)^(1/2),"none"))</f>
        <v>1.3161714422816024</v>
      </c>
      <c r="U207" s="77">
        <f>$G207/VLOOKUP($F207,Ore_Density[],2,FALSE)/Vanilla_COG_Divisor</f>
        <v>1.9591836734693877</v>
      </c>
      <c r="V207" s="158">
        <f>SQRT($U207)</f>
        <v>1.3997084244475304</v>
      </c>
      <c r="W207" s="147">
        <f>SQRT(SQRT($U207))</f>
        <v>1.1830927370445354</v>
      </c>
      <c r="X207" s="70">
        <f>$Y207+$AB207</f>
        <v>32</v>
      </c>
      <c r="Y207" s="71">
        <f>($AC207-$AB207)/2</f>
        <v>0</v>
      </c>
      <c r="Z207" s="71">
        <f>$AA207+$AB207</f>
        <v>32</v>
      </c>
      <c r="AA207" s="72">
        <f>($AG207-$AB207)/2</f>
        <v>0</v>
      </c>
      <c r="AB207" s="128">
        <v>32</v>
      </c>
      <c r="AC207" s="128">
        <v>32</v>
      </c>
      <c r="AD207" s="128"/>
      <c r="AE207" s="71">
        <f>IF($AD207="No",0,IF($AJ207="overworld",IF($X207&lt;64,64+($X207*3),0),0))</f>
        <v>0</v>
      </c>
      <c r="AF207" s="71">
        <f>IF($AD207="No",0,IF($AJ207="Overworld",IF($X207&lt;64,($Y207*3),0),0))</f>
        <v>0</v>
      </c>
      <c r="AG207" s="32">
        <f>IF($AC207&gt;64,64+(($AC207-64)*2.9),$AC207)</f>
        <v>32</v>
      </c>
      <c r="AH207" s="41" t="s">
        <v>554</v>
      </c>
      <c r="AI207" s="42"/>
      <c r="AJ207" s="131" t="s">
        <v>96</v>
      </c>
      <c r="AK207" s="20" t="str">
        <f>IF($X207&gt;64,"uniform",IF($AJ207="Overworld","normal","uniform"))</f>
        <v>uniform</v>
      </c>
      <c r="AL207" s="109" t="s">
        <v>664</v>
      </c>
      <c r="AM207" s="110" t="s">
        <v>98</v>
      </c>
      <c r="AN207" s="117"/>
      <c r="AO207" s="118" t="s">
        <v>56</v>
      </c>
      <c r="AP207" s="46"/>
    </row>
    <row r="208" spans="1:42" s="7" customFormat="1" ht="13.5">
      <c r="A208" s="31" t="s">
        <v>649</v>
      </c>
      <c r="B208" s="18"/>
      <c r="C208" s="105" t="s">
        <v>671</v>
      </c>
      <c r="D208" s="97" t="s">
        <v>59</v>
      </c>
      <c r="E208" s="98" t="s">
        <v>66</v>
      </c>
      <c r="F208" s="99" t="s">
        <v>61</v>
      </c>
      <c r="G208" s="37">
        <f>$H208*$I208/2</f>
        <v>6</v>
      </c>
      <c r="H208" s="123">
        <v>8</v>
      </c>
      <c r="I208" s="124">
        <f>12/8</f>
        <v>1.5</v>
      </c>
      <c r="J208" s="146">
        <f>$H208/2</f>
        <v>4</v>
      </c>
      <c r="K208" s="147">
        <f>$I208/2</f>
        <v>0.75</v>
      </c>
      <c r="L208" s="77">
        <f>$G208/VLOOKUP($E208,Ore_Density[],2,FALSE)/Vanilla_COG_Divisor</f>
        <v>0.37573385518590996</v>
      </c>
      <c r="M208" s="82" t="str">
        <f>IF(OR($E208="Layered Veins",$E208="Small Deposits",$E208="Geode"),"Motherlode",IF(OR($E208="Pipe Veins",$E208="Sparse Veins",$E208="Vertical Veins"),"No","ERROR"))</f>
        <v>Motherlode</v>
      </c>
      <c r="N208" s="86">
        <v>1</v>
      </c>
      <c r="O208" s="86">
        <v>1</v>
      </c>
      <c r="P208" s="82" t="str">
        <f>IF(OR($E208="Layered Veins",$E208="Pipe Veins",$E208="Sparse Veins"),"Branches",IF($E208="Vertical Veins","Vertical","none"))</f>
        <v>Branches</v>
      </c>
      <c r="Q208" s="152">
        <f>SQRT($L208)*$N208</f>
        <v>0.61297133308655627</v>
      </c>
      <c r="R208" s="152">
        <f>IF($M208="Motherlode",(($O208*SQRT($L208))^(1/2))^(1/3),"none")</f>
        <v>0.92166556267577893</v>
      </c>
      <c r="S208" s="152">
        <f>IF($P208="Branches",SQRT($L208)^(1/2),IF($P208="Vertical","default",$P208))</f>
        <v>0.78292485788008814</v>
      </c>
      <c r="T208" s="153">
        <f>IF($P208="Branches",SQRT(SQRT($L208))^(1/2),IF($P208="Vertical",SQRT($L208)^(1/2),"none"))</f>
        <v>0.88483041193218948</v>
      </c>
      <c r="U208" s="77">
        <f>$G208/VLOOKUP($F208,Ore_Density[],2,FALSE)/Vanilla_COG_Divisor</f>
        <v>0.48979591836734693</v>
      </c>
      <c r="V208" s="158">
        <f>SQRT($U208)</f>
        <v>0.6998542122237652</v>
      </c>
      <c r="W208" s="147">
        <f>SQRT(SQRT($U208))</f>
        <v>0.83657289713674399</v>
      </c>
      <c r="X208" s="70">
        <f>$Y208+$AB208</f>
        <v>46</v>
      </c>
      <c r="Y208" s="71">
        <f>($AC208-$AB208)/2</f>
        <v>14</v>
      </c>
      <c r="Z208" s="71">
        <f>$AA208+$AB208</f>
        <v>46</v>
      </c>
      <c r="AA208" s="72">
        <f>($AG208-$AB208)/2</f>
        <v>14</v>
      </c>
      <c r="AB208" s="128">
        <v>32</v>
      </c>
      <c r="AC208" s="128">
        <v>60</v>
      </c>
      <c r="AD208" s="128"/>
      <c r="AE208" s="71">
        <f>IF($AD208="No",0,IF($AJ208="overworld",IF($X208&lt;64,64+($X208*3),0),0))</f>
        <v>202</v>
      </c>
      <c r="AF208" s="71">
        <f>IF($AD208="No",0,IF($AJ208="Overworld",IF($X208&lt;64,($Y208*3),0),0))</f>
        <v>42</v>
      </c>
      <c r="AG208" s="32">
        <f>IF($AC208&gt;64,64+(($AC208-64)*2.9),$AC208)</f>
        <v>60</v>
      </c>
      <c r="AH208" s="41" t="s">
        <v>672</v>
      </c>
      <c r="AI208" s="42"/>
      <c r="AJ208" s="131" t="s">
        <v>53</v>
      </c>
      <c r="AK208" s="20" t="str">
        <f>IF($X208&gt;64,"uniform",IF($AJ208="Overworld","normal","uniform"))</f>
        <v>normal</v>
      </c>
      <c r="AL208" s="109" t="s">
        <v>673</v>
      </c>
      <c r="AM208" s="110" t="s">
        <v>64</v>
      </c>
      <c r="AN208" s="117"/>
      <c r="AO208" s="118" t="s">
        <v>56</v>
      </c>
      <c r="AP208" s="46"/>
    </row>
    <row r="209" spans="1:42" s="7" customFormat="1" ht="13.5">
      <c r="A209" s="31" t="s">
        <v>649</v>
      </c>
      <c r="B209" s="18"/>
      <c r="C209" s="105" t="s">
        <v>654</v>
      </c>
      <c r="D209" s="97" t="s">
        <v>59</v>
      </c>
      <c r="E209" s="98" t="s">
        <v>66</v>
      </c>
      <c r="F209" s="99" t="s">
        <v>61</v>
      </c>
      <c r="G209" s="37">
        <f>$H209*$I209/2</f>
        <v>13.5</v>
      </c>
      <c r="H209" s="123">
        <v>9</v>
      </c>
      <c r="I209" s="124">
        <v>3</v>
      </c>
      <c r="J209" s="146">
        <f>$H209/2</f>
        <v>4.5</v>
      </c>
      <c r="K209" s="147">
        <f>$I209/2</f>
        <v>1.5</v>
      </c>
      <c r="L209" s="77">
        <f>$G209/VLOOKUP($E209,Ore_Density[],2,FALSE)/Vanilla_COG_Divisor</f>
        <v>0.84540117416829741</v>
      </c>
      <c r="M209" s="82" t="str">
        <f>IF(OR($E209="Layered Veins",$E209="Small Deposits",$E209="Geode"),"Motherlode",IF(OR($E209="Pipe Veins",$E209="Sparse Veins",$E209="Vertical Veins"),"No","ERROR"))</f>
        <v>Motherlode</v>
      </c>
      <c r="N209" s="86">
        <v>1</v>
      </c>
      <c r="O209" s="86">
        <v>1</v>
      </c>
      <c r="P209" s="82" t="str">
        <f>IF(OR($E209="Layered Veins",$E209="Pipe Veins",$E209="Sparse Veins"),"Branches",IF($E209="Vertical Veins","Vertical","none"))</f>
        <v>Branches</v>
      </c>
      <c r="Q209" s="152">
        <f>SQRT($L209)*$N209</f>
        <v>0.91945699962983451</v>
      </c>
      <c r="R209" s="152">
        <f>IF($M209="Motherlode",(($O209*SQRT($L209))^(1/2))^(1/3),"none")</f>
        <v>0.98610214590110934</v>
      </c>
      <c r="S209" s="152">
        <f>IF($P209="Branches",SQRT($L209)^(1/2),IF($P209="Vertical","default",$P209))</f>
        <v>0.95888320437362684</v>
      </c>
      <c r="T209" s="153">
        <f>IF($P209="Branches",SQRT(SQRT($L209))^(1/2),IF($P209="Vertical",SQRT($L209)^(1/2),"none"))</f>
        <v>0.97922581888634186</v>
      </c>
      <c r="U209" s="77">
        <f>$G209/VLOOKUP($F209,Ore_Density[],2,FALSE)/Vanilla_COG_Divisor</f>
        <v>1.1020408163265307</v>
      </c>
      <c r="V209" s="158">
        <f>SQRT($U209)</f>
        <v>1.0497813183356479</v>
      </c>
      <c r="W209" s="147">
        <f>SQRT(SQRT($U209))</f>
        <v>1.0245883653134307</v>
      </c>
      <c r="X209" s="70">
        <f>$Y209+$AB209</f>
        <v>22</v>
      </c>
      <c r="Y209" s="71">
        <f>($AC209-$AB209)/2</f>
        <v>10</v>
      </c>
      <c r="Z209" s="71">
        <f>$AA209+$AB209</f>
        <v>22</v>
      </c>
      <c r="AA209" s="72">
        <f>($AG209-$AB209)/2</f>
        <v>10</v>
      </c>
      <c r="AB209" s="128">
        <v>12</v>
      </c>
      <c r="AC209" s="128">
        <v>32</v>
      </c>
      <c r="AD209" s="128"/>
      <c r="AE209" s="71">
        <f>IF($AD209="No",0,IF($AJ209="overworld",IF($X209&lt;64,64+($X209*3),0),0))</f>
        <v>130</v>
      </c>
      <c r="AF209" s="71">
        <f>IF($AD209="No",0,IF($AJ209="Overworld",IF($X209&lt;64,($Y209*3),0),0))</f>
        <v>30</v>
      </c>
      <c r="AG209" s="32">
        <f>IF($AC209&gt;64,64+(($AC209-64)*2.9),$AC209)</f>
        <v>32</v>
      </c>
      <c r="AH209" s="41" t="s">
        <v>655</v>
      </c>
      <c r="AI209" s="42"/>
      <c r="AJ209" s="131" t="s">
        <v>53</v>
      </c>
      <c r="AK209" s="20" t="str">
        <f>IF($X209&gt;64,"uniform",IF($AJ209="Overworld","normal","uniform"))</f>
        <v>normal</v>
      </c>
      <c r="AL209" s="109" t="s">
        <v>656</v>
      </c>
      <c r="AM209" s="110" t="s">
        <v>64</v>
      </c>
      <c r="AN209" s="117"/>
      <c r="AO209" s="118" t="s">
        <v>56</v>
      </c>
      <c r="AP209" s="46"/>
    </row>
    <row r="210" spans="1:42" s="7" customFormat="1" ht="13.5">
      <c r="A210" s="31" t="s">
        <v>649</v>
      </c>
      <c r="B210" s="18"/>
      <c r="C210" s="105" t="s">
        <v>665</v>
      </c>
      <c r="D210" s="97" t="s">
        <v>59</v>
      </c>
      <c r="E210" s="98" t="s">
        <v>60</v>
      </c>
      <c r="F210" s="99" t="s">
        <v>61</v>
      </c>
      <c r="G210" s="37">
        <f>$H210*$I210/2</f>
        <v>24</v>
      </c>
      <c r="H210" s="123">
        <v>4</v>
      </c>
      <c r="I210" s="124">
        <v>12</v>
      </c>
      <c r="J210" s="146">
        <f>$H210/2</f>
        <v>2</v>
      </c>
      <c r="K210" s="147">
        <f>$I210/2</f>
        <v>6</v>
      </c>
      <c r="L210" s="77">
        <f>$G210/VLOOKUP($E210,Ore_Density[],2,FALSE)/Vanilla_COG_Divisor</f>
        <v>9.0053315615243417</v>
      </c>
      <c r="M210" s="82" t="str">
        <f>IF(OR($E210="Layered Veins",$E210="Small Deposits",$E210="Geode"),"Motherlode",IF(OR($E210="Pipe Veins",$E210="Sparse Veins",$E210="Vertical Veins"),"No","ERROR"))</f>
        <v>No</v>
      </c>
      <c r="N210" s="86">
        <v>1</v>
      </c>
      <c r="O210" s="86">
        <v>1</v>
      </c>
      <c r="P210" s="82" t="str">
        <f>IF(OR($E210="Layered Veins",$E210="Pipe Veins",$E210="Sparse Veins"),"Branches",IF($E210="Vertical Veins","Vertical","none"))</f>
        <v>Branches</v>
      </c>
      <c r="Q210" s="152">
        <f>SQRT($L210)*$N210</f>
        <v>3.000888462026595</v>
      </c>
      <c r="R210" s="152" t="str">
        <f>IF($M210="Motherlode",(($O210*SQRT($L210))^(1/2))^(1/3),"none")</f>
        <v>none</v>
      </c>
      <c r="S210" s="152">
        <f>IF($P210="Branches",SQRT($L210)^(1/2),IF($P210="Vertical","default",$P210))</f>
        <v>1.7323072654776333</v>
      </c>
      <c r="T210" s="153">
        <f>IF($P210="Branches",SQRT(SQRT($L210))^(1/2),IF($P210="Vertical",SQRT($L210)^(1/2),"none"))</f>
        <v>1.3161714422816024</v>
      </c>
      <c r="U210" s="77">
        <f>$G210/VLOOKUP($F210,Ore_Density[],2,FALSE)/Vanilla_COG_Divisor</f>
        <v>1.9591836734693877</v>
      </c>
      <c r="V210" s="158">
        <f>SQRT($U210)</f>
        <v>1.3997084244475304</v>
      </c>
      <c r="W210" s="147">
        <f>SQRT(SQRT($U210))</f>
        <v>1.1830927370445354</v>
      </c>
      <c r="X210" s="70">
        <f>$Y210+$AB210</f>
        <v>46</v>
      </c>
      <c r="Y210" s="71">
        <f>($AC210-$AB210)/2</f>
        <v>14</v>
      </c>
      <c r="Z210" s="71">
        <f>$AA210+$AB210</f>
        <v>46</v>
      </c>
      <c r="AA210" s="72">
        <f>($AG210-$AB210)/2</f>
        <v>14</v>
      </c>
      <c r="AB210" s="128">
        <v>32</v>
      </c>
      <c r="AC210" s="128">
        <v>60</v>
      </c>
      <c r="AD210" s="128"/>
      <c r="AE210" s="71">
        <f>IF($AD210="No",0,IF($AJ210="overworld",IF($X210&lt;64,64+($X210*3),0),0))</f>
        <v>202</v>
      </c>
      <c r="AF210" s="71">
        <f>IF($AD210="No",0,IF($AJ210="Overworld",IF($X210&lt;64,($Y210*3),0),0))</f>
        <v>42</v>
      </c>
      <c r="AG210" s="32">
        <f>IF($AC210&gt;64,64+(($AC210-64)*2.9),$AC210)</f>
        <v>60</v>
      </c>
      <c r="AH210" s="41" t="s">
        <v>549</v>
      </c>
      <c r="AI210" s="42"/>
      <c r="AJ210" s="131" t="s">
        <v>53</v>
      </c>
      <c r="AK210" s="20" t="str">
        <f>IF($X210&gt;64,"uniform",IF($AJ210="Overworld","normal","uniform"))</f>
        <v>normal</v>
      </c>
      <c r="AL210" s="109" t="s">
        <v>666</v>
      </c>
      <c r="AM210" s="110" t="s">
        <v>64</v>
      </c>
      <c r="AN210" s="117"/>
      <c r="AO210" s="118" t="s">
        <v>56</v>
      </c>
      <c r="AP210" s="46"/>
    </row>
    <row r="211" spans="1:42" s="7" customFormat="1" ht="13.5">
      <c r="A211" s="31" t="s">
        <v>649</v>
      </c>
      <c r="B211" s="18"/>
      <c r="C211" s="105" t="s">
        <v>661</v>
      </c>
      <c r="D211" s="97" t="s">
        <v>59</v>
      </c>
      <c r="E211" s="98" t="s">
        <v>60</v>
      </c>
      <c r="F211" s="99" t="s">
        <v>61</v>
      </c>
      <c r="G211" s="37">
        <f>$H211*$I211/2</f>
        <v>48</v>
      </c>
      <c r="H211" s="123">
        <v>16</v>
      </c>
      <c r="I211" s="124">
        <v>6</v>
      </c>
      <c r="J211" s="146">
        <f>$H211/2</f>
        <v>8</v>
      </c>
      <c r="K211" s="147">
        <f>$I211/2</f>
        <v>3</v>
      </c>
      <c r="L211" s="77">
        <f>$G211/VLOOKUP($E211,Ore_Density[],2,FALSE)/Vanilla_COG_Divisor</f>
        <v>18.010663123048683</v>
      </c>
      <c r="M211" s="82" t="str">
        <f>IF(OR($E211="Layered Veins",$E211="Small Deposits",$E211="Geode"),"Motherlode",IF(OR($E211="Pipe Veins",$E211="Sparse Veins",$E211="Vertical Veins"),"No","ERROR"))</f>
        <v>No</v>
      </c>
      <c r="N211" s="86">
        <v>1</v>
      </c>
      <c r="O211" s="86">
        <v>1</v>
      </c>
      <c r="P211" s="82" t="str">
        <f>IF(OR($E211="Layered Veins",$E211="Pipe Veins",$E211="Sparse Veins"),"Branches",IF($E211="Vertical Veins","Vertical","none"))</f>
        <v>Branches</v>
      </c>
      <c r="Q211" s="152">
        <f>SQRT($L211)*$N211</f>
        <v>4.2438971621669488</v>
      </c>
      <c r="R211" s="152" t="str">
        <f>IF($M211="Motherlode",(($O211*SQRT($L211))^(1/2))^(1/3),"none")</f>
        <v>none</v>
      </c>
      <c r="S211" s="152">
        <f>IF($P211="Branches",SQRT($L211)^(1/2),IF($P211="Vertical","default",$P211))</f>
        <v>2.0600721254769088</v>
      </c>
      <c r="T211" s="153">
        <f>IF($P211="Branches",SQRT(SQRT($L211))^(1/2),IF($P211="Vertical",SQRT($L211)^(1/2),"none"))</f>
        <v>1.4352951353212722</v>
      </c>
      <c r="U211" s="77">
        <f>$G211/VLOOKUP($F211,Ore_Density[],2,FALSE)/Vanilla_COG_Divisor</f>
        <v>3.9183673469387754</v>
      </c>
      <c r="V211" s="158">
        <f>SQRT($U211)</f>
        <v>1.979486637221574</v>
      </c>
      <c r="W211" s="147">
        <f>SQRT(SQRT($U211))</f>
        <v>1.406942300601405</v>
      </c>
      <c r="X211" s="70">
        <f>$Y211+$AB211</f>
        <v>34.5</v>
      </c>
      <c r="Y211" s="71">
        <f>($AC211-$AB211)/2</f>
        <v>29.5</v>
      </c>
      <c r="Z211" s="71">
        <f>$AA211+$AB211</f>
        <v>34.5</v>
      </c>
      <c r="AA211" s="72">
        <f>($AG211-$AB211)/2</f>
        <v>29.5</v>
      </c>
      <c r="AB211" s="128">
        <v>5</v>
      </c>
      <c r="AC211" s="128">
        <v>64</v>
      </c>
      <c r="AD211" s="128"/>
      <c r="AE211" s="71">
        <f>IF($AD211="No",0,IF($AJ211="overworld",IF($X211&lt;64,64+($X211*3),0),0))</f>
        <v>0</v>
      </c>
      <c r="AF211" s="71">
        <f>IF($AD211="No",0,IF($AJ211="Overworld",IF($X211&lt;64,($Y211*3),0),0))</f>
        <v>0</v>
      </c>
      <c r="AG211" s="32">
        <f>IF($AC211&gt;64,64+(($AC211-64)*2.9),$AC211)</f>
        <v>64</v>
      </c>
      <c r="AH211" s="41" t="s">
        <v>651</v>
      </c>
      <c r="AI211" s="42"/>
      <c r="AJ211" s="131" t="s">
        <v>119</v>
      </c>
      <c r="AK211" s="20" t="str">
        <f>IF($X211&gt;64,"uniform",IF($AJ211="Overworld","normal","uniform"))</f>
        <v>uniform</v>
      </c>
      <c r="AL211" s="109" t="s">
        <v>662</v>
      </c>
      <c r="AM211" s="110" t="s">
        <v>121</v>
      </c>
      <c r="AN211" s="117"/>
      <c r="AO211" s="118" t="s">
        <v>56</v>
      </c>
      <c r="AP211" s="46"/>
    </row>
    <row r="212" spans="1:42" s="7" customFormat="1" ht="13.5">
      <c r="A212" s="31" t="s">
        <v>649</v>
      </c>
      <c r="B212" s="18"/>
      <c r="C212" s="105" t="s">
        <v>683</v>
      </c>
      <c r="D212" s="97" t="s">
        <v>59</v>
      </c>
      <c r="E212" s="98" t="s">
        <v>66</v>
      </c>
      <c r="F212" s="99" t="s">
        <v>61</v>
      </c>
      <c r="G212" s="37">
        <f>$H212*$I212/2</f>
        <v>6</v>
      </c>
      <c r="H212" s="123">
        <v>8</v>
      </c>
      <c r="I212" s="124">
        <f>12/8</f>
        <v>1.5</v>
      </c>
      <c r="J212" s="146">
        <f>$H212/2</f>
        <v>4</v>
      </c>
      <c r="K212" s="147">
        <f>$I212/2</f>
        <v>0.75</v>
      </c>
      <c r="L212" s="77">
        <f>$G212/VLOOKUP($E212,Ore_Density[],2,FALSE)/Vanilla_COG_Divisor</f>
        <v>0.37573385518590996</v>
      </c>
      <c r="M212" s="82" t="str">
        <f>IF(OR($E212="Layered Veins",$E212="Small Deposits",$E212="Geode"),"Motherlode",IF(OR($E212="Pipe Veins",$E212="Sparse Veins",$E212="Vertical Veins"),"No","ERROR"))</f>
        <v>Motherlode</v>
      </c>
      <c r="N212" s="86">
        <v>1</v>
      </c>
      <c r="O212" s="86">
        <v>1</v>
      </c>
      <c r="P212" s="82" t="str">
        <f>IF(OR($E212="Layered Veins",$E212="Pipe Veins",$E212="Sparse Veins"),"Branches",IF($E212="Vertical Veins","Vertical","none"))</f>
        <v>Branches</v>
      </c>
      <c r="Q212" s="152">
        <f>SQRT($L212)*$N212</f>
        <v>0.61297133308655627</v>
      </c>
      <c r="R212" s="152">
        <f>IF($M212="Motherlode",(($O212*SQRT($L212))^(1/2))^(1/3),"none")</f>
        <v>0.92166556267577893</v>
      </c>
      <c r="S212" s="152">
        <f>IF($P212="Branches",SQRT($L212)^(1/2),IF($P212="Vertical","default",$P212))</f>
        <v>0.78292485788008814</v>
      </c>
      <c r="T212" s="153">
        <f>IF($P212="Branches",SQRT(SQRT($L212))^(1/2),IF($P212="Vertical",SQRT($L212)^(1/2),"none"))</f>
        <v>0.88483041193218948</v>
      </c>
      <c r="U212" s="77">
        <f>$G212/VLOOKUP($F212,Ore_Density[],2,FALSE)/Vanilla_COG_Divisor</f>
        <v>0.48979591836734693</v>
      </c>
      <c r="V212" s="158">
        <f>SQRT($U212)</f>
        <v>0.6998542122237652</v>
      </c>
      <c r="W212" s="147">
        <f>SQRT(SQRT($U212))</f>
        <v>0.83657289713674399</v>
      </c>
      <c r="X212" s="70">
        <f>$Y212+$AB212</f>
        <v>46</v>
      </c>
      <c r="Y212" s="71">
        <f>($AC212-$AB212)/2</f>
        <v>14</v>
      </c>
      <c r="Z212" s="71">
        <f>$AA212+$AB212</f>
        <v>46</v>
      </c>
      <c r="AA212" s="72">
        <f>($AG212-$AB212)/2</f>
        <v>14</v>
      </c>
      <c r="AB212" s="128">
        <v>32</v>
      </c>
      <c r="AC212" s="128">
        <v>60</v>
      </c>
      <c r="AD212" s="128"/>
      <c r="AE212" s="71">
        <f>IF($AD212="No",0,IF($AJ212="overworld",IF($X212&lt;64,64+($X212*3),0),0))</f>
        <v>202</v>
      </c>
      <c r="AF212" s="71">
        <f>IF($AD212="No",0,IF($AJ212="Overworld",IF($X212&lt;64,($Y212*3),0),0))</f>
        <v>42</v>
      </c>
      <c r="AG212" s="32">
        <f>IF($AC212&gt;64,64+(($AC212-64)*2.9),$AC212)</f>
        <v>60</v>
      </c>
      <c r="AH212" s="41" t="s">
        <v>684</v>
      </c>
      <c r="AI212" s="42"/>
      <c r="AJ212" s="131" t="s">
        <v>53</v>
      </c>
      <c r="AK212" s="20" t="str">
        <f>IF($X212&gt;64,"uniform",IF($AJ212="Overworld","normal","uniform"))</f>
        <v>normal</v>
      </c>
      <c r="AL212" s="109" t="s">
        <v>685</v>
      </c>
      <c r="AM212" s="110" t="s">
        <v>64</v>
      </c>
      <c r="AN212" s="117"/>
      <c r="AO212" s="118" t="s">
        <v>56</v>
      </c>
      <c r="AP212" s="46"/>
    </row>
    <row r="213" spans="1:42" s="7" customFormat="1" ht="13.5">
      <c r="A213" s="31" t="s">
        <v>649</v>
      </c>
      <c r="B213" s="18"/>
      <c r="C213" s="105" t="s">
        <v>657</v>
      </c>
      <c r="D213" s="97" t="s">
        <v>59</v>
      </c>
      <c r="E213" s="98" t="s">
        <v>66</v>
      </c>
      <c r="F213" s="99" t="s">
        <v>61</v>
      </c>
      <c r="G213" s="37">
        <f>$H213*$I213/2</f>
        <v>7</v>
      </c>
      <c r="H213" s="123">
        <v>7</v>
      </c>
      <c r="I213" s="124">
        <v>2</v>
      </c>
      <c r="J213" s="146">
        <f>$H213/2</f>
        <v>3.5</v>
      </c>
      <c r="K213" s="147">
        <f>$I213/2</f>
        <v>1</v>
      </c>
      <c r="L213" s="77">
        <f>$G213/VLOOKUP($E213,Ore_Density[],2,FALSE)/Vanilla_COG_Divisor</f>
        <v>0.43835616438356162</v>
      </c>
      <c r="M213" s="82" t="str">
        <f>IF(OR($E213="Layered Veins",$E213="Small Deposits",$E213="Geode"),"Motherlode",IF(OR($E213="Pipe Veins",$E213="Sparse Veins",$E213="Vertical Veins"),"No","ERROR"))</f>
        <v>Motherlode</v>
      </c>
      <c r="N213" s="86">
        <v>1</v>
      </c>
      <c r="O213" s="86">
        <v>1</v>
      </c>
      <c r="P213" s="82" t="str">
        <f>IF(OR($E213="Layered Veins",$E213="Pipe Veins",$E213="Sparse Veins"),"Branches",IF($E213="Vertical Veins","Vertical","none"))</f>
        <v>Branches</v>
      </c>
      <c r="Q213" s="152">
        <f>SQRT($L213)*$N213</f>
        <v>0.66208471088189436</v>
      </c>
      <c r="R213" s="152">
        <f>IF($M213="Motherlode",(($O213*SQRT($L213))^(1/2))^(1/3),"none")</f>
        <v>0.93358154896074397</v>
      </c>
      <c r="S213" s="152">
        <f>IF($P213="Branches",SQRT($L213)^(1/2),IF($P213="Vertical","default",$P213))</f>
        <v>0.81368587973608975</v>
      </c>
      <c r="T213" s="153">
        <f>IF($P213="Branches",SQRT(SQRT($L213))^(1/2),IF($P213="Vertical",SQRT($L213)^(1/2),"none"))</f>
        <v>0.90204538673843337</v>
      </c>
      <c r="U213" s="77">
        <f>$G213/VLOOKUP($F213,Ore_Density[],2,FALSE)/Vanilla_COG_Divisor</f>
        <v>0.5714285714285714</v>
      </c>
      <c r="V213" s="158">
        <f>SQRT($U213)</f>
        <v>0.7559289460184544</v>
      </c>
      <c r="W213" s="147">
        <f>SQRT(SQRT($U213))</f>
        <v>0.86944174388998274</v>
      </c>
      <c r="X213" s="70">
        <f>$Y213+$AB213</f>
        <v>11</v>
      </c>
      <c r="Y213" s="71">
        <f>($AC213-$AB213)/2</f>
        <v>5</v>
      </c>
      <c r="Z213" s="71">
        <f>$AA213+$AB213</f>
        <v>11</v>
      </c>
      <c r="AA213" s="72">
        <f>($AG213-$AB213)/2</f>
        <v>5</v>
      </c>
      <c r="AB213" s="128">
        <v>6</v>
      </c>
      <c r="AC213" s="128">
        <v>16</v>
      </c>
      <c r="AD213" s="128"/>
      <c r="AE213" s="71">
        <f>IF($AD213="No",0,IF($AJ213="overworld",IF($X213&lt;64,64+($X213*3),0),0))</f>
        <v>97</v>
      </c>
      <c r="AF213" s="71">
        <f>IF($AD213="No",0,IF($AJ213="Overworld",IF($X213&lt;64,($Y213*3),0),0))</f>
        <v>15</v>
      </c>
      <c r="AG213" s="32">
        <f>IF($AC213&gt;64,64+(($AC213-64)*2.9),$AC213)</f>
        <v>16</v>
      </c>
      <c r="AH213" s="41" t="s">
        <v>658</v>
      </c>
      <c r="AI213" s="42"/>
      <c r="AJ213" s="131" t="s">
        <v>53</v>
      </c>
      <c r="AK213" s="20" t="str">
        <f>IF($X213&gt;64,"uniform",IF($AJ213="Overworld","normal","uniform"))</f>
        <v>normal</v>
      </c>
      <c r="AL213" s="109" t="s">
        <v>659</v>
      </c>
      <c r="AM213" s="110" t="s">
        <v>64</v>
      </c>
      <c r="AN213" s="117"/>
      <c r="AO213" s="118" t="s">
        <v>56</v>
      </c>
      <c r="AP213" s="46"/>
    </row>
    <row r="214" spans="1:42" s="7" customFormat="1" ht="13.5">
      <c r="A214" s="31" t="s">
        <v>649</v>
      </c>
      <c r="B214" s="18"/>
      <c r="C214" s="105" t="s">
        <v>680</v>
      </c>
      <c r="D214" s="97" t="s">
        <v>59</v>
      </c>
      <c r="E214" s="98" t="s">
        <v>66</v>
      </c>
      <c r="F214" s="99" t="s">
        <v>61</v>
      </c>
      <c r="G214" s="37">
        <f>$H214*$I214/2</f>
        <v>6</v>
      </c>
      <c r="H214" s="123">
        <v>8</v>
      </c>
      <c r="I214" s="124">
        <f>12/8</f>
        <v>1.5</v>
      </c>
      <c r="J214" s="146">
        <f>$H214/2</f>
        <v>4</v>
      </c>
      <c r="K214" s="147">
        <f>$I214/2</f>
        <v>0.75</v>
      </c>
      <c r="L214" s="77">
        <f>$G214/VLOOKUP($E214,Ore_Density[],2,FALSE)/Vanilla_COG_Divisor</f>
        <v>0.37573385518590996</v>
      </c>
      <c r="M214" s="82" t="str">
        <f>IF(OR($E214="Layered Veins",$E214="Small Deposits",$E214="Geode"),"Motherlode",IF(OR($E214="Pipe Veins",$E214="Sparse Veins",$E214="Vertical Veins"),"No","ERROR"))</f>
        <v>Motherlode</v>
      </c>
      <c r="N214" s="86">
        <v>1</v>
      </c>
      <c r="O214" s="86">
        <v>1</v>
      </c>
      <c r="P214" s="82" t="str">
        <f>IF(OR($E214="Layered Veins",$E214="Pipe Veins",$E214="Sparse Veins"),"Branches",IF($E214="Vertical Veins","Vertical","none"))</f>
        <v>Branches</v>
      </c>
      <c r="Q214" s="152">
        <f>SQRT($L214)*$N214</f>
        <v>0.61297133308655627</v>
      </c>
      <c r="R214" s="152">
        <f>IF($M214="Motherlode",(($O214*SQRT($L214))^(1/2))^(1/3),"none")</f>
        <v>0.92166556267577893</v>
      </c>
      <c r="S214" s="152">
        <f>IF($P214="Branches",SQRT($L214)^(1/2),IF($P214="Vertical","default",$P214))</f>
        <v>0.78292485788008814</v>
      </c>
      <c r="T214" s="153">
        <f>IF($P214="Branches",SQRT(SQRT($L214))^(1/2),IF($P214="Vertical",SQRT($L214)^(1/2),"none"))</f>
        <v>0.88483041193218948</v>
      </c>
      <c r="U214" s="77">
        <f>$G214/VLOOKUP($F214,Ore_Density[],2,FALSE)/Vanilla_COG_Divisor</f>
        <v>0.48979591836734693</v>
      </c>
      <c r="V214" s="158">
        <f>SQRT($U214)</f>
        <v>0.6998542122237652</v>
      </c>
      <c r="W214" s="147">
        <f>SQRT(SQRT($U214))</f>
        <v>0.83657289713674399</v>
      </c>
      <c r="X214" s="70">
        <f>$Y214+$AB214</f>
        <v>46</v>
      </c>
      <c r="Y214" s="71">
        <f>($AC214-$AB214)/2</f>
        <v>14</v>
      </c>
      <c r="Z214" s="71">
        <f>$AA214+$AB214</f>
        <v>46</v>
      </c>
      <c r="AA214" s="72">
        <f>($AG214-$AB214)/2</f>
        <v>14</v>
      </c>
      <c r="AB214" s="128">
        <v>32</v>
      </c>
      <c r="AC214" s="128">
        <v>60</v>
      </c>
      <c r="AD214" s="128"/>
      <c r="AE214" s="71">
        <f>IF($AD214="No",0,IF($AJ214="overworld",IF($X214&lt;64,64+($X214*3),0),0))</f>
        <v>202</v>
      </c>
      <c r="AF214" s="71">
        <f>IF($AD214="No",0,IF($AJ214="Overworld",IF($X214&lt;64,($Y214*3),0),0))</f>
        <v>42</v>
      </c>
      <c r="AG214" s="32">
        <f>IF($AC214&gt;64,64+(($AC214-64)*2.9),$AC214)</f>
        <v>60</v>
      </c>
      <c r="AH214" s="41" t="s">
        <v>681</v>
      </c>
      <c r="AI214" s="42"/>
      <c r="AJ214" s="131" t="s">
        <v>53</v>
      </c>
      <c r="AK214" s="20" t="str">
        <f>IF($X214&gt;64,"uniform",IF($AJ214="Overworld","normal","uniform"))</f>
        <v>normal</v>
      </c>
      <c r="AL214" s="109" t="s">
        <v>682</v>
      </c>
      <c r="AM214" s="110" t="s">
        <v>64</v>
      </c>
      <c r="AN214" s="117"/>
      <c r="AO214" s="118" t="s">
        <v>56</v>
      </c>
      <c r="AP214" s="46"/>
    </row>
    <row r="215" spans="1:42" s="7" customFormat="1" ht="13.5">
      <c r="A215" s="31" t="s">
        <v>649</v>
      </c>
      <c r="B215" s="18"/>
      <c r="C215" s="105" t="s">
        <v>667</v>
      </c>
      <c r="D215" s="97" t="s">
        <v>59</v>
      </c>
      <c r="E215" s="98" t="s">
        <v>60</v>
      </c>
      <c r="F215" s="99" t="s">
        <v>61</v>
      </c>
      <c r="G215" s="37">
        <f>$H215*$I215/2</f>
        <v>56</v>
      </c>
      <c r="H215" s="123">
        <v>16</v>
      </c>
      <c r="I215" s="124">
        <v>7</v>
      </c>
      <c r="J215" s="146">
        <f>$H215/2</f>
        <v>8</v>
      </c>
      <c r="K215" s="147">
        <f>$I215/2</f>
        <v>3.5</v>
      </c>
      <c r="L215" s="77">
        <f>$G215/VLOOKUP($E215,Ore_Density[],2,FALSE)/Vanilla_COG_Divisor</f>
        <v>21.012440310223464</v>
      </c>
      <c r="M215" s="82" t="str">
        <f>IF(OR($E215="Layered Veins",$E215="Small Deposits",$E215="Geode"),"Motherlode",IF(OR($E215="Pipe Veins",$E215="Sparse Veins",$E215="Vertical Veins"),"No","ERROR"))</f>
        <v>No</v>
      </c>
      <c r="N215" s="86">
        <v>1</v>
      </c>
      <c r="O215" s="86">
        <v>1</v>
      </c>
      <c r="P215" s="82" t="str">
        <f>IF(OR($E215="Layered Veins",$E215="Pipe Veins",$E215="Sparse Veins"),"Branches",IF($E215="Vertical Veins","Vertical","none"))</f>
        <v>Branches</v>
      </c>
      <c r="Q215" s="152">
        <f>SQRT($L215)*$N215</f>
        <v>4.583932843118828</v>
      </c>
      <c r="R215" s="152" t="str">
        <f>IF($M215="Motherlode",(($O215*SQRT($L215))^(1/2))^(1/3),"none")</f>
        <v>none</v>
      </c>
      <c r="S215" s="152">
        <f>IF($P215="Branches",SQRT($L215)^(1/2),IF($P215="Vertical","default",$P215))</f>
        <v>2.1410121071864183</v>
      </c>
      <c r="T215" s="153">
        <f>IF($P215="Branches",SQRT(SQRT($L215))^(1/2),IF($P215="Vertical",SQRT($L215)^(1/2),"none"))</f>
        <v>1.4632197740552915</v>
      </c>
      <c r="U215" s="77">
        <f>$G215/VLOOKUP($F215,Ore_Density[],2,FALSE)/Vanilla_COG_Divisor</f>
        <v>4.5714285714285712</v>
      </c>
      <c r="V215" s="158">
        <f>SQRT($U215)</f>
        <v>2.1380899352993952</v>
      </c>
      <c r="W215" s="147">
        <f>SQRT(SQRT($U215))</f>
        <v>1.4622208914180495</v>
      </c>
      <c r="X215" s="70">
        <f>$Y215+$AB215</f>
        <v>94</v>
      </c>
      <c r="Y215" s="71">
        <f>($AC215-$AB215)/2</f>
        <v>34</v>
      </c>
      <c r="Z215" s="71">
        <f>$AA215+$AB215</f>
        <v>154.80000000000001</v>
      </c>
      <c r="AA215" s="72">
        <f>($AG215-$AB215)/2</f>
        <v>94.8</v>
      </c>
      <c r="AB215" s="128">
        <v>60</v>
      </c>
      <c r="AC215" s="128">
        <v>128</v>
      </c>
      <c r="AD215" s="128"/>
      <c r="AE215" s="71">
        <f>IF($AD215="No",0,IF($AJ215="overworld",IF($X215&lt;64,64+($X215*3),0),0))</f>
        <v>0</v>
      </c>
      <c r="AF215" s="71">
        <f>IF($AD215="No",0,IF($AJ215="Overworld",IF($X215&lt;64,($Y215*3),0),0))</f>
        <v>0</v>
      </c>
      <c r="AG215" s="32">
        <f>IF($AC215&gt;64,64+(($AC215-64)*2.9),$AC215)</f>
        <v>249.6</v>
      </c>
      <c r="AH215" s="41" t="s">
        <v>547</v>
      </c>
      <c r="AI215" s="42"/>
      <c r="AJ215" s="131" t="s">
        <v>53</v>
      </c>
      <c r="AK215" s="20" t="str">
        <f>IF($X215&gt;64,"uniform",IF($AJ215="Overworld","normal","uniform"))</f>
        <v>uniform</v>
      </c>
      <c r="AL215" s="109" t="s">
        <v>668</v>
      </c>
      <c r="AM215" s="110" t="s">
        <v>64</v>
      </c>
      <c r="AN215" s="117"/>
      <c r="AO215" s="118" t="s">
        <v>56</v>
      </c>
      <c r="AP215" s="46"/>
    </row>
    <row r="216" spans="1:42" s="7" customFormat="1" ht="13.5">
      <c r="A216" s="31" t="s">
        <v>649</v>
      </c>
      <c r="B216" s="18"/>
      <c r="C216" s="105" t="s">
        <v>677</v>
      </c>
      <c r="D216" s="97" t="s">
        <v>59</v>
      </c>
      <c r="E216" s="98" t="s">
        <v>66</v>
      </c>
      <c r="F216" s="99" t="s">
        <v>61</v>
      </c>
      <c r="G216" s="37">
        <f>$H216*$I216/2</f>
        <v>6</v>
      </c>
      <c r="H216" s="123">
        <v>8</v>
      </c>
      <c r="I216" s="124">
        <f>12/8</f>
        <v>1.5</v>
      </c>
      <c r="J216" s="146">
        <f>$H216/2</f>
        <v>4</v>
      </c>
      <c r="K216" s="147">
        <f>$I216/2</f>
        <v>0.75</v>
      </c>
      <c r="L216" s="77">
        <f>$G216/VLOOKUP($E216,Ore_Density[],2,FALSE)/Vanilla_COG_Divisor</f>
        <v>0.37573385518590996</v>
      </c>
      <c r="M216" s="82" t="str">
        <f>IF(OR($E216="Layered Veins",$E216="Small Deposits",$E216="Geode"),"Motherlode",IF(OR($E216="Pipe Veins",$E216="Sparse Veins",$E216="Vertical Veins"),"No","ERROR"))</f>
        <v>Motherlode</v>
      </c>
      <c r="N216" s="86">
        <v>1</v>
      </c>
      <c r="O216" s="86">
        <v>1</v>
      </c>
      <c r="P216" s="82" t="str">
        <f>IF(OR($E216="Layered Veins",$E216="Pipe Veins",$E216="Sparse Veins"),"Branches",IF($E216="Vertical Veins","Vertical","none"))</f>
        <v>Branches</v>
      </c>
      <c r="Q216" s="152">
        <f>SQRT($L216)*$N216</f>
        <v>0.61297133308655627</v>
      </c>
      <c r="R216" s="152">
        <f>IF($M216="Motherlode",(($O216*SQRT($L216))^(1/2))^(1/3),"none")</f>
        <v>0.92166556267577893</v>
      </c>
      <c r="S216" s="152">
        <f>IF($P216="Branches",SQRT($L216)^(1/2),IF($P216="Vertical","default",$P216))</f>
        <v>0.78292485788008814</v>
      </c>
      <c r="T216" s="153">
        <f>IF($P216="Branches",SQRT(SQRT($L216))^(1/2),IF($P216="Vertical",SQRT($L216)^(1/2),"none"))</f>
        <v>0.88483041193218948</v>
      </c>
      <c r="U216" s="77">
        <f>$G216/VLOOKUP($F216,Ore_Density[],2,FALSE)/Vanilla_COG_Divisor</f>
        <v>0.48979591836734693</v>
      </c>
      <c r="V216" s="158">
        <f>SQRT($U216)</f>
        <v>0.6998542122237652</v>
      </c>
      <c r="W216" s="147">
        <f>SQRT(SQRT($U216))</f>
        <v>0.83657289713674399</v>
      </c>
      <c r="X216" s="70">
        <f>$Y216+$AB216</f>
        <v>46</v>
      </c>
      <c r="Y216" s="71">
        <f>($AC216-$AB216)/2</f>
        <v>14</v>
      </c>
      <c r="Z216" s="71">
        <f>$AA216+$AB216</f>
        <v>46</v>
      </c>
      <c r="AA216" s="72">
        <f>($AG216-$AB216)/2</f>
        <v>14</v>
      </c>
      <c r="AB216" s="128">
        <v>32</v>
      </c>
      <c r="AC216" s="128">
        <v>60</v>
      </c>
      <c r="AD216" s="128"/>
      <c r="AE216" s="71">
        <f>IF($AD216="No",0,IF($AJ216="overworld",IF($X216&lt;64,64+($X216*3),0),0))</f>
        <v>202</v>
      </c>
      <c r="AF216" s="71">
        <f>IF($AD216="No",0,IF($AJ216="Overworld",IF($X216&lt;64,($Y216*3),0),0))</f>
        <v>42</v>
      </c>
      <c r="AG216" s="32">
        <f>IF($AC216&gt;64,64+(($AC216-64)*2.9),$AC216)</f>
        <v>60</v>
      </c>
      <c r="AH216" s="41" t="s">
        <v>678</v>
      </c>
      <c r="AI216" s="42"/>
      <c r="AJ216" s="131" t="s">
        <v>53</v>
      </c>
      <c r="AK216" s="20" t="str">
        <f>IF($X216&gt;64,"uniform",IF($AJ216="Overworld","normal","uniform"))</f>
        <v>normal</v>
      </c>
      <c r="AL216" s="109" t="s">
        <v>679</v>
      </c>
      <c r="AM216" s="110" t="s">
        <v>64</v>
      </c>
      <c r="AN216" s="117"/>
      <c r="AO216" s="118" t="s">
        <v>56</v>
      </c>
      <c r="AP216" s="46"/>
    </row>
    <row r="217" spans="1:42" s="7" customFormat="1" ht="13.5">
      <c r="A217" s="31" t="s">
        <v>649</v>
      </c>
      <c r="B217" s="18"/>
      <c r="C217" s="105" t="s">
        <v>674</v>
      </c>
      <c r="D217" s="97" t="s">
        <v>59</v>
      </c>
      <c r="E217" s="98" t="s">
        <v>66</v>
      </c>
      <c r="F217" s="99" t="s">
        <v>61</v>
      </c>
      <c r="G217" s="37">
        <f>$H217*$I217/2</f>
        <v>6</v>
      </c>
      <c r="H217" s="123">
        <v>8</v>
      </c>
      <c r="I217" s="124">
        <f>12/8</f>
        <v>1.5</v>
      </c>
      <c r="J217" s="146">
        <f>$H217/2</f>
        <v>4</v>
      </c>
      <c r="K217" s="147">
        <f>$I217/2</f>
        <v>0.75</v>
      </c>
      <c r="L217" s="77">
        <f>$G217/VLOOKUP($E217,Ore_Density[],2,FALSE)/Vanilla_COG_Divisor</f>
        <v>0.37573385518590996</v>
      </c>
      <c r="M217" s="82" t="str">
        <f>IF(OR($E217="Layered Veins",$E217="Small Deposits",$E217="Geode"),"Motherlode",IF(OR($E217="Pipe Veins",$E217="Sparse Veins",$E217="Vertical Veins"),"No","ERROR"))</f>
        <v>Motherlode</v>
      </c>
      <c r="N217" s="86">
        <v>1</v>
      </c>
      <c r="O217" s="86">
        <v>1</v>
      </c>
      <c r="P217" s="82" t="str">
        <f>IF(OR($E217="Layered Veins",$E217="Pipe Veins",$E217="Sparse Veins"),"Branches",IF($E217="Vertical Veins","Vertical","none"))</f>
        <v>Branches</v>
      </c>
      <c r="Q217" s="152">
        <f>SQRT($L217)*$N217</f>
        <v>0.61297133308655627</v>
      </c>
      <c r="R217" s="152">
        <f>IF($M217="Motherlode",(($O217*SQRT($L217))^(1/2))^(1/3),"none")</f>
        <v>0.92166556267577893</v>
      </c>
      <c r="S217" s="152">
        <f>IF($P217="Branches",SQRT($L217)^(1/2),IF($P217="Vertical","default",$P217))</f>
        <v>0.78292485788008814</v>
      </c>
      <c r="T217" s="153">
        <f>IF($P217="Branches",SQRT(SQRT($L217))^(1/2),IF($P217="Vertical",SQRT($L217)^(1/2),"none"))</f>
        <v>0.88483041193218948</v>
      </c>
      <c r="U217" s="77">
        <f>$G217/VLOOKUP($F217,Ore_Density[],2,FALSE)/Vanilla_COG_Divisor</f>
        <v>0.48979591836734693</v>
      </c>
      <c r="V217" s="158">
        <f>SQRT($U217)</f>
        <v>0.6998542122237652</v>
      </c>
      <c r="W217" s="147">
        <f>SQRT(SQRT($U217))</f>
        <v>0.83657289713674399</v>
      </c>
      <c r="X217" s="70">
        <f>$Y217+$AB217</f>
        <v>46</v>
      </c>
      <c r="Y217" s="71">
        <f>($AC217-$AB217)/2</f>
        <v>14</v>
      </c>
      <c r="Z217" s="71">
        <f>$AA217+$AB217</f>
        <v>46</v>
      </c>
      <c r="AA217" s="72">
        <f>($AG217-$AB217)/2</f>
        <v>14</v>
      </c>
      <c r="AB217" s="128">
        <v>32</v>
      </c>
      <c r="AC217" s="128">
        <v>60</v>
      </c>
      <c r="AD217" s="128"/>
      <c r="AE217" s="71">
        <f>IF($AD217="No",0,IF($AJ217="overworld",IF($X217&lt;64,64+($X217*3),0),0))</f>
        <v>202</v>
      </c>
      <c r="AF217" s="71">
        <f>IF($AD217="No",0,IF($AJ217="Overworld",IF($X217&lt;64,($Y217*3),0),0))</f>
        <v>42</v>
      </c>
      <c r="AG217" s="32">
        <f>IF($AC217&gt;64,64+(($AC217-64)*2.9),$AC217)</f>
        <v>60</v>
      </c>
      <c r="AH217" s="41" t="s">
        <v>675</v>
      </c>
      <c r="AI217" s="42"/>
      <c r="AJ217" s="131" t="s">
        <v>53</v>
      </c>
      <c r="AK217" s="20" t="str">
        <f>IF($X217&gt;64,"uniform",IF($AJ217="Overworld","normal","uniform"))</f>
        <v>normal</v>
      </c>
      <c r="AL217" s="109" t="s">
        <v>676</v>
      </c>
      <c r="AM217" s="110" t="s">
        <v>64</v>
      </c>
      <c r="AN217" s="117"/>
      <c r="AO217" s="118" t="s">
        <v>56</v>
      </c>
      <c r="AP217" s="46"/>
    </row>
    <row r="218" spans="1:42" s="7" customFormat="1" ht="13.5">
      <c r="A218" s="31" t="s">
        <v>649</v>
      </c>
      <c r="B218" s="18"/>
      <c r="C218" s="105" t="s">
        <v>650</v>
      </c>
      <c r="D218" s="97" t="s">
        <v>59</v>
      </c>
      <c r="E218" s="98" t="s">
        <v>60</v>
      </c>
      <c r="F218" s="99" t="s">
        <v>61</v>
      </c>
      <c r="G218" s="37">
        <f>$H218*$I218/2</f>
        <v>24</v>
      </c>
      <c r="H218" s="123">
        <v>16</v>
      </c>
      <c r="I218" s="124">
        <v>3</v>
      </c>
      <c r="J218" s="146">
        <f>$H218/2</f>
        <v>8</v>
      </c>
      <c r="K218" s="147">
        <f>$I218/2</f>
        <v>1.5</v>
      </c>
      <c r="L218" s="77">
        <f>$G218/VLOOKUP($E218,Ore_Density[],2,FALSE)/Vanilla_COG_Divisor</f>
        <v>9.0053315615243417</v>
      </c>
      <c r="M218" s="82" t="str">
        <f>IF(OR($E218="Layered Veins",$E218="Small Deposits",$E218="Geode"),"Motherlode",IF(OR($E218="Pipe Veins",$E218="Sparse Veins",$E218="Vertical Veins"),"No","ERROR"))</f>
        <v>No</v>
      </c>
      <c r="N218" s="86">
        <v>1</v>
      </c>
      <c r="O218" s="86">
        <v>1</v>
      </c>
      <c r="P218" s="82" t="str">
        <f>IF(OR($E218="Layered Veins",$E218="Pipe Veins",$E218="Sparse Veins"),"Branches",IF($E218="Vertical Veins","Vertical","none"))</f>
        <v>Branches</v>
      </c>
      <c r="Q218" s="152">
        <f>SQRT($L218)*$N218</f>
        <v>3.000888462026595</v>
      </c>
      <c r="R218" s="152" t="str">
        <f>IF($M218="Motherlode",(($O218*SQRT($L218))^(1/2))^(1/3),"none")</f>
        <v>none</v>
      </c>
      <c r="S218" s="152">
        <f>IF($P218="Branches",SQRT($L218)^(1/2),IF($P218="Vertical","default",$P218))</f>
        <v>1.7323072654776333</v>
      </c>
      <c r="T218" s="153">
        <f>IF($P218="Branches",SQRT(SQRT($L218))^(1/2),IF($P218="Vertical",SQRT($L218)^(1/2),"none"))</f>
        <v>1.3161714422816024</v>
      </c>
      <c r="U218" s="77">
        <f>$G218/VLOOKUP($F218,Ore_Density[],2,FALSE)/Vanilla_COG_Divisor</f>
        <v>1.9591836734693877</v>
      </c>
      <c r="V218" s="158">
        <f>SQRT($U218)</f>
        <v>1.3997084244475304</v>
      </c>
      <c r="W218" s="147">
        <f>SQRT(SQRT($U218))</f>
        <v>1.1830927370445354</v>
      </c>
      <c r="X218" s="70">
        <f>$Y218+$AB218</f>
        <v>16</v>
      </c>
      <c r="Y218" s="71">
        <f>($AC218-$AB218)/2</f>
        <v>8</v>
      </c>
      <c r="Z218" s="71">
        <f>$AA218+$AB218</f>
        <v>16</v>
      </c>
      <c r="AA218" s="72">
        <f>($AG218-$AB218)/2</f>
        <v>8</v>
      </c>
      <c r="AB218" s="128">
        <v>8</v>
      </c>
      <c r="AC218" s="128">
        <v>24</v>
      </c>
      <c r="AD218" s="128" t="s">
        <v>790</v>
      </c>
      <c r="AE218" s="71">
        <f>IF($AD218="No",0,IF($AJ218="overworld",IF($X218&lt;64,64+($X218*3),0),0))</f>
        <v>0</v>
      </c>
      <c r="AF218" s="71">
        <f>IF($AD218="No",0,IF($AJ218="Overworld",IF($X218&lt;64,($Y218*3),0),0))</f>
        <v>0</v>
      </c>
      <c r="AG218" s="32">
        <f>IF($AC218&gt;64,64+(($AC218-64)*2.9),$AC218)</f>
        <v>24</v>
      </c>
      <c r="AH218" s="41" t="s">
        <v>651</v>
      </c>
      <c r="AI218" s="42"/>
      <c r="AJ218" s="131" t="s">
        <v>53</v>
      </c>
      <c r="AK218" s="20" t="str">
        <f>IF($X218&gt;64,"uniform",IF($AJ218="Overworld","normal","uniform"))</f>
        <v>normal</v>
      </c>
      <c r="AL218" s="109" t="s">
        <v>652</v>
      </c>
      <c r="AM218" s="110" t="s">
        <v>64</v>
      </c>
      <c r="AN218" s="117" t="s">
        <v>653</v>
      </c>
      <c r="AO218" s="118" t="s">
        <v>56</v>
      </c>
      <c r="AP218" s="46"/>
    </row>
    <row r="219" spans="1:42" s="7" customFormat="1" ht="13.5">
      <c r="A219" s="31" t="s">
        <v>649</v>
      </c>
      <c r="B219" s="18"/>
      <c r="C219" s="105" t="s">
        <v>686</v>
      </c>
      <c r="D219" s="97" t="s">
        <v>59</v>
      </c>
      <c r="E219" s="98" t="s">
        <v>66</v>
      </c>
      <c r="F219" s="99" t="s">
        <v>61</v>
      </c>
      <c r="G219" s="37">
        <f>$H219*$I219/2</f>
        <v>6</v>
      </c>
      <c r="H219" s="123">
        <v>8</v>
      </c>
      <c r="I219" s="124">
        <f>12/8</f>
        <v>1.5</v>
      </c>
      <c r="J219" s="146">
        <f>$H219/2</f>
        <v>4</v>
      </c>
      <c r="K219" s="147">
        <f>$I219/2</f>
        <v>0.75</v>
      </c>
      <c r="L219" s="77">
        <f>$G219/VLOOKUP($E219,Ore_Density[],2,FALSE)/Vanilla_COG_Divisor</f>
        <v>0.37573385518590996</v>
      </c>
      <c r="M219" s="82" t="str">
        <f>IF(OR($E219="Layered Veins",$E219="Small Deposits",$E219="Geode"),"Motherlode",IF(OR($E219="Pipe Veins",$E219="Sparse Veins",$E219="Vertical Veins"),"No","ERROR"))</f>
        <v>Motherlode</v>
      </c>
      <c r="N219" s="86">
        <v>1</v>
      </c>
      <c r="O219" s="86">
        <v>1</v>
      </c>
      <c r="P219" s="82" t="str">
        <f>IF(OR($E219="Layered Veins",$E219="Pipe Veins",$E219="Sparse Veins"),"Branches",IF($E219="Vertical Veins","Vertical","none"))</f>
        <v>Branches</v>
      </c>
      <c r="Q219" s="152">
        <f>SQRT($L219)*$N219</f>
        <v>0.61297133308655627</v>
      </c>
      <c r="R219" s="152">
        <f>IF($M219="Motherlode",(($O219*SQRT($L219))^(1/2))^(1/3),"none")</f>
        <v>0.92166556267577893</v>
      </c>
      <c r="S219" s="152">
        <f>IF($P219="Branches",SQRT($L219)^(1/2),IF($P219="Vertical","default",$P219))</f>
        <v>0.78292485788008814</v>
      </c>
      <c r="T219" s="153">
        <f>IF($P219="Branches",SQRT(SQRT($L219))^(1/2),IF($P219="Vertical",SQRT($L219)^(1/2),"none"))</f>
        <v>0.88483041193218948</v>
      </c>
      <c r="U219" s="77">
        <f>$G219/VLOOKUP($F219,Ore_Density[],2,FALSE)/Vanilla_COG_Divisor</f>
        <v>0.48979591836734693</v>
      </c>
      <c r="V219" s="158">
        <f>SQRT($U219)</f>
        <v>0.6998542122237652</v>
      </c>
      <c r="W219" s="147">
        <f>SQRT(SQRT($U219))</f>
        <v>0.83657289713674399</v>
      </c>
      <c r="X219" s="70">
        <f>$Y219+$AB219</f>
        <v>46</v>
      </c>
      <c r="Y219" s="71">
        <f>($AC219-$AB219)/2</f>
        <v>14</v>
      </c>
      <c r="Z219" s="71">
        <f>$AA219+$AB219</f>
        <v>46</v>
      </c>
      <c r="AA219" s="72">
        <f>($AG219-$AB219)/2</f>
        <v>14</v>
      </c>
      <c r="AB219" s="128">
        <v>32</v>
      </c>
      <c r="AC219" s="128">
        <v>60</v>
      </c>
      <c r="AD219" s="128"/>
      <c r="AE219" s="71">
        <f>IF($AD219="No",0,IF($AJ219="overworld",IF($X219&lt;64,64+($X219*3),0),0))</f>
        <v>202</v>
      </c>
      <c r="AF219" s="71">
        <f>IF($AD219="No",0,IF($AJ219="Overworld",IF($X219&lt;64,($Y219*3),0),0))</f>
        <v>42</v>
      </c>
      <c r="AG219" s="32">
        <f>IF($AC219&gt;64,64+(($AC219-64)*2.9),$AC219)</f>
        <v>60</v>
      </c>
      <c r="AH219" s="41" t="s">
        <v>687</v>
      </c>
      <c r="AI219" s="42"/>
      <c r="AJ219" s="131" t="s">
        <v>53</v>
      </c>
      <c r="AK219" s="20" t="str">
        <f>IF($X219&gt;64,"uniform",IF($AJ219="Overworld","normal","uniform"))</f>
        <v>normal</v>
      </c>
      <c r="AL219" s="109" t="s">
        <v>688</v>
      </c>
      <c r="AM219" s="110" t="s">
        <v>64</v>
      </c>
      <c r="AN219" s="117"/>
      <c r="AO219" s="118" t="s">
        <v>56</v>
      </c>
      <c r="AP219" s="46"/>
    </row>
    <row r="220" spans="1:42" s="7" customFormat="1" ht="13.5">
      <c r="A220" s="31" t="s">
        <v>649</v>
      </c>
      <c r="B220" s="18"/>
      <c r="C220" s="105" t="s">
        <v>173</v>
      </c>
      <c r="D220" s="97" t="s">
        <v>59</v>
      </c>
      <c r="E220" s="98" t="s">
        <v>66</v>
      </c>
      <c r="F220" s="99" t="s">
        <v>61</v>
      </c>
      <c r="G220" s="37">
        <f>$H220*$I220/2</f>
        <v>9</v>
      </c>
      <c r="H220" s="123">
        <v>9</v>
      </c>
      <c r="I220" s="124">
        <v>2</v>
      </c>
      <c r="J220" s="146">
        <f>$H220/2</f>
        <v>4.5</v>
      </c>
      <c r="K220" s="147">
        <f>$I220/2</f>
        <v>1</v>
      </c>
      <c r="L220" s="77">
        <f>$G220/VLOOKUP($E220,Ore_Density[],2,FALSE)/Vanilla_COG_Divisor</f>
        <v>0.56360078277886494</v>
      </c>
      <c r="M220" s="82" t="str">
        <f>IF(OR($E220="Layered Veins",$E220="Small Deposits",$E220="Geode"),"Motherlode",IF(OR($E220="Pipe Veins",$E220="Sparse Veins",$E220="Vertical Veins"),"No","ERROR"))</f>
        <v>Motherlode</v>
      </c>
      <c r="N220" s="86">
        <v>1</v>
      </c>
      <c r="O220" s="86">
        <v>1</v>
      </c>
      <c r="P220" s="82" t="str">
        <f>IF(OR($E220="Layered Veins",$E220="Pipe Veins",$E220="Sparse Veins"),"Branches",IF($E220="Vertical Veins","Vertical","none"))</f>
        <v>Branches</v>
      </c>
      <c r="Q220" s="152">
        <f>SQRT($L220)*$N220</f>
        <v>0.75073349650782528</v>
      </c>
      <c r="R220" s="152">
        <f>IF($M220="Motherlode",(($O220*SQRT($L220))^(1/2))^(1/3),"none")</f>
        <v>0.95333959802251944</v>
      </c>
      <c r="S220" s="152">
        <f>IF($P220="Branches",SQRT($L220)^(1/2),IF($P220="Vertical","default",$P220))</f>
        <v>0.86644878469983744</v>
      </c>
      <c r="T220" s="153">
        <f>IF($P220="Branches",SQRT(SQRT($L220))^(1/2),IF($P220="Vertical",SQRT($L220)^(1/2),"none"))</f>
        <v>0.93083230750755397</v>
      </c>
      <c r="U220" s="77">
        <f>$G220/VLOOKUP($F220,Ore_Density[],2,FALSE)/Vanilla_COG_Divisor</f>
        <v>0.73469387755102045</v>
      </c>
      <c r="V220" s="158">
        <f>SQRT($U220)</f>
        <v>0.85714285714285721</v>
      </c>
      <c r="W220" s="147">
        <f>SQRT(SQRT($U220))</f>
        <v>0.92582009977255153</v>
      </c>
      <c r="X220" s="70">
        <f>$Y220+$AB220</f>
        <v>28</v>
      </c>
      <c r="Y220" s="71">
        <f>($AC220-$AB220)/2</f>
        <v>12</v>
      </c>
      <c r="Z220" s="71">
        <f>$AA220+$AB220</f>
        <v>28</v>
      </c>
      <c r="AA220" s="72">
        <f>($AG220-$AB220)/2</f>
        <v>12</v>
      </c>
      <c r="AB220" s="128">
        <v>16</v>
      </c>
      <c r="AC220" s="128">
        <v>40</v>
      </c>
      <c r="AD220" s="128"/>
      <c r="AE220" s="71">
        <f>IF($AD220="No",0,IF($AJ220="overworld",IF($X220&lt;64,64+($X220*3),0),0))</f>
        <v>148</v>
      </c>
      <c r="AF220" s="71">
        <f>IF($AD220="No",0,IF($AJ220="Overworld",IF($X220&lt;64,($Y220*3),0),0))</f>
        <v>36</v>
      </c>
      <c r="AG220" s="32">
        <f>IF($AC220&gt;64,64+(($AC220-64)*2.9),$AC220)</f>
        <v>40</v>
      </c>
      <c r="AH220" s="41" t="s">
        <v>174</v>
      </c>
      <c r="AI220" s="42"/>
      <c r="AJ220" s="131" t="s">
        <v>53</v>
      </c>
      <c r="AK220" s="20" t="str">
        <f>IF($X220&gt;64,"uniform",IF($AJ220="Overworld","normal","uniform"))</f>
        <v>normal</v>
      </c>
      <c r="AL220" s="109" t="s">
        <v>660</v>
      </c>
      <c r="AM220" s="110" t="s">
        <v>64</v>
      </c>
      <c r="AN220" s="117"/>
      <c r="AO220" s="118" t="s">
        <v>56</v>
      </c>
      <c r="AP220" s="46"/>
    </row>
    <row r="221" spans="1:42" s="7" customFormat="1" ht="13.5">
      <c r="A221" s="31" t="s">
        <v>649</v>
      </c>
      <c r="B221" s="18"/>
      <c r="C221" s="105" t="s">
        <v>669</v>
      </c>
      <c r="D221" s="97" t="s">
        <v>59</v>
      </c>
      <c r="E221" s="98" t="s">
        <v>60</v>
      </c>
      <c r="F221" s="99" t="s">
        <v>61</v>
      </c>
      <c r="G221" s="37">
        <f>$H221*$I221/2</f>
        <v>12</v>
      </c>
      <c r="H221" s="123">
        <v>24</v>
      </c>
      <c r="I221" s="124">
        <v>1</v>
      </c>
      <c r="J221" s="146">
        <f>$H221/2</f>
        <v>12</v>
      </c>
      <c r="K221" s="147">
        <f>$I221/2</f>
        <v>0.5</v>
      </c>
      <c r="L221" s="77">
        <f>$G221/VLOOKUP($E221,Ore_Density[],2,FALSE)/Vanilla_COG_Divisor</f>
        <v>4.5026657807621708</v>
      </c>
      <c r="M221" s="82" t="str">
        <f>IF(OR($E221="Layered Veins",$E221="Small Deposits",$E221="Geode"),"Motherlode",IF(OR($E221="Pipe Veins",$E221="Sparse Veins",$E221="Vertical Veins"),"No","ERROR"))</f>
        <v>No</v>
      </c>
      <c r="N221" s="86">
        <v>1</v>
      </c>
      <c r="O221" s="86">
        <v>1</v>
      </c>
      <c r="P221" s="82" t="str">
        <f>IF(OR($E221="Layered Veins",$E221="Pipe Veins",$E221="Sparse Veins"),"Branches",IF($E221="Vertical Veins","Vertical","none"))</f>
        <v>Branches</v>
      </c>
      <c r="Q221" s="152">
        <f>SQRT($L221)*$N221</f>
        <v>2.1219485810834744</v>
      </c>
      <c r="R221" s="152" t="str">
        <f>IF($M221="Motherlode",(($O221*SQRT($L221))^(1/2))^(1/3),"none")</f>
        <v>none</v>
      </c>
      <c r="S221" s="152">
        <f>IF($P221="Branches",SQRT($L221)^(1/2),IF($P221="Vertical","default",$P221))</f>
        <v>1.4566909696581065</v>
      </c>
      <c r="T221" s="153">
        <f>IF($P221="Branches",SQRT(SQRT($L221))^(1/2),IF($P221="Vertical",SQRT($L221)^(1/2),"none"))</f>
        <v>1.2069345341227529</v>
      </c>
      <c r="U221" s="77">
        <f>$G221/VLOOKUP($F221,Ore_Density[],2,FALSE)/Vanilla_COG_Divisor</f>
        <v>0.97959183673469385</v>
      </c>
      <c r="V221" s="158">
        <f>SQRT($U221)</f>
        <v>0.98974331861078702</v>
      </c>
      <c r="W221" s="147">
        <f>SQRT(SQRT($U221))</f>
        <v>0.99485844149345537</v>
      </c>
      <c r="X221" s="70">
        <f>$Y221+$AB221</f>
        <v>18.5</v>
      </c>
      <c r="Y221" s="71">
        <f>($AC221-$AB221)/2</f>
        <v>13.5</v>
      </c>
      <c r="Z221" s="71">
        <f>$AA221+$AB221</f>
        <v>18.5</v>
      </c>
      <c r="AA221" s="72">
        <f>($AG221-$AB221)/2</f>
        <v>13.5</v>
      </c>
      <c r="AB221" s="128">
        <v>5</v>
      </c>
      <c r="AC221" s="128">
        <v>32</v>
      </c>
      <c r="AD221" s="128"/>
      <c r="AE221" s="71">
        <f>IF($AD221="No",0,IF($AJ221="overworld",IF($X221&lt;64,64+($X221*3),0),0))</f>
        <v>0</v>
      </c>
      <c r="AF221" s="71">
        <f>IF($AD221="No",0,IF($AJ221="Overworld",IF($X221&lt;64,($Y221*3),0),0))</f>
        <v>0</v>
      </c>
      <c r="AG221" s="32">
        <f>IF($AC221&gt;64,64+(($AC221-64)*2.9),$AC221)</f>
        <v>32</v>
      </c>
      <c r="AH221" s="41" t="s">
        <v>516</v>
      </c>
      <c r="AI221" s="42"/>
      <c r="AJ221" s="131" t="s">
        <v>96</v>
      </c>
      <c r="AK221" s="20" t="str">
        <f>IF($X221&gt;64,"uniform",IF($AJ221="Overworld","normal","uniform"))</f>
        <v>uniform</v>
      </c>
      <c r="AL221" s="109" t="s">
        <v>670</v>
      </c>
      <c r="AM221" s="110" t="s">
        <v>98</v>
      </c>
      <c r="AN221" s="117"/>
      <c r="AO221" s="118" t="s">
        <v>56</v>
      </c>
      <c r="AP221" s="46"/>
    </row>
    <row r="222" spans="1:42" s="7" customFormat="1" ht="13.5">
      <c r="A222" s="31" t="s">
        <v>649</v>
      </c>
      <c r="B222" s="18"/>
      <c r="C222" s="105" t="s">
        <v>689</v>
      </c>
      <c r="D222" s="97" t="s">
        <v>59</v>
      </c>
      <c r="E222" s="98" t="s">
        <v>66</v>
      </c>
      <c r="F222" s="99" t="s">
        <v>61</v>
      </c>
      <c r="G222" s="37">
        <f>$H222*$I222/2</f>
        <v>6</v>
      </c>
      <c r="H222" s="123">
        <v>8</v>
      </c>
      <c r="I222" s="124">
        <f>12/8</f>
        <v>1.5</v>
      </c>
      <c r="J222" s="146">
        <f>$H222/2</f>
        <v>4</v>
      </c>
      <c r="K222" s="147">
        <f>$I222/2</f>
        <v>0.75</v>
      </c>
      <c r="L222" s="77">
        <f>$G222/VLOOKUP($E222,Ore_Density[],2,FALSE)/Vanilla_COG_Divisor</f>
        <v>0.37573385518590996</v>
      </c>
      <c r="M222" s="82" t="str">
        <f>IF(OR($E222="Layered Veins",$E222="Small Deposits",$E222="Geode"),"Motherlode",IF(OR($E222="Pipe Veins",$E222="Sparse Veins",$E222="Vertical Veins"),"No","ERROR"))</f>
        <v>Motherlode</v>
      </c>
      <c r="N222" s="86">
        <v>1</v>
      </c>
      <c r="O222" s="86">
        <v>1</v>
      </c>
      <c r="P222" s="82" t="str">
        <f>IF(OR($E222="Layered Veins",$E222="Pipe Veins",$E222="Sparse Veins"),"Branches",IF($E222="Vertical Veins","Vertical","none"))</f>
        <v>Branches</v>
      </c>
      <c r="Q222" s="152">
        <f>SQRT($L222)*$N222</f>
        <v>0.61297133308655627</v>
      </c>
      <c r="R222" s="152">
        <f>IF($M222="Motherlode",(($O222*SQRT($L222))^(1/2))^(1/3),"none")</f>
        <v>0.92166556267577893</v>
      </c>
      <c r="S222" s="152">
        <f>IF($P222="Branches",SQRT($L222)^(1/2),IF($P222="Vertical","default",$P222))</f>
        <v>0.78292485788008814</v>
      </c>
      <c r="T222" s="153">
        <f>IF($P222="Branches",SQRT(SQRT($L222))^(1/2),IF($P222="Vertical",SQRT($L222)^(1/2),"none"))</f>
        <v>0.88483041193218948</v>
      </c>
      <c r="U222" s="77">
        <f>$G222/VLOOKUP($F222,Ore_Density[],2,FALSE)/Vanilla_COG_Divisor</f>
        <v>0.48979591836734693</v>
      </c>
      <c r="V222" s="158">
        <f>SQRT($U222)</f>
        <v>0.6998542122237652</v>
      </c>
      <c r="W222" s="147">
        <f>SQRT(SQRT($U222))</f>
        <v>0.83657289713674399</v>
      </c>
      <c r="X222" s="70">
        <f>$Y222+$AB222</f>
        <v>46</v>
      </c>
      <c r="Y222" s="71">
        <f>($AC222-$AB222)/2</f>
        <v>14</v>
      </c>
      <c r="Z222" s="71">
        <f>$AA222+$AB222</f>
        <v>46</v>
      </c>
      <c r="AA222" s="72">
        <f>($AG222-$AB222)/2</f>
        <v>14</v>
      </c>
      <c r="AB222" s="128">
        <v>32</v>
      </c>
      <c r="AC222" s="128">
        <v>60</v>
      </c>
      <c r="AD222" s="128"/>
      <c r="AE222" s="71">
        <f>IF($AD222="No",0,IF($AJ222="overworld",IF($X222&lt;64,64+($X222*3),0),0))</f>
        <v>202</v>
      </c>
      <c r="AF222" s="71">
        <f>IF($AD222="No",0,IF($AJ222="Overworld",IF($X222&lt;64,($Y222*3),0),0))</f>
        <v>42</v>
      </c>
      <c r="AG222" s="32">
        <f>IF($AC222&gt;64,64+(($AC222-64)*2.9),$AC222)</f>
        <v>60</v>
      </c>
      <c r="AH222" s="41" t="s">
        <v>690</v>
      </c>
      <c r="AI222" s="42"/>
      <c r="AJ222" s="131" t="s">
        <v>53</v>
      </c>
      <c r="AK222" s="20" t="str">
        <f>IF($X222&gt;64,"uniform",IF($AJ222="Overworld","normal","uniform"))</f>
        <v>normal</v>
      </c>
      <c r="AL222" s="109" t="s">
        <v>691</v>
      </c>
      <c r="AM222" s="110" t="s">
        <v>64</v>
      </c>
      <c r="AN222" s="117"/>
      <c r="AO222" s="118" t="s">
        <v>56</v>
      </c>
      <c r="AP222" s="46"/>
    </row>
    <row r="223" spans="1:42" s="7" customFormat="1" ht="13.5">
      <c r="A223" s="31" t="s">
        <v>649</v>
      </c>
      <c r="B223" s="18"/>
      <c r="C223" s="105" t="s">
        <v>692</v>
      </c>
      <c r="D223" s="97" t="s">
        <v>59</v>
      </c>
      <c r="E223" s="98" t="s">
        <v>66</v>
      </c>
      <c r="F223" s="99" t="s">
        <v>61</v>
      </c>
      <c r="G223" s="37">
        <f>$H223*$I223/2</f>
        <v>6</v>
      </c>
      <c r="H223" s="123">
        <v>8</v>
      </c>
      <c r="I223" s="124">
        <f>12/8</f>
        <v>1.5</v>
      </c>
      <c r="J223" s="146">
        <f>$H223/2</f>
        <v>4</v>
      </c>
      <c r="K223" s="147">
        <f>$I223/2</f>
        <v>0.75</v>
      </c>
      <c r="L223" s="77">
        <f>$G223/VLOOKUP($E223,Ore_Density[],2,FALSE)/Vanilla_COG_Divisor</f>
        <v>0.37573385518590996</v>
      </c>
      <c r="M223" s="82" t="str">
        <f>IF(OR($E223="Layered Veins",$E223="Small Deposits",$E223="Geode"),"Motherlode",IF(OR($E223="Pipe Veins",$E223="Sparse Veins",$E223="Vertical Veins"),"No","ERROR"))</f>
        <v>Motherlode</v>
      </c>
      <c r="N223" s="86">
        <v>1</v>
      </c>
      <c r="O223" s="86">
        <v>1</v>
      </c>
      <c r="P223" s="82" t="str">
        <f>IF(OR($E223="Layered Veins",$E223="Pipe Veins",$E223="Sparse Veins"),"Branches",IF($E223="Vertical Veins","Vertical","none"))</f>
        <v>Branches</v>
      </c>
      <c r="Q223" s="152">
        <f>SQRT($L223)*$N223</f>
        <v>0.61297133308655627</v>
      </c>
      <c r="R223" s="152">
        <f>IF($M223="Motherlode",(($O223*SQRT($L223))^(1/2))^(1/3),"none")</f>
        <v>0.92166556267577893</v>
      </c>
      <c r="S223" s="152">
        <f>IF($P223="Branches",SQRT($L223)^(1/2),IF($P223="Vertical","default",$P223))</f>
        <v>0.78292485788008814</v>
      </c>
      <c r="T223" s="153">
        <f>IF($P223="Branches",SQRT(SQRT($L223))^(1/2),IF($P223="Vertical",SQRT($L223)^(1/2),"none"))</f>
        <v>0.88483041193218948</v>
      </c>
      <c r="U223" s="77">
        <f>$G223/VLOOKUP($F223,Ore_Density[],2,FALSE)/Vanilla_COG_Divisor</f>
        <v>0.48979591836734693</v>
      </c>
      <c r="V223" s="158">
        <f>SQRT($U223)</f>
        <v>0.6998542122237652</v>
      </c>
      <c r="W223" s="147">
        <f>SQRT(SQRT($U223))</f>
        <v>0.83657289713674399</v>
      </c>
      <c r="X223" s="70">
        <f>$Y223+$AB223</f>
        <v>46</v>
      </c>
      <c r="Y223" s="71">
        <f>($AC223-$AB223)/2</f>
        <v>14</v>
      </c>
      <c r="Z223" s="71">
        <f>$AA223+$AB223</f>
        <v>46</v>
      </c>
      <c r="AA223" s="72">
        <f>($AG223-$AB223)/2</f>
        <v>14</v>
      </c>
      <c r="AB223" s="128">
        <v>32</v>
      </c>
      <c r="AC223" s="128">
        <v>60</v>
      </c>
      <c r="AD223" s="128"/>
      <c r="AE223" s="71">
        <f>IF($AD223="No",0,IF($AJ223="overworld",IF($X223&lt;64,64+($X223*3),0),0))</f>
        <v>202</v>
      </c>
      <c r="AF223" s="71">
        <f>IF($AD223="No",0,IF($AJ223="Overworld",IF($X223&lt;64,($Y223*3),0),0))</f>
        <v>42</v>
      </c>
      <c r="AG223" s="32">
        <f>IF($AC223&gt;64,64+(($AC223-64)*2.9),$AC223)</f>
        <v>60</v>
      </c>
      <c r="AH223" s="41" t="s">
        <v>693</v>
      </c>
      <c r="AI223" s="42"/>
      <c r="AJ223" s="131" t="s">
        <v>53</v>
      </c>
      <c r="AK223" s="20" t="str">
        <f>IF($X223&gt;64,"uniform",IF($AJ223="Overworld","normal","uniform"))</f>
        <v>normal</v>
      </c>
      <c r="AL223" s="109" t="s">
        <v>694</v>
      </c>
      <c r="AM223" s="110" t="s">
        <v>64</v>
      </c>
      <c r="AN223" s="117"/>
      <c r="AO223" s="118" t="s">
        <v>56</v>
      </c>
      <c r="AP223" s="46"/>
    </row>
    <row r="224" spans="1:42" s="7" customFormat="1" ht="13.5">
      <c r="A224" s="31" t="s">
        <v>695</v>
      </c>
      <c r="B224" s="18"/>
      <c r="C224" s="105" t="s">
        <v>541</v>
      </c>
      <c r="D224" s="97" t="s">
        <v>59</v>
      </c>
      <c r="E224" s="98" t="s">
        <v>66</v>
      </c>
      <c r="F224" s="99" t="s">
        <v>61</v>
      </c>
      <c r="G224" s="37">
        <f>$H224*$I224/2</f>
        <v>8</v>
      </c>
      <c r="H224" s="123">
        <v>4</v>
      </c>
      <c r="I224" s="124">
        <v>4</v>
      </c>
      <c r="J224" s="146">
        <f>$H224/2</f>
        <v>2</v>
      </c>
      <c r="K224" s="147">
        <f>$I224/2</f>
        <v>2</v>
      </c>
      <c r="L224" s="77">
        <f>$G224/VLOOKUP($E224,Ore_Density[],2,FALSE)/Vanilla_COG_Divisor</f>
        <v>0.50097847358121328</v>
      </c>
      <c r="M224" s="82" t="str">
        <f>IF(OR($E224="Layered Veins",$E224="Small Deposits",$E224="Geode"),"Motherlode",IF(OR($E224="Pipe Veins",$E224="Sparse Veins",$E224="Vertical Veins"),"No","ERROR"))</f>
        <v>Motherlode</v>
      </c>
      <c r="N224" s="86">
        <v>1</v>
      </c>
      <c r="O224" s="86">
        <v>1</v>
      </c>
      <c r="P224" s="82" t="str">
        <f>IF(OR($E224="Layered Veins",$E224="Pipe Veins",$E224="Sparse Veins"),"Branches",IF($E224="Vertical Veins","Vertical","none"))</f>
        <v>Branches</v>
      </c>
      <c r="Q224" s="152">
        <f>SQRT($L224)*$N224</f>
        <v>0.70779832832609413</v>
      </c>
      <c r="R224" s="152">
        <f>IF($M224="Motherlode",(($O224*SQRT($L224))^(1/2))^(1/3),"none")</f>
        <v>0.94402810080572686</v>
      </c>
      <c r="S224" s="152">
        <f>IF($P224="Branches",SQRT($L224)^(1/2),IF($P224="Vertical","default",$P224))</f>
        <v>0.84130751115516267</v>
      </c>
      <c r="T224" s="153">
        <f>IF($P224="Branches",SQRT(SQRT($L224))^(1/2),IF($P224="Vertical",SQRT($L224)^(1/2),"none"))</f>
        <v>0.91722816744535418</v>
      </c>
      <c r="U224" s="77">
        <f>$G224/VLOOKUP($F224,Ore_Density[],2,FALSE)/Vanilla_COG_Divisor</f>
        <v>0.65306122448979587</v>
      </c>
      <c r="V224" s="158">
        <f>SQRT($U224)</f>
        <v>0.80812203564176854</v>
      </c>
      <c r="W224" s="147">
        <f>SQRT(SQRT($U224))</f>
        <v>0.89895608104165381</v>
      </c>
      <c r="X224" s="70">
        <f>$Y224+$AB224</f>
        <v>13</v>
      </c>
      <c r="Y224" s="71">
        <f>($AC224-$AB224)/2</f>
        <v>7</v>
      </c>
      <c r="Z224" s="71">
        <f>$AA224+$AB224</f>
        <v>13</v>
      </c>
      <c r="AA224" s="72">
        <f>($AG224-$AB224)/2</f>
        <v>7</v>
      </c>
      <c r="AB224" s="128">
        <v>6</v>
      </c>
      <c r="AC224" s="128">
        <v>20</v>
      </c>
      <c r="AD224" s="128"/>
      <c r="AE224" s="71">
        <f>IF($AD224="No",0,IF($AJ224="overworld",IF($X224&lt;64,64+($X224*3),0),0))</f>
        <v>103</v>
      </c>
      <c r="AF224" s="71">
        <f>IF($AD224="No",0,IF($AJ224="Overworld",IF($X224&lt;64,($Y224*3),0),0))</f>
        <v>21</v>
      </c>
      <c r="AG224" s="32">
        <f>IF($AC224&gt;64,64+(($AC224-64)*2.9),$AC224)</f>
        <v>20</v>
      </c>
      <c r="AH224" s="41" t="s">
        <v>701</v>
      </c>
      <c r="AI224" s="42"/>
      <c r="AJ224" s="131" t="s">
        <v>53</v>
      </c>
      <c r="AK224" s="20" t="str">
        <f>IF($X224&gt;64,"uniform",IF($AJ224="Overworld","normal","uniform"))</f>
        <v>normal</v>
      </c>
      <c r="AL224" s="109" t="s">
        <v>702</v>
      </c>
      <c r="AM224" s="110" t="s">
        <v>64</v>
      </c>
      <c r="AN224" s="117"/>
      <c r="AO224" s="118" t="s">
        <v>56</v>
      </c>
      <c r="AP224" s="46"/>
    </row>
    <row r="225" spans="1:42" s="7" customFormat="1" ht="13.5">
      <c r="A225" s="31" t="s">
        <v>695</v>
      </c>
      <c r="B225" s="18"/>
      <c r="C225" s="105" t="s">
        <v>176</v>
      </c>
      <c r="D225" s="97" t="s">
        <v>59</v>
      </c>
      <c r="E225" s="98" t="s">
        <v>66</v>
      </c>
      <c r="F225" s="99" t="s">
        <v>61</v>
      </c>
      <c r="G225" s="37">
        <f>$H225*$I225/2</f>
        <v>122.5</v>
      </c>
      <c r="H225" s="123">
        <v>7</v>
      </c>
      <c r="I225" s="124">
        <v>35</v>
      </c>
      <c r="J225" s="146">
        <f>$H225/2</f>
        <v>3.5</v>
      </c>
      <c r="K225" s="147">
        <f>$I225/2</f>
        <v>17.5</v>
      </c>
      <c r="L225" s="77">
        <f>$G225/VLOOKUP($E225,Ore_Density[],2,FALSE)/Vanilla_COG_Divisor</f>
        <v>7.6712328767123292</v>
      </c>
      <c r="M225" s="82" t="str">
        <f>IF(OR($E225="Layered Veins",$E225="Small Deposits",$E225="Geode"),"Motherlode",IF(OR($E225="Pipe Veins",$E225="Sparse Veins",$E225="Vertical Veins"),"No","ERROR"))</f>
        <v>Motherlode</v>
      </c>
      <c r="N225" s="86">
        <v>1</v>
      </c>
      <c r="O225" s="86">
        <v>1</v>
      </c>
      <c r="P225" s="82" t="str">
        <f>IF(OR($E225="Layered Veins",$E225="Pipe Veins",$E225="Sparse Veins"),"Branches",IF($E225="Vertical Veins","Vertical","none"))</f>
        <v>Branches</v>
      </c>
      <c r="Q225" s="152">
        <f>SQRT($L225)*$N225</f>
        <v>2.7696990588712573</v>
      </c>
      <c r="R225" s="152">
        <f>IF($M225="Motherlode",(($O225*SQRT($L225))^(1/2))^(1/3),"none")</f>
        <v>1.185055701003221</v>
      </c>
      <c r="S225" s="152">
        <f>IF($P225="Branches",SQRT($L225)^(1/2),IF($P225="Vertical","default",$P225))</f>
        <v>1.6642412862536662</v>
      </c>
      <c r="T225" s="153">
        <f>IF($P225="Branches",SQRT(SQRT($L225))^(1/2),IF($P225="Vertical",SQRT($L225)^(1/2),"none"))</f>
        <v>1.2900547609515134</v>
      </c>
      <c r="U225" s="77">
        <f>$G225/VLOOKUP($F225,Ore_Density[],2,FALSE)/Vanilla_COG_Divisor</f>
        <v>10</v>
      </c>
      <c r="V225" s="158">
        <f>SQRT($U225)</f>
        <v>3.1622776601683795</v>
      </c>
      <c r="W225" s="147">
        <f>SQRT(SQRT($U225))</f>
        <v>1.7782794100389228</v>
      </c>
      <c r="X225" s="70">
        <f>$Y225+$AB225</f>
        <v>48</v>
      </c>
      <c r="Y225" s="71">
        <f>($AC225-$AB225)/2</f>
        <v>42</v>
      </c>
      <c r="Z225" s="71">
        <f>$AA225+$AB225</f>
        <v>72.699999999999989</v>
      </c>
      <c r="AA225" s="72">
        <f>($AG225-$AB225)/2</f>
        <v>66.699999999999989</v>
      </c>
      <c r="AB225" s="128">
        <v>6</v>
      </c>
      <c r="AC225" s="128">
        <v>90</v>
      </c>
      <c r="AD225" s="128"/>
      <c r="AE225" s="71">
        <f>IF($AD225="No",0,IF($AJ225="overworld",IF($X225&lt;64,64+($X225*3),0),0))</f>
        <v>208</v>
      </c>
      <c r="AF225" s="71">
        <f>IF($AD225="No",0,IF($AJ225="Overworld",IF($X225&lt;64,($Y225*3),0),0))</f>
        <v>126</v>
      </c>
      <c r="AG225" s="32">
        <f>IF($AC225&gt;64,64+(($AC225-64)*2.9),$AC225)</f>
        <v>139.39999999999998</v>
      </c>
      <c r="AH225" s="41" t="s">
        <v>177</v>
      </c>
      <c r="AI225" s="42"/>
      <c r="AJ225" s="131" t="s">
        <v>53</v>
      </c>
      <c r="AK225" s="20" t="str">
        <f>IF($X225&gt;64,"uniform",IF($AJ225="Overworld","normal","uniform"))</f>
        <v>normal</v>
      </c>
      <c r="AL225" s="109" t="s">
        <v>696</v>
      </c>
      <c r="AM225" s="110" t="s">
        <v>64</v>
      </c>
      <c r="AN225" s="117"/>
      <c r="AO225" s="118" t="s">
        <v>56</v>
      </c>
      <c r="AP225" s="46"/>
    </row>
    <row r="226" spans="1:42" s="7" customFormat="1" ht="13.5">
      <c r="A226" s="31" t="s">
        <v>695</v>
      </c>
      <c r="B226" s="18"/>
      <c r="C226" s="105" t="s">
        <v>698</v>
      </c>
      <c r="D226" s="97" t="s">
        <v>59</v>
      </c>
      <c r="E226" s="98" t="s">
        <v>66</v>
      </c>
      <c r="F226" s="99" t="s">
        <v>61</v>
      </c>
      <c r="G226" s="37">
        <f>$H226*$I226/2</f>
        <v>16</v>
      </c>
      <c r="H226" s="123">
        <v>4</v>
      </c>
      <c r="I226" s="124">
        <v>8</v>
      </c>
      <c r="J226" s="146">
        <f>$H226/2</f>
        <v>2</v>
      </c>
      <c r="K226" s="147">
        <f>$I226/2</f>
        <v>4</v>
      </c>
      <c r="L226" s="77">
        <f>$G226/VLOOKUP($E226,Ore_Density[],2,FALSE)/Vanilla_COG_Divisor</f>
        <v>1.0019569471624266</v>
      </c>
      <c r="M226" s="82" t="str">
        <f>IF(OR($E226="Layered Veins",$E226="Small Deposits",$E226="Geode"),"Motherlode",IF(OR($E226="Pipe Veins",$E226="Sparse Veins",$E226="Vertical Veins"),"No","ERROR"))</f>
        <v>Motherlode</v>
      </c>
      <c r="N226" s="86">
        <v>1</v>
      </c>
      <c r="O226" s="86">
        <v>1</v>
      </c>
      <c r="P226" s="82" t="str">
        <f>IF(OR($E226="Layered Veins",$E226="Pipe Veins",$E226="Sparse Veins"),"Branches",IF($E226="Vertical Veins","Vertical","none"))</f>
        <v>Branches</v>
      </c>
      <c r="Q226" s="152">
        <f>SQRT($L226)*$N226</f>
        <v>1.000977995343767</v>
      </c>
      <c r="R226" s="152">
        <f>IF($M226="Motherlode",(($O226*SQRT($L226))^(1/2))^(1/3),"none")</f>
        <v>1.0001629328417641</v>
      </c>
      <c r="S226" s="152">
        <f>IF($P226="Branches",SQRT($L226)^(1/2),IF($P226="Vertical","default",$P226))</f>
        <v>1.0004888781709504</v>
      </c>
      <c r="T226" s="153">
        <f>IF($P226="Branches",SQRT(SQRT($L226))^(1/2),IF($P226="Vertical",SQRT($L226)^(1/2),"none"))</f>
        <v>1.0002444092175424</v>
      </c>
      <c r="U226" s="77">
        <f>$G226/VLOOKUP($F226,Ore_Density[],2,FALSE)/Vanilla_COG_Divisor</f>
        <v>1.3061224489795917</v>
      </c>
      <c r="V226" s="158">
        <f>SQRT($U226)</f>
        <v>1.1428571428571428</v>
      </c>
      <c r="W226" s="147">
        <f>SQRT(SQRT($U226))</f>
        <v>1.0690449676496976</v>
      </c>
      <c r="X226" s="70">
        <f>$Y226+$AB226</f>
        <v>20</v>
      </c>
      <c r="Y226" s="71">
        <f>($AC226-$AB226)/2</f>
        <v>15</v>
      </c>
      <c r="Z226" s="71">
        <f>$AA226+$AB226</f>
        <v>20</v>
      </c>
      <c r="AA226" s="72">
        <f>($AG226-$AB226)/2</f>
        <v>15</v>
      </c>
      <c r="AB226" s="128">
        <v>5</v>
      </c>
      <c r="AC226" s="128">
        <v>35</v>
      </c>
      <c r="AD226" s="128"/>
      <c r="AE226" s="71">
        <f>IF($AD226="No",0,IF($AJ226="overworld",IF($X226&lt;64,64+($X226*3),0),0))</f>
        <v>124</v>
      </c>
      <c r="AF226" s="71">
        <f>IF($AD226="No",0,IF($AJ226="Overworld",IF($X226&lt;64,($Y226*3),0),0))</f>
        <v>45</v>
      </c>
      <c r="AG226" s="32">
        <f>IF($AC226&gt;64,64+(($AC226-64)*2.9),$AC226)</f>
        <v>35</v>
      </c>
      <c r="AH226" s="41" t="s">
        <v>699</v>
      </c>
      <c r="AI226" s="42"/>
      <c r="AJ226" s="131" t="s">
        <v>53</v>
      </c>
      <c r="AK226" s="20" t="str">
        <f>IF($X226&gt;64,"uniform",IF($AJ226="Overworld","normal","uniform"))</f>
        <v>normal</v>
      </c>
      <c r="AL226" s="109" t="s">
        <v>700</v>
      </c>
      <c r="AM226" s="110" t="s">
        <v>64</v>
      </c>
      <c r="AN226" s="117"/>
      <c r="AO226" s="118" t="s">
        <v>56</v>
      </c>
      <c r="AP226" s="46"/>
    </row>
    <row r="227" spans="1:42" s="7" customFormat="1" ht="13.5">
      <c r="A227" s="31" t="s">
        <v>695</v>
      </c>
      <c r="B227" s="18"/>
      <c r="C227" s="105" t="s">
        <v>306</v>
      </c>
      <c r="D227" s="97" t="s">
        <v>59</v>
      </c>
      <c r="E227" s="98" t="s">
        <v>79</v>
      </c>
      <c r="F227" s="99" t="s">
        <v>61</v>
      </c>
      <c r="G227" s="37">
        <f>$H227*$I227/2</f>
        <v>17.5</v>
      </c>
      <c r="H227" s="123">
        <v>7</v>
      </c>
      <c r="I227" s="124">
        <v>5</v>
      </c>
      <c r="J227" s="146">
        <f>$H227/2</f>
        <v>3.5</v>
      </c>
      <c r="K227" s="147">
        <f>$I227/2</f>
        <v>2.5</v>
      </c>
      <c r="L227" s="77">
        <f>$G227/VLOOKUP($E227,Ore_Density[],2,FALSE)/Vanilla_COG_Divisor</f>
        <v>2.5510162432387871</v>
      </c>
      <c r="M227" s="82" t="str">
        <f>IF(OR($E227="Layered Veins",$E227="Small Deposits",$E227="Geode"),"Motherlode",IF(OR($E227="Pipe Veins",$E227="Sparse Veins",$E227="Vertical Veins"),"No","ERROR"))</f>
        <v>No</v>
      </c>
      <c r="N227" s="86">
        <v>1</v>
      </c>
      <c r="O227" s="86">
        <v>1</v>
      </c>
      <c r="P227" s="82" t="str">
        <f>IF(OR($E227="Layered Veins",$E227="Pipe Veins",$E227="Sparse Veins"),"Branches",IF($E227="Vertical Veins","Vertical","none"))</f>
        <v>Branches</v>
      </c>
      <c r="Q227" s="152">
        <f>SQRT($L227)*$N227</f>
        <v>1.597190108671722</v>
      </c>
      <c r="R227" s="152" t="str">
        <f>IF($M227="Motherlode",(($O227*SQRT($L227))^(1/2))^(1/3),"none")</f>
        <v>none</v>
      </c>
      <c r="S227" s="152">
        <f>IF($P227="Branches",SQRT($L227)^(1/2),IF($P227="Vertical","default",$P227))</f>
        <v>1.2637998689158509</v>
      </c>
      <c r="T227" s="153">
        <f>IF($P227="Branches",SQRT(SQRT($L227))^(1/2),IF($P227="Vertical",SQRT($L227)^(1/2),"none"))</f>
        <v>1.1241885379756595</v>
      </c>
      <c r="U227" s="77">
        <f>$G227/VLOOKUP($F227,Ore_Density[],2,FALSE)/Vanilla_COG_Divisor</f>
        <v>1.4285714285714286</v>
      </c>
      <c r="V227" s="158">
        <f>SQRT($U227)</f>
        <v>1.1952286093343936</v>
      </c>
      <c r="W227" s="147">
        <f>SQRT(SQRT($U227))</f>
        <v>1.0932651139290934</v>
      </c>
      <c r="X227" s="70">
        <f>$Y227+$AB227</f>
        <v>72</v>
      </c>
      <c r="Y227" s="71">
        <f>($AC227-$AB227)/2</f>
        <v>56</v>
      </c>
      <c r="Z227" s="71">
        <f>$AA227+$AB227</f>
        <v>132.80000000000001</v>
      </c>
      <c r="AA227" s="72">
        <f>($AG227-$AB227)/2</f>
        <v>116.8</v>
      </c>
      <c r="AB227" s="128">
        <v>16</v>
      </c>
      <c r="AC227" s="128">
        <v>128</v>
      </c>
      <c r="AD227" s="128"/>
      <c r="AE227" s="71">
        <f>IF($AD227="No",0,IF($AJ227="overworld",IF($X227&lt;64,64+($X227*3),0),0))</f>
        <v>0</v>
      </c>
      <c r="AF227" s="71">
        <f>IF($AD227="No",0,IF($AJ227="Overworld",IF($X227&lt;64,($Y227*3),0),0))</f>
        <v>0</v>
      </c>
      <c r="AG227" s="32">
        <f>IF($AC227&gt;64,64+(($AC227-64)*2.9),$AC227)</f>
        <v>249.6</v>
      </c>
      <c r="AH227" s="41" t="s">
        <v>703</v>
      </c>
      <c r="AI227" s="42" t="s">
        <v>704</v>
      </c>
      <c r="AJ227" s="131" t="s">
        <v>96</v>
      </c>
      <c r="AK227" s="20" t="str">
        <f>IF($X227&gt;64,"uniform",IF($AJ227="Overworld","normal","uniform"))</f>
        <v>uniform</v>
      </c>
      <c r="AL227" s="109" t="s">
        <v>705</v>
      </c>
      <c r="AM227" s="110" t="s">
        <v>98</v>
      </c>
      <c r="AN227" s="117" t="s">
        <v>83</v>
      </c>
      <c r="AO227" s="118" t="s">
        <v>84</v>
      </c>
      <c r="AP227" s="46"/>
    </row>
    <row r="228" spans="1:42" s="7" customFormat="1" ht="13.5">
      <c r="A228" s="31" t="s">
        <v>695</v>
      </c>
      <c r="B228" s="18"/>
      <c r="C228" s="105" t="s">
        <v>179</v>
      </c>
      <c r="D228" s="97" t="s">
        <v>59</v>
      </c>
      <c r="E228" s="98" t="s">
        <v>66</v>
      </c>
      <c r="F228" s="99" t="s">
        <v>61</v>
      </c>
      <c r="G228" s="37">
        <f>$H228*$I228/2</f>
        <v>105</v>
      </c>
      <c r="H228" s="123">
        <v>7</v>
      </c>
      <c r="I228" s="124">
        <v>30</v>
      </c>
      <c r="J228" s="146">
        <f>$H228/2</f>
        <v>3.5</v>
      </c>
      <c r="K228" s="147">
        <f>$I228/2</f>
        <v>15</v>
      </c>
      <c r="L228" s="77">
        <f>$G228/VLOOKUP($E228,Ore_Density[],2,FALSE)/Vanilla_COG_Divisor</f>
        <v>6.5753424657534243</v>
      </c>
      <c r="M228" s="82" t="str">
        <f>IF(OR($E228="Layered Veins",$E228="Small Deposits",$E228="Geode"),"Motherlode",IF(OR($E228="Pipe Veins",$E228="Sparse Veins",$E228="Vertical Veins"),"No","ERROR"))</f>
        <v>Motherlode</v>
      </c>
      <c r="N228" s="86">
        <v>1</v>
      </c>
      <c r="O228" s="86">
        <v>1</v>
      </c>
      <c r="P228" s="82" t="str">
        <f>IF(OR($E228="Layered Veins",$E228="Pipe Veins",$E228="Sparse Veins"),"Branches",IF($E228="Vertical Veins","Vertical","none"))</f>
        <v>Branches</v>
      </c>
      <c r="Q228" s="152">
        <f>SQRT($L228)*$N228</f>
        <v>2.5642430590241294</v>
      </c>
      <c r="R228" s="152">
        <f>IF($M228="Motherlode",(($O228*SQRT($L228))^(1/2))^(1/3),"none")</f>
        <v>1.1699299656073219</v>
      </c>
      <c r="S228" s="152">
        <f>IF($P228="Branches",SQRT($L228)^(1/2),IF($P228="Vertical","default",$P228))</f>
        <v>1.6013254069751499</v>
      </c>
      <c r="T228" s="153">
        <f>IF($P228="Branches",SQRT(SQRT($L228))^(1/2),IF($P228="Vertical",SQRT($L228)^(1/2),"none"))</f>
        <v>1.265434868721085</v>
      </c>
      <c r="U228" s="77">
        <f>$G228/VLOOKUP($F228,Ore_Density[],2,FALSE)/Vanilla_COG_Divisor</f>
        <v>8.5714285714285712</v>
      </c>
      <c r="V228" s="158">
        <f>SQRT($U228)</f>
        <v>2.9277002188455996</v>
      </c>
      <c r="W228" s="147">
        <f>SQRT(SQRT($U228))</f>
        <v>1.7110523717424899</v>
      </c>
      <c r="X228" s="70">
        <f>$Y228+$AB228</f>
        <v>48</v>
      </c>
      <c r="Y228" s="71">
        <f>($AC228-$AB228)/2</f>
        <v>42</v>
      </c>
      <c r="Z228" s="71">
        <f>$AA228+$AB228</f>
        <v>72.699999999999989</v>
      </c>
      <c r="AA228" s="72">
        <f>($AG228-$AB228)/2</f>
        <v>66.699999999999989</v>
      </c>
      <c r="AB228" s="128">
        <v>6</v>
      </c>
      <c r="AC228" s="128">
        <v>90</v>
      </c>
      <c r="AD228" s="128"/>
      <c r="AE228" s="71">
        <f>IF($AD228="No",0,IF($AJ228="overworld",IF($X228&lt;64,64+($X228*3),0),0))</f>
        <v>208</v>
      </c>
      <c r="AF228" s="71">
        <f>IF($AD228="No",0,IF($AJ228="Overworld",IF($X228&lt;64,($Y228*3),0),0))</f>
        <v>126</v>
      </c>
      <c r="AG228" s="32">
        <f>IF($AC228&gt;64,64+(($AC228-64)*2.9),$AC228)</f>
        <v>139.39999999999998</v>
      </c>
      <c r="AH228" s="41" t="s">
        <v>180</v>
      </c>
      <c r="AI228" s="42"/>
      <c r="AJ228" s="131" t="s">
        <v>53</v>
      </c>
      <c r="AK228" s="20" t="str">
        <f>IF($X228&gt;64,"uniform",IF($AJ228="Overworld","normal","uniform"))</f>
        <v>normal</v>
      </c>
      <c r="AL228" s="109" t="s">
        <v>697</v>
      </c>
      <c r="AM228" s="110" t="s">
        <v>64</v>
      </c>
      <c r="AN228" s="117"/>
      <c r="AO228" s="118" t="s">
        <v>56</v>
      </c>
      <c r="AP228" s="46"/>
    </row>
    <row r="229" spans="1:42" s="7" customFormat="1" ht="13.5">
      <c r="A229" s="31" t="s">
        <v>706</v>
      </c>
      <c r="B229" s="18"/>
      <c r="C229" s="105" t="s">
        <v>712</v>
      </c>
      <c r="D229" s="97" t="s">
        <v>59</v>
      </c>
      <c r="E229" s="98" t="s">
        <v>60</v>
      </c>
      <c r="F229" s="99" t="s">
        <v>61</v>
      </c>
      <c r="G229" s="37">
        <f>$H229*$I229/2</f>
        <v>24</v>
      </c>
      <c r="H229" s="123">
        <v>6</v>
      </c>
      <c r="I229" s="124">
        <v>8</v>
      </c>
      <c r="J229" s="146">
        <f>$H229/2</f>
        <v>3</v>
      </c>
      <c r="K229" s="147">
        <f>$I229/2</f>
        <v>4</v>
      </c>
      <c r="L229" s="77">
        <f>$G229/VLOOKUP($E229,Ore_Density[],2,FALSE)/Vanilla_COG_Divisor</f>
        <v>9.0053315615243417</v>
      </c>
      <c r="M229" s="82" t="str">
        <f>IF(OR($E229="Layered Veins",$E229="Small Deposits",$E229="Geode"),"Motherlode",IF(OR($E229="Pipe Veins",$E229="Sparse Veins",$E229="Vertical Veins"),"No","ERROR"))</f>
        <v>No</v>
      </c>
      <c r="N229" s="86">
        <v>1</v>
      </c>
      <c r="O229" s="86">
        <v>1</v>
      </c>
      <c r="P229" s="82" t="str">
        <f>IF(OR($E229="Layered Veins",$E229="Pipe Veins",$E229="Sparse Veins"),"Branches",IF($E229="Vertical Veins","Vertical","none"))</f>
        <v>Branches</v>
      </c>
      <c r="Q229" s="152">
        <f>SQRT($L229)*$N229</f>
        <v>3.000888462026595</v>
      </c>
      <c r="R229" s="152" t="str">
        <f>IF($M229="Motherlode",(($O229*SQRT($L229))^(1/2))^(1/3),"none")</f>
        <v>none</v>
      </c>
      <c r="S229" s="152">
        <f>IF($P229="Branches",SQRT($L229)^(1/2),IF($P229="Vertical","default",$P229))</f>
        <v>1.7323072654776333</v>
      </c>
      <c r="T229" s="153">
        <f>IF($P229="Branches",SQRT(SQRT($L229))^(1/2),IF($P229="Vertical",SQRT($L229)^(1/2),"none"))</f>
        <v>1.3161714422816024</v>
      </c>
      <c r="U229" s="78">
        <f>$G229/Stratum_Clouds_Ores_Per_Chunk/Vanilla_COG_Divisor</f>
        <v>0.6696428571428571</v>
      </c>
      <c r="V229" s="158">
        <f>SQRT($U229)</f>
        <v>0.81831708838497141</v>
      </c>
      <c r="W229" s="147">
        <f>SQRT(SQRT($U229))</f>
        <v>0.90460880406116506</v>
      </c>
      <c r="X229" s="70">
        <f>$Y229+$AB229</f>
        <v>32</v>
      </c>
      <c r="Y229" s="71">
        <f>($AC229-$AB229)/2</f>
        <v>27</v>
      </c>
      <c r="Z229" s="71">
        <f>$AA229+$AB229</f>
        <v>32</v>
      </c>
      <c r="AA229" s="72">
        <f>($AG229-$AB229)/2</f>
        <v>27</v>
      </c>
      <c r="AB229" s="128">
        <v>5</v>
      </c>
      <c r="AC229" s="128">
        <v>59</v>
      </c>
      <c r="AD229" s="128" t="s">
        <v>790</v>
      </c>
      <c r="AE229" s="71">
        <f>IF($AD229="No",0,IF($AJ229="overworld",IF($X229&lt;64,64+($X229*3),0),0))</f>
        <v>0</v>
      </c>
      <c r="AF229" s="71">
        <f>IF($AD229="No",0,IF($AJ229="Overworld",IF($X229&lt;64,($Y229*3),0),0))</f>
        <v>0</v>
      </c>
      <c r="AG229" s="32">
        <f>IF($AC229&gt;64,64+(($AC229-64)*2.9),$AC229)</f>
        <v>59</v>
      </c>
      <c r="AH229" s="41" t="s">
        <v>713</v>
      </c>
      <c r="AI229" s="42"/>
      <c r="AJ229" s="131" t="s">
        <v>53</v>
      </c>
      <c r="AK229" s="20" t="str">
        <f>IF($X229&gt;64,"uniform",IF($AJ229="Overworld","normal","uniform"))</f>
        <v>normal</v>
      </c>
      <c r="AL229" s="109" t="s">
        <v>714</v>
      </c>
      <c r="AM229" s="110" t="s">
        <v>64</v>
      </c>
      <c r="AN229" s="117" t="s">
        <v>715</v>
      </c>
      <c r="AO229" s="118" t="s">
        <v>715</v>
      </c>
      <c r="AP229" s="46"/>
    </row>
    <row r="230" spans="1:42" s="7" customFormat="1" ht="13.5">
      <c r="A230" s="31" t="s">
        <v>706</v>
      </c>
      <c r="B230" s="18"/>
      <c r="C230" s="105" t="s">
        <v>707</v>
      </c>
      <c r="D230" s="97" t="s">
        <v>59</v>
      </c>
      <c r="E230" s="98" t="s">
        <v>60</v>
      </c>
      <c r="F230" s="99" t="s">
        <v>61</v>
      </c>
      <c r="G230" s="37">
        <f>$H230*$I230/2</f>
        <v>10</v>
      </c>
      <c r="H230" s="123">
        <v>1</v>
      </c>
      <c r="I230" s="124">
        <v>20</v>
      </c>
      <c r="J230" s="146">
        <f>$H230/2</f>
        <v>0.5</v>
      </c>
      <c r="K230" s="147">
        <f>$I230/2</f>
        <v>10</v>
      </c>
      <c r="L230" s="77">
        <f>$G230/VLOOKUP($E230,Ore_Density[],2,FALSE)/Vanilla_COG_Divisor</f>
        <v>3.752221483968476</v>
      </c>
      <c r="M230" s="82" t="str">
        <f>IF(OR($E230="Layered Veins",$E230="Small Deposits",$E230="Geode"),"Motherlode",IF(OR($E230="Pipe Veins",$E230="Sparse Veins",$E230="Vertical Veins"),"No","ERROR"))</f>
        <v>No</v>
      </c>
      <c r="N230" s="86">
        <v>1</v>
      </c>
      <c r="O230" s="86">
        <v>1</v>
      </c>
      <c r="P230" s="82" t="str">
        <f>IF(OR($E230="Layered Veins",$E230="Pipe Veins",$E230="Sparse Veins"),"Branches",IF($E230="Vertical Veins","Vertical","none"))</f>
        <v>Branches</v>
      </c>
      <c r="Q230" s="152">
        <f>SQRT($L230)*$N230</f>
        <v>1.9370651728758317</v>
      </c>
      <c r="R230" s="152" t="str">
        <f>IF($M230="Motherlode",(($O230*SQRT($L230))^(1/2))^(1/3),"none")</f>
        <v>none</v>
      </c>
      <c r="S230" s="152">
        <f>IF($P230="Branches",SQRT($L230)^(1/2),IF($P230="Vertical","default",$P230))</f>
        <v>1.3917848874290277</v>
      </c>
      <c r="T230" s="153">
        <f>IF($P230="Branches",SQRT(SQRT($L230))^(1/2),IF($P230="Vertical",SQRT($L230)^(1/2),"none"))</f>
        <v>1.179739330288275</v>
      </c>
      <c r="U230" s="77">
        <f>$G230/VLOOKUP($F230,Ore_Density[],2,FALSE)/Vanilla_COG_Divisor</f>
        <v>0.81632653061224492</v>
      </c>
      <c r="V230" s="158">
        <f>SQRT($U230)</f>
        <v>0.90350790290525129</v>
      </c>
      <c r="W230" s="147">
        <f>SQRT(SQRT($U230))</f>
        <v>0.95053032718859176</v>
      </c>
      <c r="X230" s="70">
        <f>$Y230+$AB230</f>
        <v>51.5</v>
      </c>
      <c r="Y230" s="71">
        <f>($AC230-$AB230)/2</f>
        <v>12.5</v>
      </c>
      <c r="Z230" s="71">
        <f>$AA230+$AB230</f>
        <v>51.5</v>
      </c>
      <c r="AA230" s="72">
        <f>($AG230-$AB230)/2</f>
        <v>12.5</v>
      </c>
      <c r="AB230" s="128">
        <v>39</v>
      </c>
      <c r="AC230" s="128">
        <v>64</v>
      </c>
      <c r="AD230" s="128"/>
      <c r="AE230" s="71">
        <f>IF($AD230="No",0,IF($AJ230="overworld",IF($X230&lt;64,64+($X230*3),0),0))</f>
        <v>218.5</v>
      </c>
      <c r="AF230" s="71">
        <f>IF($AD230="No",0,IF($AJ230="Overworld",IF($X230&lt;64,($Y230*3),0),0))</f>
        <v>37.5</v>
      </c>
      <c r="AG230" s="32">
        <f>IF($AC230&gt;64,64+(($AC230-64)*2.9),$AC230)</f>
        <v>64</v>
      </c>
      <c r="AH230" s="41" t="s">
        <v>152</v>
      </c>
      <c r="AI230" s="42"/>
      <c r="AJ230" s="131" t="s">
        <v>53</v>
      </c>
      <c r="AK230" s="20" t="str">
        <f>IF($X230&gt;64,"uniform",IF($AJ230="Overworld","normal","uniform"))</f>
        <v>normal</v>
      </c>
      <c r="AL230" s="109" t="s">
        <v>708</v>
      </c>
      <c r="AM230" s="110" t="s">
        <v>64</v>
      </c>
      <c r="AN230" s="117"/>
      <c r="AO230" s="118" t="s">
        <v>56</v>
      </c>
      <c r="AP230" s="46"/>
    </row>
    <row r="231" spans="1:42" s="7" customFormat="1" ht="13.5">
      <c r="A231" s="31" t="s">
        <v>706</v>
      </c>
      <c r="B231" s="18"/>
      <c r="C231" s="105" t="s">
        <v>709</v>
      </c>
      <c r="D231" s="97" t="s">
        <v>59</v>
      </c>
      <c r="E231" s="98" t="s">
        <v>60</v>
      </c>
      <c r="F231" s="99" t="s">
        <v>61</v>
      </c>
      <c r="G231" s="37">
        <f>$H231*$I231/2</f>
        <v>9</v>
      </c>
      <c r="H231" s="123">
        <v>1</v>
      </c>
      <c r="I231" s="124">
        <v>18</v>
      </c>
      <c r="J231" s="146">
        <f>$H231/2</f>
        <v>0.5</v>
      </c>
      <c r="K231" s="147">
        <f>$I231/2</f>
        <v>9</v>
      </c>
      <c r="L231" s="77">
        <f>$G231/VLOOKUP($E231,Ore_Density[],2,FALSE)/Vanilla_COG_Divisor</f>
        <v>3.3769993355716283</v>
      </c>
      <c r="M231" s="82" t="str">
        <f>IF(OR($E231="Layered Veins",$E231="Small Deposits",$E231="Geode"),"Motherlode",IF(OR($E231="Pipe Veins",$E231="Sparse Veins",$E231="Vertical Veins"),"No","ERROR"))</f>
        <v>No</v>
      </c>
      <c r="N231" s="86">
        <v>1</v>
      </c>
      <c r="O231" s="86">
        <v>1</v>
      </c>
      <c r="P231" s="82" t="str">
        <f>IF(OR($E231="Layered Veins",$E231="Pipe Veins",$E231="Sparse Veins"),"Branches",IF($E231="Vertical Veins","Vertical","none"))</f>
        <v>Branches</v>
      </c>
      <c r="Q231" s="152">
        <f>SQRT($L231)*$N231</f>
        <v>1.8376613767426326</v>
      </c>
      <c r="R231" s="152" t="str">
        <f>IF($M231="Motherlode",(($O231*SQRT($L231))^(1/2))^(1/3),"none")</f>
        <v>none</v>
      </c>
      <c r="S231" s="152">
        <f>IF($P231="Branches",SQRT($L231)^(1/2),IF($P231="Vertical","default",$P231))</f>
        <v>1.3556036945739831</v>
      </c>
      <c r="T231" s="153">
        <f>IF($P231="Branches",SQRT(SQRT($L231))^(1/2),IF($P231="Vertical",SQRT($L231)^(1/2),"none"))</f>
        <v>1.1643039528293215</v>
      </c>
      <c r="U231" s="77">
        <f>$G231/VLOOKUP($F231,Ore_Density[],2,FALSE)/Vanilla_COG_Divisor</f>
        <v>0.73469387755102045</v>
      </c>
      <c r="V231" s="158">
        <f>SQRT($U231)</f>
        <v>0.85714285714285721</v>
      </c>
      <c r="W231" s="147">
        <f>SQRT(SQRT($U231))</f>
        <v>0.92582009977255153</v>
      </c>
      <c r="X231" s="70">
        <f>$Y231+$AB231</f>
        <v>26</v>
      </c>
      <c r="Y231" s="71">
        <f>($AC231-$AB231)/2</f>
        <v>26</v>
      </c>
      <c r="Z231" s="71">
        <f>$AA231+$AB231</f>
        <v>26</v>
      </c>
      <c r="AA231" s="72">
        <f>($AG231-$AB231)/2</f>
        <v>26</v>
      </c>
      <c r="AB231" s="128">
        <v>0</v>
      </c>
      <c r="AC231" s="128">
        <v>52</v>
      </c>
      <c r="AD231" s="128"/>
      <c r="AE231" s="71">
        <f>IF($AD231="No",0,IF($AJ231="overworld",IF($X231&lt;64,64+($X231*3),0),0))</f>
        <v>142</v>
      </c>
      <c r="AF231" s="71">
        <f>IF($AD231="No",0,IF($AJ231="Overworld",IF($X231&lt;64,($Y231*3),0),0))</f>
        <v>78</v>
      </c>
      <c r="AG231" s="32">
        <f>IF($AC231&gt;64,64+(($AC231-64)*2.9),$AC231)</f>
        <v>52</v>
      </c>
      <c r="AH231" s="41" t="s">
        <v>710</v>
      </c>
      <c r="AI231" s="42"/>
      <c r="AJ231" s="131" t="s">
        <v>53</v>
      </c>
      <c r="AK231" s="20" t="str">
        <f>IF($X231&gt;64,"uniform",IF($AJ231="Overworld","normal","uniform"))</f>
        <v>normal</v>
      </c>
      <c r="AL231" s="109" t="s">
        <v>711</v>
      </c>
      <c r="AM231" s="110" t="s">
        <v>64</v>
      </c>
      <c r="AN231" s="117"/>
      <c r="AO231" s="118" t="s">
        <v>56</v>
      </c>
      <c r="AP231" s="46"/>
    </row>
    <row r="232" spans="1:42" s="7" customFormat="1" ht="13.5">
      <c r="A232" s="31" t="s">
        <v>706</v>
      </c>
      <c r="B232" s="18"/>
      <c r="C232" s="105" t="s">
        <v>724</v>
      </c>
      <c r="D232" s="97" t="s">
        <v>59</v>
      </c>
      <c r="E232" s="98" t="s">
        <v>60</v>
      </c>
      <c r="F232" s="99" t="s">
        <v>61</v>
      </c>
      <c r="G232" s="37">
        <f>$H232*$I232/2</f>
        <v>24</v>
      </c>
      <c r="H232" s="123">
        <v>6</v>
      </c>
      <c r="I232" s="124">
        <v>8</v>
      </c>
      <c r="J232" s="146">
        <f>$H232/2</f>
        <v>3</v>
      </c>
      <c r="K232" s="147">
        <f>$I232/2</f>
        <v>4</v>
      </c>
      <c r="L232" s="77">
        <f>$G232/VLOOKUP($E232,Ore_Density[],2,FALSE)/Vanilla_COG_Divisor</f>
        <v>9.0053315615243417</v>
      </c>
      <c r="M232" s="82" t="str">
        <f>IF(OR($E232="Layered Veins",$E232="Small Deposits",$E232="Geode"),"Motherlode",IF(OR($E232="Pipe Veins",$E232="Sparse Veins",$E232="Vertical Veins"),"No","ERROR"))</f>
        <v>No</v>
      </c>
      <c r="N232" s="86">
        <v>1</v>
      </c>
      <c r="O232" s="86">
        <v>1</v>
      </c>
      <c r="P232" s="82" t="str">
        <f>IF(OR($E232="Layered Veins",$E232="Pipe Veins",$E232="Sparse Veins"),"Branches",IF($E232="Vertical Veins","Vertical","none"))</f>
        <v>Branches</v>
      </c>
      <c r="Q232" s="152">
        <f>SQRT($L232)*$N232</f>
        <v>3.000888462026595</v>
      </c>
      <c r="R232" s="152" t="str">
        <f>IF($M232="Motherlode",(($O232*SQRT($L232))^(1/2))^(1/3),"none")</f>
        <v>none</v>
      </c>
      <c r="S232" s="152">
        <f>IF($P232="Branches",SQRT($L232)^(1/2),IF($P232="Vertical","default",$P232))</f>
        <v>1.7323072654776333</v>
      </c>
      <c r="T232" s="153">
        <f>IF($P232="Branches",SQRT(SQRT($L232))^(1/2),IF($P232="Vertical",SQRT($L232)^(1/2),"none"))</f>
        <v>1.3161714422816024</v>
      </c>
      <c r="U232" s="78">
        <f>$G232/Stratum_Clouds_Ores_Per_Chunk/Vanilla_COG_Divisor</f>
        <v>0.6696428571428571</v>
      </c>
      <c r="V232" s="158">
        <f>SQRT($U232)</f>
        <v>0.81831708838497141</v>
      </c>
      <c r="W232" s="147">
        <f>SQRT(SQRT($U232))</f>
        <v>0.90460880406116506</v>
      </c>
      <c r="X232" s="70">
        <f>$Y232+$AB232</f>
        <v>32</v>
      </c>
      <c r="Y232" s="71">
        <f>($AC232-$AB232)/2</f>
        <v>27</v>
      </c>
      <c r="Z232" s="71">
        <f>$AA232+$AB232</f>
        <v>32</v>
      </c>
      <c r="AA232" s="72">
        <f>($AG232-$AB232)/2</f>
        <v>27</v>
      </c>
      <c r="AB232" s="128">
        <v>5</v>
      </c>
      <c r="AC232" s="128">
        <v>59</v>
      </c>
      <c r="AD232" s="128" t="s">
        <v>790</v>
      </c>
      <c r="AE232" s="71">
        <f>IF($AD232="No",0,IF($AJ232="overworld",IF($X232&lt;64,64+($X232*3),0),0))</f>
        <v>0</v>
      </c>
      <c r="AF232" s="71">
        <f>IF($AD232="No",0,IF($AJ232="Overworld",IF($X232&lt;64,($Y232*3),0),0))</f>
        <v>0</v>
      </c>
      <c r="AG232" s="32">
        <f>IF($AC232&gt;64,64+(($AC232-64)*2.9),$AC232)</f>
        <v>59</v>
      </c>
      <c r="AH232" s="41" t="s">
        <v>725</v>
      </c>
      <c r="AI232" s="42"/>
      <c r="AJ232" s="131" t="s">
        <v>53</v>
      </c>
      <c r="AK232" s="20" t="str">
        <f>IF($X232&gt;64,"uniform",IF($AJ232="Overworld","normal","uniform"))</f>
        <v>normal</v>
      </c>
      <c r="AL232" s="109" t="s">
        <v>726</v>
      </c>
      <c r="AM232" s="110" t="s">
        <v>64</v>
      </c>
      <c r="AN232" s="117" t="s">
        <v>727</v>
      </c>
      <c r="AO232" s="118" t="s">
        <v>727</v>
      </c>
      <c r="AP232" s="46"/>
    </row>
    <row r="233" spans="1:42" s="7" customFormat="1" ht="13.5">
      <c r="A233" s="31" t="s">
        <v>706</v>
      </c>
      <c r="B233" s="18"/>
      <c r="C233" s="105" t="s">
        <v>732</v>
      </c>
      <c r="D233" s="97" t="s">
        <v>59</v>
      </c>
      <c r="E233" s="98" t="s">
        <v>60</v>
      </c>
      <c r="F233" s="99" t="s">
        <v>61</v>
      </c>
      <c r="G233" s="37">
        <f>$H233*$I233/2</f>
        <v>24</v>
      </c>
      <c r="H233" s="123">
        <v>6</v>
      </c>
      <c r="I233" s="124">
        <v>8</v>
      </c>
      <c r="J233" s="146">
        <f>$H233/2</f>
        <v>3</v>
      </c>
      <c r="K233" s="147">
        <f>$I233/2</f>
        <v>4</v>
      </c>
      <c r="L233" s="77">
        <f>$G233/VLOOKUP($E233,Ore_Density[],2,FALSE)/Vanilla_COG_Divisor</f>
        <v>9.0053315615243417</v>
      </c>
      <c r="M233" s="82" t="str">
        <f>IF(OR($E233="Layered Veins",$E233="Small Deposits",$E233="Geode"),"Motherlode",IF(OR($E233="Pipe Veins",$E233="Sparse Veins",$E233="Vertical Veins"),"No","ERROR"))</f>
        <v>No</v>
      </c>
      <c r="N233" s="86">
        <v>1</v>
      </c>
      <c r="O233" s="86">
        <v>1</v>
      </c>
      <c r="P233" s="82" t="str">
        <f>IF(OR($E233="Layered Veins",$E233="Pipe Veins",$E233="Sparse Veins"),"Branches",IF($E233="Vertical Veins","Vertical","none"))</f>
        <v>Branches</v>
      </c>
      <c r="Q233" s="152">
        <f>SQRT($L233)*$N233</f>
        <v>3.000888462026595</v>
      </c>
      <c r="R233" s="152" t="str">
        <f>IF($M233="Motherlode",(($O233*SQRT($L233))^(1/2))^(1/3),"none")</f>
        <v>none</v>
      </c>
      <c r="S233" s="152">
        <f>IF($P233="Branches",SQRT($L233)^(1/2),IF($P233="Vertical","default",$P233))</f>
        <v>1.7323072654776333</v>
      </c>
      <c r="T233" s="153">
        <f>IF($P233="Branches",SQRT(SQRT($L233))^(1/2),IF($P233="Vertical",SQRT($L233)^(1/2),"none"))</f>
        <v>1.3161714422816024</v>
      </c>
      <c r="U233" s="78">
        <f>$G233/Stratum_Clouds_Ores_Per_Chunk/Vanilla_COG_Divisor</f>
        <v>0.6696428571428571</v>
      </c>
      <c r="V233" s="158">
        <f>SQRT($U233)</f>
        <v>0.81831708838497141</v>
      </c>
      <c r="W233" s="147">
        <f>SQRT(SQRT($U233))</f>
        <v>0.90460880406116506</v>
      </c>
      <c r="X233" s="70">
        <f>$Y233+$AB233</f>
        <v>32</v>
      </c>
      <c r="Y233" s="71">
        <f>($AC233-$AB233)/2</f>
        <v>27</v>
      </c>
      <c r="Z233" s="71">
        <f>$AA233+$AB233</f>
        <v>32</v>
      </c>
      <c r="AA233" s="72">
        <f>($AG233-$AB233)/2</f>
        <v>27</v>
      </c>
      <c r="AB233" s="128">
        <v>5</v>
      </c>
      <c r="AC233" s="128">
        <v>59</v>
      </c>
      <c r="AD233" s="128" t="s">
        <v>790</v>
      </c>
      <c r="AE233" s="71">
        <f>IF($AD233="No",0,IF($AJ233="overworld",IF($X233&lt;64,64+($X233*3),0),0))</f>
        <v>0</v>
      </c>
      <c r="AF233" s="71">
        <f>IF($AD233="No",0,IF($AJ233="Overworld",IF($X233&lt;64,($Y233*3),0),0))</f>
        <v>0</v>
      </c>
      <c r="AG233" s="32">
        <f>IF($AC233&gt;64,64+(($AC233-64)*2.9),$AC233)</f>
        <v>59</v>
      </c>
      <c r="AH233" s="41" t="s">
        <v>733</v>
      </c>
      <c r="AI233" s="42"/>
      <c r="AJ233" s="131" t="s">
        <v>53</v>
      </c>
      <c r="AK233" s="20" t="str">
        <f>IF($X233&gt;64,"uniform",IF($AJ233="Overworld","normal","uniform"))</f>
        <v>normal</v>
      </c>
      <c r="AL233" s="109" t="s">
        <v>734</v>
      </c>
      <c r="AM233" s="110" t="s">
        <v>64</v>
      </c>
      <c r="AN233" s="117" t="s">
        <v>735</v>
      </c>
      <c r="AO233" s="118" t="s">
        <v>735</v>
      </c>
      <c r="AP233" s="46"/>
    </row>
    <row r="234" spans="1:42" s="7" customFormat="1" ht="13.5">
      <c r="A234" s="31" t="s">
        <v>706</v>
      </c>
      <c r="B234" s="18"/>
      <c r="C234" s="105" t="s">
        <v>716</v>
      </c>
      <c r="D234" s="97" t="s">
        <v>59</v>
      </c>
      <c r="E234" s="98" t="s">
        <v>60</v>
      </c>
      <c r="F234" s="99" t="s">
        <v>61</v>
      </c>
      <c r="G234" s="37">
        <f>$H234*$I234/2</f>
        <v>24</v>
      </c>
      <c r="H234" s="123">
        <v>6</v>
      </c>
      <c r="I234" s="124">
        <v>8</v>
      </c>
      <c r="J234" s="146">
        <f>$H234/2</f>
        <v>3</v>
      </c>
      <c r="K234" s="147">
        <f>$I234/2</f>
        <v>4</v>
      </c>
      <c r="L234" s="77">
        <f>$G234/VLOOKUP($E234,Ore_Density[],2,FALSE)/Vanilla_COG_Divisor</f>
        <v>9.0053315615243417</v>
      </c>
      <c r="M234" s="82" t="str">
        <f>IF(OR($E234="Layered Veins",$E234="Small Deposits",$E234="Geode"),"Motherlode",IF(OR($E234="Pipe Veins",$E234="Sparse Veins",$E234="Vertical Veins"),"No","ERROR"))</f>
        <v>No</v>
      </c>
      <c r="N234" s="86">
        <v>1</v>
      </c>
      <c r="O234" s="86">
        <v>1</v>
      </c>
      <c r="P234" s="82" t="str">
        <f>IF(OR($E234="Layered Veins",$E234="Pipe Veins",$E234="Sparse Veins"),"Branches",IF($E234="Vertical Veins","Vertical","none"))</f>
        <v>Branches</v>
      </c>
      <c r="Q234" s="152">
        <f>SQRT($L234)*$N234</f>
        <v>3.000888462026595</v>
      </c>
      <c r="R234" s="152" t="str">
        <f>IF($M234="Motherlode",(($O234*SQRT($L234))^(1/2))^(1/3),"none")</f>
        <v>none</v>
      </c>
      <c r="S234" s="152">
        <f>IF($P234="Branches",SQRT($L234)^(1/2),IF($P234="Vertical","default",$P234))</f>
        <v>1.7323072654776333</v>
      </c>
      <c r="T234" s="153">
        <f>IF($P234="Branches",SQRT(SQRT($L234))^(1/2),IF($P234="Vertical",SQRT($L234)^(1/2),"none"))</f>
        <v>1.3161714422816024</v>
      </c>
      <c r="U234" s="78">
        <f>$G234/Stratum_Clouds_Ores_Per_Chunk/Vanilla_COG_Divisor</f>
        <v>0.6696428571428571</v>
      </c>
      <c r="V234" s="158">
        <f>SQRT($U234)</f>
        <v>0.81831708838497141</v>
      </c>
      <c r="W234" s="147">
        <f>SQRT(SQRT($U234))</f>
        <v>0.90460880406116506</v>
      </c>
      <c r="X234" s="70">
        <f>$Y234+$AB234</f>
        <v>32</v>
      </c>
      <c r="Y234" s="71">
        <f>($AC234-$AB234)/2</f>
        <v>27</v>
      </c>
      <c r="Z234" s="71">
        <f>$AA234+$AB234</f>
        <v>32</v>
      </c>
      <c r="AA234" s="72">
        <f>($AG234-$AB234)/2</f>
        <v>27</v>
      </c>
      <c r="AB234" s="128">
        <v>5</v>
      </c>
      <c r="AC234" s="128">
        <v>59</v>
      </c>
      <c r="AD234" s="128" t="s">
        <v>790</v>
      </c>
      <c r="AE234" s="71">
        <f>IF($AD234="No",0,IF($AJ234="overworld",IF($X234&lt;64,64+($X234*3),0),0))</f>
        <v>0</v>
      </c>
      <c r="AF234" s="71">
        <f>IF($AD234="No",0,IF($AJ234="Overworld",IF($X234&lt;64,($Y234*3),0),0))</f>
        <v>0</v>
      </c>
      <c r="AG234" s="32">
        <f>IF($AC234&gt;64,64+(($AC234-64)*2.9),$AC234)</f>
        <v>59</v>
      </c>
      <c r="AH234" s="41" t="s">
        <v>717</v>
      </c>
      <c r="AI234" s="42"/>
      <c r="AJ234" s="131" t="s">
        <v>53</v>
      </c>
      <c r="AK234" s="20" t="str">
        <f>IF($X234&gt;64,"uniform",IF($AJ234="Overworld","normal","uniform"))</f>
        <v>normal</v>
      </c>
      <c r="AL234" s="109" t="s">
        <v>718</v>
      </c>
      <c r="AM234" s="110" t="s">
        <v>64</v>
      </c>
      <c r="AN234" s="117" t="s">
        <v>719</v>
      </c>
      <c r="AO234" s="118" t="s">
        <v>719</v>
      </c>
      <c r="AP234" s="46"/>
    </row>
    <row r="235" spans="1:42" s="7" customFormat="1" ht="13.5">
      <c r="A235" s="31" t="s">
        <v>706</v>
      </c>
      <c r="B235" s="18"/>
      <c r="C235" s="105" t="s">
        <v>728</v>
      </c>
      <c r="D235" s="97" t="s">
        <v>59</v>
      </c>
      <c r="E235" s="98" t="s">
        <v>60</v>
      </c>
      <c r="F235" s="99" t="s">
        <v>61</v>
      </c>
      <c r="G235" s="37">
        <f>$H235*$I235/2</f>
        <v>24</v>
      </c>
      <c r="H235" s="123">
        <v>6</v>
      </c>
      <c r="I235" s="124">
        <v>8</v>
      </c>
      <c r="J235" s="146">
        <f>$H235/2</f>
        <v>3</v>
      </c>
      <c r="K235" s="147">
        <f>$I235/2</f>
        <v>4</v>
      </c>
      <c r="L235" s="77">
        <f>$G235/VLOOKUP($E235,Ore_Density[],2,FALSE)/Vanilla_COG_Divisor</f>
        <v>9.0053315615243417</v>
      </c>
      <c r="M235" s="82" t="str">
        <f>IF(OR($E235="Layered Veins",$E235="Small Deposits",$E235="Geode"),"Motherlode",IF(OR($E235="Pipe Veins",$E235="Sparse Veins",$E235="Vertical Veins"),"No","ERROR"))</f>
        <v>No</v>
      </c>
      <c r="N235" s="86">
        <v>1</v>
      </c>
      <c r="O235" s="86">
        <v>1</v>
      </c>
      <c r="P235" s="82" t="str">
        <f>IF(OR($E235="Layered Veins",$E235="Pipe Veins",$E235="Sparse Veins"),"Branches",IF($E235="Vertical Veins","Vertical","none"))</f>
        <v>Branches</v>
      </c>
      <c r="Q235" s="152">
        <f>SQRT($L235)*$N235</f>
        <v>3.000888462026595</v>
      </c>
      <c r="R235" s="152" t="str">
        <f>IF($M235="Motherlode",(($O235*SQRT($L235))^(1/2))^(1/3),"none")</f>
        <v>none</v>
      </c>
      <c r="S235" s="152">
        <f>IF($P235="Branches",SQRT($L235)^(1/2),IF($P235="Vertical","default",$P235))</f>
        <v>1.7323072654776333</v>
      </c>
      <c r="T235" s="153">
        <f>IF($P235="Branches",SQRT(SQRT($L235))^(1/2),IF($P235="Vertical",SQRT($L235)^(1/2),"none"))</f>
        <v>1.3161714422816024</v>
      </c>
      <c r="U235" s="78">
        <f>$G235/Stratum_Clouds_Ores_Per_Chunk/Vanilla_COG_Divisor</f>
        <v>0.6696428571428571</v>
      </c>
      <c r="V235" s="158">
        <f>SQRT($U235)</f>
        <v>0.81831708838497141</v>
      </c>
      <c r="W235" s="147">
        <f>SQRT(SQRT($U235))</f>
        <v>0.90460880406116506</v>
      </c>
      <c r="X235" s="70">
        <f>$Y235+$AB235</f>
        <v>32</v>
      </c>
      <c r="Y235" s="71">
        <f>($AC235-$AB235)/2</f>
        <v>27</v>
      </c>
      <c r="Z235" s="71">
        <f>$AA235+$AB235</f>
        <v>32</v>
      </c>
      <c r="AA235" s="72">
        <f>($AG235-$AB235)/2</f>
        <v>27</v>
      </c>
      <c r="AB235" s="128">
        <v>5</v>
      </c>
      <c r="AC235" s="128">
        <v>59</v>
      </c>
      <c r="AD235" s="128" t="s">
        <v>790</v>
      </c>
      <c r="AE235" s="71">
        <f>IF($AD235="No",0,IF($AJ235="overworld",IF($X235&lt;64,64+($X235*3),0),0))</f>
        <v>0</v>
      </c>
      <c r="AF235" s="71">
        <f>IF($AD235="No",0,IF($AJ235="Overworld",IF($X235&lt;64,($Y235*3),0),0))</f>
        <v>0</v>
      </c>
      <c r="AG235" s="32">
        <f>IF($AC235&gt;64,64+(($AC235-64)*2.9),$AC235)</f>
        <v>59</v>
      </c>
      <c r="AH235" s="41" t="s">
        <v>729</v>
      </c>
      <c r="AI235" s="42"/>
      <c r="AJ235" s="131" t="s">
        <v>53</v>
      </c>
      <c r="AK235" s="20" t="str">
        <f>IF($X235&gt;64,"uniform",IF($AJ235="Overworld","normal","uniform"))</f>
        <v>normal</v>
      </c>
      <c r="AL235" s="109" t="s">
        <v>730</v>
      </c>
      <c r="AM235" s="110" t="s">
        <v>64</v>
      </c>
      <c r="AN235" s="117" t="s">
        <v>731</v>
      </c>
      <c r="AO235" s="118" t="s">
        <v>731</v>
      </c>
      <c r="AP235" s="46"/>
    </row>
    <row r="236" spans="1:42" s="7" customFormat="1" ht="13.5">
      <c r="A236" s="31" t="s">
        <v>706</v>
      </c>
      <c r="B236" s="18"/>
      <c r="C236" s="105" t="s">
        <v>720</v>
      </c>
      <c r="D236" s="97" t="s">
        <v>59</v>
      </c>
      <c r="E236" s="98" t="s">
        <v>60</v>
      </c>
      <c r="F236" s="99" t="s">
        <v>61</v>
      </c>
      <c r="G236" s="37">
        <f>$H236*$I236/2</f>
        <v>24</v>
      </c>
      <c r="H236" s="123">
        <v>6</v>
      </c>
      <c r="I236" s="124">
        <v>8</v>
      </c>
      <c r="J236" s="146">
        <f>$H236/2</f>
        <v>3</v>
      </c>
      <c r="K236" s="147">
        <f>$I236/2</f>
        <v>4</v>
      </c>
      <c r="L236" s="77">
        <f>$G236/VLOOKUP($E236,Ore_Density[],2,FALSE)/Vanilla_COG_Divisor</f>
        <v>9.0053315615243417</v>
      </c>
      <c r="M236" s="82" t="str">
        <f>IF(OR($E236="Layered Veins",$E236="Small Deposits",$E236="Geode"),"Motherlode",IF(OR($E236="Pipe Veins",$E236="Sparse Veins",$E236="Vertical Veins"),"No","ERROR"))</f>
        <v>No</v>
      </c>
      <c r="N236" s="86">
        <v>1</v>
      </c>
      <c r="O236" s="86">
        <v>1</v>
      </c>
      <c r="P236" s="82" t="str">
        <f>IF(OR($E236="Layered Veins",$E236="Pipe Veins",$E236="Sparse Veins"),"Branches",IF($E236="Vertical Veins","Vertical","none"))</f>
        <v>Branches</v>
      </c>
      <c r="Q236" s="152">
        <f>SQRT($L236)*$N236</f>
        <v>3.000888462026595</v>
      </c>
      <c r="R236" s="152" t="str">
        <f>IF($M236="Motherlode",(($O236*SQRT($L236))^(1/2))^(1/3),"none")</f>
        <v>none</v>
      </c>
      <c r="S236" s="152">
        <f>IF($P236="Branches",SQRT($L236)^(1/2),IF($P236="Vertical","default",$P236))</f>
        <v>1.7323072654776333</v>
      </c>
      <c r="T236" s="153">
        <f>IF($P236="Branches",SQRT(SQRT($L236))^(1/2),IF($P236="Vertical",SQRT($L236)^(1/2),"none"))</f>
        <v>1.3161714422816024</v>
      </c>
      <c r="U236" s="78">
        <f>$G236/Stratum_Clouds_Ores_Per_Chunk/Vanilla_COG_Divisor</f>
        <v>0.6696428571428571</v>
      </c>
      <c r="V236" s="158">
        <f>SQRT($U236)</f>
        <v>0.81831708838497141</v>
      </c>
      <c r="W236" s="147">
        <f>SQRT(SQRT($U236))</f>
        <v>0.90460880406116506</v>
      </c>
      <c r="X236" s="70">
        <f>$Y236+$AB236</f>
        <v>32</v>
      </c>
      <c r="Y236" s="71">
        <f>($AC236-$AB236)/2</f>
        <v>27</v>
      </c>
      <c r="Z236" s="71">
        <f>$AA236+$AB236</f>
        <v>32</v>
      </c>
      <c r="AA236" s="72">
        <f>($AG236-$AB236)/2</f>
        <v>27</v>
      </c>
      <c r="AB236" s="128">
        <v>5</v>
      </c>
      <c r="AC236" s="128">
        <v>59</v>
      </c>
      <c r="AD236" s="128" t="s">
        <v>790</v>
      </c>
      <c r="AE236" s="71">
        <f>IF($AD236="No",0,IF($AJ236="overworld",IF($X236&lt;64,64+($X236*3),0),0))</f>
        <v>0</v>
      </c>
      <c r="AF236" s="71">
        <f>IF($AD236="No",0,IF($AJ236="Overworld",IF($X236&lt;64,($Y236*3),0),0))</f>
        <v>0</v>
      </c>
      <c r="AG236" s="32">
        <f>IF($AC236&gt;64,64+(($AC236-64)*2.9),$AC236)</f>
        <v>59</v>
      </c>
      <c r="AH236" s="41" t="s">
        <v>721</v>
      </c>
      <c r="AI236" s="42"/>
      <c r="AJ236" s="131" t="s">
        <v>53</v>
      </c>
      <c r="AK236" s="20" t="str">
        <f>IF($X236&gt;64,"uniform",IF($AJ236="Overworld","normal","uniform"))</f>
        <v>normal</v>
      </c>
      <c r="AL236" s="109" t="s">
        <v>722</v>
      </c>
      <c r="AM236" s="110" t="s">
        <v>64</v>
      </c>
      <c r="AN236" s="117" t="s">
        <v>723</v>
      </c>
      <c r="AO236" s="118" t="s">
        <v>723</v>
      </c>
      <c r="AP236" s="46"/>
    </row>
    <row r="237" spans="1:42" s="7" customFormat="1" ht="13.5">
      <c r="A237" s="31" t="s">
        <v>736</v>
      </c>
      <c r="B237" s="18"/>
      <c r="C237" s="105" t="s">
        <v>176</v>
      </c>
      <c r="D237" s="97" t="s">
        <v>59</v>
      </c>
      <c r="E237" s="98" t="s">
        <v>66</v>
      </c>
      <c r="F237" s="99" t="s">
        <v>61</v>
      </c>
      <c r="G237" s="37">
        <f>$H237*$I237/2</f>
        <v>40</v>
      </c>
      <c r="H237" s="123">
        <v>8</v>
      </c>
      <c r="I237" s="124">
        <v>10</v>
      </c>
      <c r="J237" s="146">
        <f>$H237/2</f>
        <v>4</v>
      </c>
      <c r="K237" s="147">
        <f>$I237/2</f>
        <v>5</v>
      </c>
      <c r="L237" s="77">
        <f>$G237/VLOOKUP($E237,Ore_Density[],2,FALSE)/Vanilla_COG_Divisor</f>
        <v>2.5048923679060664</v>
      </c>
      <c r="M237" s="82" t="str">
        <f>IF(OR($E237="Layered Veins",$E237="Small Deposits",$E237="Geode"),"Motherlode",IF(OR($E237="Pipe Veins",$E237="Sparse Veins",$E237="Vertical Veins"),"No","ERROR"))</f>
        <v>Motherlode</v>
      </c>
      <c r="N237" s="86">
        <v>1</v>
      </c>
      <c r="O237" s="86">
        <v>1</v>
      </c>
      <c r="P237" s="82" t="str">
        <f>IF(OR($E237="Layered Veins",$E237="Pipe Veins",$E237="Sparse Veins"),"Branches",IF($E237="Vertical Veins","Vertical","none"))</f>
        <v>Branches</v>
      </c>
      <c r="Q237" s="152">
        <f>SQRT($L237)*$N237</f>
        <v>1.5826851764978613</v>
      </c>
      <c r="R237" s="152">
        <f>IF($M237="Motherlode",(($O237*SQRT($L237))^(1/2))^(1/3),"none")</f>
        <v>1.0795242993720435</v>
      </c>
      <c r="S237" s="152">
        <f>IF($P237="Branches",SQRT($L237)^(1/2),IF($P237="Vertical","default",$P237))</f>
        <v>1.2580481614381309</v>
      </c>
      <c r="T237" s="153">
        <f>IF($P237="Branches",SQRT(SQRT($L237))^(1/2),IF($P237="Vertical",SQRT($L237)^(1/2),"none"))</f>
        <v>1.1216274610752586</v>
      </c>
      <c r="U237" s="77">
        <f>$G237/VLOOKUP($F237,Ore_Density[],2,FALSE)/Vanilla_COG_Divisor</f>
        <v>3.2653061224489797</v>
      </c>
      <c r="V237" s="158">
        <f>SQRT($U237)</f>
        <v>1.8070158058105026</v>
      </c>
      <c r="W237" s="147">
        <f>SQRT(SQRT($U237))</f>
        <v>1.3442528801570419</v>
      </c>
      <c r="X237" s="70">
        <f>$Y237+$AB237</f>
        <v>68</v>
      </c>
      <c r="Y237" s="71">
        <f>($AC237-$AB237)/2</f>
        <v>28</v>
      </c>
      <c r="Z237" s="71">
        <f>$AA237+$AB237</f>
        <v>98.4</v>
      </c>
      <c r="AA237" s="72">
        <f>($AG237-$AB237)/2</f>
        <v>58.400000000000006</v>
      </c>
      <c r="AB237" s="128">
        <v>40</v>
      </c>
      <c r="AC237" s="128">
        <v>96</v>
      </c>
      <c r="AD237" s="128"/>
      <c r="AE237" s="71">
        <f>IF($AD237="No",0,IF($AJ237="overworld",IF($X237&lt;64,64+($X237*3),0),0))</f>
        <v>0</v>
      </c>
      <c r="AF237" s="71">
        <f>IF($AD237="No",0,IF($AJ237="Overworld",IF($X237&lt;64,($Y237*3),0),0))</f>
        <v>0</v>
      </c>
      <c r="AG237" s="32">
        <f>IF($AC237&gt;64,64+(($AC237-64)*2.9),$AC237)</f>
        <v>156.80000000000001</v>
      </c>
      <c r="AH237" s="41" t="s">
        <v>177</v>
      </c>
      <c r="AI237" s="42"/>
      <c r="AJ237" s="131" t="s">
        <v>53</v>
      </c>
      <c r="AK237" s="20" t="str">
        <f>IF($X237&gt;64,"uniform",IF($AJ237="Overworld","normal","uniform"))</f>
        <v>uniform</v>
      </c>
      <c r="AL237" s="109" t="s">
        <v>737</v>
      </c>
      <c r="AM237" s="110" t="s">
        <v>64</v>
      </c>
      <c r="AN237" s="117"/>
      <c r="AO237" s="118" t="s">
        <v>56</v>
      </c>
      <c r="AP237" s="46"/>
    </row>
    <row r="238" spans="1:42" s="7" customFormat="1" ht="13.5">
      <c r="A238" s="31" t="s">
        <v>736</v>
      </c>
      <c r="B238" s="18"/>
      <c r="C238" s="105" t="s">
        <v>741</v>
      </c>
      <c r="D238" s="97" t="s">
        <v>59</v>
      </c>
      <c r="E238" s="98" t="s">
        <v>66</v>
      </c>
      <c r="F238" s="99" t="s">
        <v>61</v>
      </c>
      <c r="G238" s="37">
        <f>$H238*$I238/2</f>
        <v>6</v>
      </c>
      <c r="H238" s="123">
        <v>4</v>
      </c>
      <c r="I238" s="124">
        <v>3</v>
      </c>
      <c r="J238" s="146">
        <f>$H238/2</f>
        <v>2</v>
      </c>
      <c r="K238" s="147">
        <f>$I238/2</f>
        <v>1.5</v>
      </c>
      <c r="L238" s="77">
        <f>$G238/VLOOKUP($E238,Ore_Density[],2,FALSE)/Vanilla_COG_Divisor</f>
        <v>0.37573385518590996</v>
      </c>
      <c r="M238" s="82" t="str">
        <f>IF(OR($E238="Layered Veins",$E238="Small Deposits",$E238="Geode"),"Motherlode",IF(OR($E238="Pipe Veins",$E238="Sparse Veins",$E238="Vertical Veins"),"No","ERROR"))</f>
        <v>Motherlode</v>
      </c>
      <c r="N238" s="86">
        <v>1</v>
      </c>
      <c r="O238" s="86">
        <v>1</v>
      </c>
      <c r="P238" s="82" t="str">
        <f>IF(OR($E238="Layered Veins",$E238="Pipe Veins",$E238="Sparse Veins"),"Branches",IF($E238="Vertical Veins","Vertical","none"))</f>
        <v>Branches</v>
      </c>
      <c r="Q238" s="152">
        <f>SQRT($L238)*$N238</f>
        <v>0.61297133308655627</v>
      </c>
      <c r="R238" s="152">
        <f>IF($M238="Motherlode",(($O238*SQRT($L238))^(1/2))^(1/3),"none")</f>
        <v>0.92166556267577893</v>
      </c>
      <c r="S238" s="152">
        <f>IF($P238="Branches",SQRT($L238)^(1/2),IF($P238="Vertical","default",$P238))</f>
        <v>0.78292485788008814</v>
      </c>
      <c r="T238" s="153">
        <f>IF($P238="Branches",SQRT(SQRT($L238))^(1/2),IF($P238="Vertical",SQRT($L238)^(1/2),"none"))</f>
        <v>0.88483041193218948</v>
      </c>
      <c r="U238" s="77">
        <f>$G238/VLOOKUP($F238,Ore_Density[],2,FALSE)/Vanilla_COG_Divisor</f>
        <v>0.48979591836734693</v>
      </c>
      <c r="V238" s="158">
        <f>SQRT($U238)</f>
        <v>0.6998542122237652</v>
      </c>
      <c r="W238" s="147">
        <f>SQRT(SQRT($U238))</f>
        <v>0.83657289713674399</v>
      </c>
      <c r="X238" s="70">
        <f>$Y238+$AB238</f>
        <v>12.5</v>
      </c>
      <c r="Y238" s="71">
        <f>($AC238-$AB238)/2</f>
        <v>7.5</v>
      </c>
      <c r="Z238" s="71">
        <f>$AA238+$AB238</f>
        <v>12.5</v>
      </c>
      <c r="AA238" s="72">
        <f>($AG238-$AB238)/2</f>
        <v>7.5</v>
      </c>
      <c r="AB238" s="128">
        <v>5</v>
      </c>
      <c r="AC238" s="128">
        <v>20</v>
      </c>
      <c r="AD238" s="128"/>
      <c r="AE238" s="71">
        <f>IF($AD238="No",0,IF($AJ238="overworld",IF($X238&lt;64,64+($X238*3),0),0))</f>
        <v>101.5</v>
      </c>
      <c r="AF238" s="71">
        <f>IF($AD238="No",0,IF($AJ238="Overworld",IF($X238&lt;64,($Y238*3),0),0))</f>
        <v>22.5</v>
      </c>
      <c r="AG238" s="32">
        <f>IF($AC238&gt;64,64+(($AC238-64)*2.9),$AC238)</f>
        <v>20</v>
      </c>
      <c r="AH238" s="41" t="s">
        <v>742</v>
      </c>
      <c r="AI238" s="42"/>
      <c r="AJ238" s="131" t="s">
        <v>53</v>
      </c>
      <c r="AK238" s="20" t="str">
        <f>IF($X238&gt;64,"uniform",IF($AJ238="Overworld","normal","uniform"))</f>
        <v>normal</v>
      </c>
      <c r="AL238" s="109" t="s">
        <v>743</v>
      </c>
      <c r="AM238" s="110" t="s">
        <v>64</v>
      </c>
      <c r="AN238" s="117"/>
      <c r="AO238" s="118" t="s">
        <v>56</v>
      </c>
      <c r="AP238" s="46"/>
    </row>
    <row r="239" spans="1:42" s="7" customFormat="1" ht="13.5">
      <c r="A239" s="31" t="s">
        <v>736</v>
      </c>
      <c r="B239" s="18"/>
      <c r="C239" s="105" t="s">
        <v>188</v>
      </c>
      <c r="D239" s="97" t="s">
        <v>59</v>
      </c>
      <c r="E239" s="98" t="s">
        <v>66</v>
      </c>
      <c r="F239" s="99" t="s">
        <v>61</v>
      </c>
      <c r="G239" s="37">
        <f>$H239*$I239/2</f>
        <v>32</v>
      </c>
      <c r="H239" s="123">
        <v>8</v>
      </c>
      <c r="I239" s="124">
        <v>8</v>
      </c>
      <c r="J239" s="146">
        <f>$H239/2</f>
        <v>4</v>
      </c>
      <c r="K239" s="147">
        <f>$I239/2</f>
        <v>4</v>
      </c>
      <c r="L239" s="77">
        <f>$G239/VLOOKUP($E239,Ore_Density[],2,FALSE)/Vanilla_COG_Divisor</f>
        <v>2.0039138943248531</v>
      </c>
      <c r="M239" s="82" t="str">
        <f>IF(OR($E239="Layered Veins",$E239="Small Deposits",$E239="Geode"),"Motherlode",IF(OR($E239="Pipe Veins",$E239="Sparse Veins",$E239="Vertical Veins"),"No","ERROR"))</f>
        <v>Motherlode</v>
      </c>
      <c r="N239" s="86">
        <v>1</v>
      </c>
      <c r="O239" s="86">
        <v>1</v>
      </c>
      <c r="P239" s="82" t="str">
        <f>IF(OR($E239="Layered Veins",$E239="Pipe Veins",$E239="Sparse Veins"),"Branches",IF($E239="Vertical Veins","Vertical","none"))</f>
        <v>Branches</v>
      </c>
      <c r="Q239" s="152">
        <f>SQRT($L239)*$N239</f>
        <v>1.4155966566521883</v>
      </c>
      <c r="R239" s="152">
        <f>IF($M239="Motherlode",(($O239*SQRT($L239))^(1/2))^(1/3),"none")</f>
        <v>1.0596357156920035</v>
      </c>
      <c r="S239" s="152">
        <f>IF($P239="Branches",SQRT($L239)^(1/2),IF($P239="Vertical","default",$P239))</f>
        <v>1.189788492401985</v>
      </c>
      <c r="T239" s="153">
        <f>IF($P239="Branches",SQRT(SQRT($L239))^(1/2),IF($P239="Vertical",SQRT($L239)^(1/2),"none"))</f>
        <v>1.0907742628069224</v>
      </c>
      <c r="U239" s="77">
        <f>$G239/VLOOKUP($F239,Ore_Density[],2,FALSE)/Vanilla_COG_Divisor</f>
        <v>2.6122448979591835</v>
      </c>
      <c r="V239" s="158">
        <f>SQRT($U239)</f>
        <v>1.6162440712835371</v>
      </c>
      <c r="W239" s="147">
        <f>SQRT(SQRT($U239))</f>
        <v>1.2713158817868739</v>
      </c>
      <c r="X239" s="70">
        <f>$Y239+$AB239</f>
        <v>23</v>
      </c>
      <c r="Y239" s="71">
        <f>($AC239-$AB239)/2</f>
        <v>12</v>
      </c>
      <c r="Z239" s="71">
        <f>$AA239+$AB239</f>
        <v>23</v>
      </c>
      <c r="AA239" s="72">
        <f>($AG239-$AB239)/2</f>
        <v>12</v>
      </c>
      <c r="AB239" s="128">
        <v>11</v>
      </c>
      <c r="AC239" s="128">
        <v>35</v>
      </c>
      <c r="AD239" s="128"/>
      <c r="AE239" s="71">
        <f>IF($AD239="No",0,IF($AJ239="overworld",IF($X239&lt;64,64+($X239*3),0),0))</f>
        <v>133</v>
      </c>
      <c r="AF239" s="71">
        <f>IF($AD239="No",0,IF($AJ239="Overworld",IF($X239&lt;64,($Y239*3),0),0))</f>
        <v>36</v>
      </c>
      <c r="AG239" s="32">
        <f>IF($AC239&gt;64,64+(($AC239-64)*2.9),$AC239)</f>
        <v>35</v>
      </c>
      <c r="AH239" s="41" t="s">
        <v>189</v>
      </c>
      <c r="AI239" s="42"/>
      <c r="AJ239" s="131" t="s">
        <v>53</v>
      </c>
      <c r="AK239" s="20" t="str">
        <f>IF($X239&gt;64,"uniform",IF($AJ239="Overworld","normal","uniform"))</f>
        <v>normal</v>
      </c>
      <c r="AL239" s="109" t="s">
        <v>740</v>
      </c>
      <c r="AM239" s="110" t="s">
        <v>64</v>
      </c>
      <c r="AN239" s="117"/>
      <c r="AO239" s="118" t="s">
        <v>56</v>
      </c>
      <c r="AP239" s="46"/>
    </row>
    <row r="240" spans="1:42" s="7" customFormat="1" ht="13.5">
      <c r="A240" s="31" t="s">
        <v>736</v>
      </c>
      <c r="B240" s="18"/>
      <c r="C240" s="105" t="s">
        <v>744</v>
      </c>
      <c r="D240" s="97" t="s">
        <v>59</v>
      </c>
      <c r="E240" s="98" t="s">
        <v>66</v>
      </c>
      <c r="F240" s="99" t="s">
        <v>61</v>
      </c>
      <c r="G240" s="37">
        <f>$H240*$I240/2</f>
        <v>1.5</v>
      </c>
      <c r="H240" s="123">
        <v>3</v>
      </c>
      <c r="I240" s="124">
        <v>1</v>
      </c>
      <c r="J240" s="146">
        <f>$H240/2</f>
        <v>1.5</v>
      </c>
      <c r="K240" s="147">
        <f>$I240/2</f>
        <v>0.5</v>
      </c>
      <c r="L240" s="77">
        <f>$G240/VLOOKUP($E240,Ore_Density[],2,FALSE)/Vanilla_COG_Divisor</f>
        <v>9.393346379647749E-2</v>
      </c>
      <c r="M240" s="82" t="str">
        <f>IF(OR($E240="Layered Veins",$E240="Small Deposits",$E240="Geode"),"Motherlode",IF(OR($E240="Pipe Veins",$E240="Sparse Veins",$E240="Vertical Veins"),"No","ERROR"))</f>
        <v>Motherlode</v>
      </c>
      <c r="N240" s="86">
        <v>1</v>
      </c>
      <c r="O240" s="86">
        <v>1</v>
      </c>
      <c r="P240" s="82" t="str">
        <f>IF(OR($E240="Layered Veins",$E240="Pipe Veins",$E240="Sparse Veins"),"Branches",IF($E240="Vertical Veins","Vertical","none"))</f>
        <v>Branches</v>
      </c>
      <c r="Q240" s="152">
        <f>SQRT($L240)*$N240</f>
        <v>0.30648566654327813</v>
      </c>
      <c r="R240" s="152">
        <f>IF($M240="Motherlode",(($O240*SQRT($L240))^(1/2))^(1/3),"none")</f>
        <v>0.82111066834194602</v>
      </c>
      <c r="S240" s="152">
        <f>IF($P240="Branches",SQRT($L240)^(1/2),IF($P240="Vertical","default",$P240))</f>
        <v>0.55361147616652429</v>
      </c>
      <c r="T240" s="153">
        <f>IF($P240="Branches",SQRT(SQRT($L240))^(1/2),IF($P240="Vertical",SQRT($L240)^(1/2),"none"))</f>
        <v>0.74405072150124574</v>
      </c>
      <c r="U240" s="77">
        <f>$G240/VLOOKUP($F240,Ore_Density[],2,FALSE)/Vanilla_COG_Divisor</f>
        <v>0.12244897959183673</v>
      </c>
      <c r="V240" s="158">
        <f>SQRT($U240)</f>
        <v>0.3499271061118826</v>
      </c>
      <c r="W240" s="147">
        <f>SQRT(SQRT($U240))</f>
        <v>0.59154636852226772</v>
      </c>
      <c r="X240" s="70">
        <f>$Y240+$AB240</f>
        <v>17.5</v>
      </c>
      <c r="Y240" s="71">
        <f>($AC240-$AB240)/2</f>
        <v>12.5</v>
      </c>
      <c r="Z240" s="71">
        <f>$AA240+$AB240</f>
        <v>17.5</v>
      </c>
      <c r="AA240" s="72">
        <f>($AG240-$AB240)/2</f>
        <v>12.5</v>
      </c>
      <c r="AB240" s="128">
        <v>5</v>
      </c>
      <c r="AC240" s="128">
        <v>30</v>
      </c>
      <c r="AD240" s="128"/>
      <c r="AE240" s="71">
        <f>IF($AD240="No",0,IF($AJ240="overworld",IF($X240&lt;64,64+($X240*3),0),0))</f>
        <v>116.5</v>
      </c>
      <c r="AF240" s="71">
        <f>IF($AD240="No",0,IF($AJ240="Overworld",IF($X240&lt;64,($Y240*3),0),0))</f>
        <v>37.5</v>
      </c>
      <c r="AG240" s="32">
        <f>IF($AC240&gt;64,64+(($AC240-64)*2.9),$AC240)</f>
        <v>30</v>
      </c>
      <c r="AH240" s="41" t="s">
        <v>745</v>
      </c>
      <c r="AI240" s="42"/>
      <c r="AJ240" s="131" t="s">
        <v>53</v>
      </c>
      <c r="AK240" s="20" t="str">
        <f>IF($X240&gt;64,"uniform",IF($AJ240="Overworld","normal","uniform"))</f>
        <v>normal</v>
      </c>
      <c r="AL240" s="109" t="s">
        <v>746</v>
      </c>
      <c r="AM240" s="110" t="s">
        <v>64</v>
      </c>
      <c r="AN240" s="117"/>
      <c r="AO240" s="118" t="s">
        <v>56</v>
      </c>
      <c r="AP240" s="46"/>
    </row>
    <row r="241" spans="1:42" s="7" customFormat="1" ht="13.5">
      <c r="A241" s="31" t="s">
        <v>736</v>
      </c>
      <c r="B241" s="18"/>
      <c r="C241" s="105" t="s">
        <v>173</v>
      </c>
      <c r="D241" s="97" t="s">
        <v>59</v>
      </c>
      <c r="E241" s="98" t="s">
        <v>66</v>
      </c>
      <c r="F241" s="99" t="s">
        <v>61</v>
      </c>
      <c r="G241" s="37">
        <f>$H241*$I241/2</f>
        <v>24</v>
      </c>
      <c r="H241" s="123">
        <v>8</v>
      </c>
      <c r="I241" s="124">
        <v>6</v>
      </c>
      <c r="J241" s="146">
        <f>$H241/2</f>
        <v>4</v>
      </c>
      <c r="K241" s="147">
        <f>$I241/2</f>
        <v>3</v>
      </c>
      <c r="L241" s="77">
        <f>$G241/VLOOKUP($E241,Ore_Density[],2,FALSE)/Vanilla_COG_Divisor</f>
        <v>1.5029354207436398</v>
      </c>
      <c r="M241" s="82" t="str">
        <f>IF(OR($E241="Layered Veins",$E241="Small Deposits",$E241="Geode"),"Motherlode",IF(OR($E241="Pipe Veins",$E241="Sparse Veins",$E241="Vertical Veins"),"No","ERROR"))</f>
        <v>Motherlode</v>
      </c>
      <c r="N241" s="86">
        <v>1</v>
      </c>
      <c r="O241" s="86">
        <v>1</v>
      </c>
      <c r="P241" s="82" t="str">
        <f>IF(OR($E241="Layered Veins",$E241="Pipe Veins",$E241="Sparse Veins"),"Branches",IF($E241="Vertical Veins","Vertical","none"))</f>
        <v>Branches</v>
      </c>
      <c r="Q241" s="152">
        <f>SQRT($L241)*$N241</f>
        <v>1.2259426661731125</v>
      </c>
      <c r="R241" s="152">
        <f>IF($M241="Motherlode",(($O241*SQRT($L241))^(1/2))^(1/3),"none")</f>
        <v>1.0345346153372657</v>
      </c>
      <c r="S241" s="152">
        <f>IF($P241="Branches",SQRT($L241)^(1/2),IF($P241="Vertical","default",$P241))</f>
        <v>1.1072229523330486</v>
      </c>
      <c r="T241" s="153">
        <f>IF($P241="Branches",SQRT(SQRT($L241))^(1/2),IF($P241="Vertical",SQRT($L241)^(1/2),"none"))</f>
        <v>1.0522466214405484</v>
      </c>
      <c r="U241" s="77">
        <f>$G241/VLOOKUP($F241,Ore_Density[],2,FALSE)/Vanilla_COG_Divisor</f>
        <v>1.9591836734693877</v>
      </c>
      <c r="V241" s="158">
        <f>SQRT($U241)</f>
        <v>1.3997084244475304</v>
      </c>
      <c r="W241" s="147">
        <f>SQRT(SQRT($U241))</f>
        <v>1.1830927370445354</v>
      </c>
      <c r="X241" s="70">
        <f>$Y241+$AB241</f>
        <v>17.5</v>
      </c>
      <c r="Y241" s="71">
        <f>($AC241-$AB241)/2</f>
        <v>12.5</v>
      </c>
      <c r="Z241" s="71">
        <f>$AA241+$AB241</f>
        <v>17.5</v>
      </c>
      <c r="AA241" s="72">
        <f>($AG241-$AB241)/2</f>
        <v>12.5</v>
      </c>
      <c r="AB241" s="128">
        <v>5</v>
      </c>
      <c r="AC241" s="128">
        <v>30</v>
      </c>
      <c r="AD241" s="128"/>
      <c r="AE241" s="71">
        <f>IF($AD241="No",0,IF($AJ241="overworld",IF($X241&lt;64,64+($X241*3),0),0))</f>
        <v>116.5</v>
      </c>
      <c r="AF241" s="71">
        <f>IF($AD241="No",0,IF($AJ241="Overworld",IF($X241&lt;64,($Y241*3),0),0))</f>
        <v>37.5</v>
      </c>
      <c r="AG241" s="32">
        <f>IF($AC241&gt;64,64+(($AC241-64)*2.9),$AC241)</f>
        <v>30</v>
      </c>
      <c r="AH241" s="41" t="s">
        <v>174</v>
      </c>
      <c r="AI241" s="42"/>
      <c r="AJ241" s="131" t="s">
        <v>53</v>
      </c>
      <c r="AK241" s="20" t="str">
        <f>IF($X241&gt;64,"uniform",IF($AJ241="Overworld","normal","uniform"))</f>
        <v>normal</v>
      </c>
      <c r="AL241" s="109" t="s">
        <v>739</v>
      </c>
      <c r="AM241" s="110" t="s">
        <v>64</v>
      </c>
      <c r="AN241" s="117"/>
      <c r="AO241" s="118" t="s">
        <v>56</v>
      </c>
      <c r="AP241" s="46"/>
    </row>
    <row r="242" spans="1:42" s="7" customFormat="1" ht="13.5">
      <c r="A242" s="31" t="s">
        <v>736</v>
      </c>
      <c r="B242" s="18"/>
      <c r="C242" s="105" t="s">
        <v>179</v>
      </c>
      <c r="D242" s="97" t="s">
        <v>59</v>
      </c>
      <c r="E242" s="98" t="s">
        <v>66</v>
      </c>
      <c r="F242" s="99" t="s">
        <v>61</v>
      </c>
      <c r="G242" s="37">
        <f>$H242*$I242/2</f>
        <v>32</v>
      </c>
      <c r="H242" s="123">
        <v>8</v>
      </c>
      <c r="I242" s="124">
        <v>8</v>
      </c>
      <c r="J242" s="146">
        <f>$H242/2</f>
        <v>4</v>
      </c>
      <c r="K242" s="147">
        <f>$I242/2</f>
        <v>4</v>
      </c>
      <c r="L242" s="77">
        <f>$G242/VLOOKUP($E242,Ore_Density[],2,FALSE)/Vanilla_COG_Divisor</f>
        <v>2.0039138943248531</v>
      </c>
      <c r="M242" s="82" t="str">
        <f>IF(OR($E242="Layered Veins",$E242="Small Deposits",$E242="Geode"),"Motherlode",IF(OR($E242="Pipe Veins",$E242="Sparse Veins",$E242="Vertical Veins"),"No","ERROR"))</f>
        <v>Motherlode</v>
      </c>
      <c r="N242" s="86">
        <v>1</v>
      </c>
      <c r="O242" s="86">
        <v>1</v>
      </c>
      <c r="P242" s="82" t="str">
        <f>IF(OR($E242="Layered Veins",$E242="Pipe Veins",$E242="Sparse Veins"),"Branches",IF($E242="Vertical Veins","Vertical","none"))</f>
        <v>Branches</v>
      </c>
      <c r="Q242" s="152">
        <f>SQRT($L242)*$N242</f>
        <v>1.4155966566521883</v>
      </c>
      <c r="R242" s="152">
        <f>IF($M242="Motherlode",(($O242*SQRT($L242))^(1/2))^(1/3),"none")</f>
        <v>1.0596357156920035</v>
      </c>
      <c r="S242" s="152">
        <f>IF($P242="Branches",SQRT($L242)^(1/2),IF($P242="Vertical","default",$P242))</f>
        <v>1.189788492401985</v>
      </c>
      <c r="T242" s="153">
        <f>IF($P242="Branches",SQRT(SQRT($L242))^(1/2),IF($P242="Vertical",SQRT($L242)^(1/2),"none"))</f>
        <v>1.0907742628069224</v>
      </c>
      <c r="U242" s="77">
        <f>$G242/VLOOKUP($F242,Ore_Density[],2,FALSE)/Vanilla_COG_Divisor</f>
        <v>2.6122448979591835</v>
      </c>
      <c r="V242" s="158">
        <f>SQRT($U242)</f>
        <v>1.6162440712835371</v>
      </c>
      <c r="W242" s="147">
        <f>SQRT(SQRT($U242))</f>
        <v>1.2713158817868739</v>
      </c>
      <c r="X242" s="70">
        <f>$Y242+$AB242</f>
        <v>38</v>
      </c>
      <c r="Y242" s="71">
        <f>($AC242-$AB242)/2</f>
        <v>17</v>
      </c>
      <c r="Z242" s="71">
        <f>$AA242+$AB242</f>
        <v>38</v>
      </c>
      <c r="AA242" s="72">
        <f>($AG242-$AB242)/2</f>
        <v>17</v>
      </c>
      <c r="AB242" s="128">
        <v>21</v>
      </c>
      <c r="AC242" s="128">
        <v>55</v>
      </c>
      <c r="AD242" s="128"/>
      <c r="AE242" s="71">
        <f>IF($AD242="No",0,IF($AJ242="overworld",IF($X242&lt;64,64+($X242*3),0),0))</f>
        <v>178</v>
      </c>
      <c r="AF242" s="71">
        <f>IF($AD242="No",0,IF($AJ242="Overworld",IF($X242&lt;64,($Y242*3),0),0))</f>
        <v>51</v>
      </c>
      <c r="AG242" s="32">
        <f>IF($AC242&gt;64,64+(($AC242-64)*2.9),$AC242)</f>
        <v>55</v>
      </c>
      <c r="AH242" s="41" t="s">
        <v>180</v>
      </c>
      <c r="AI242" s="42"/>
      <c r="AJ242" s="131" t="s">
        <v>53</v>
      </c>
      <c r="AK242" s="20" t="str">
        <f>IF($X242&gt;64,"uniform",IF($AJ242="Overworld","normal","uniform"))</f>
        <v>normal</v>
      </c>
      <c r="AL242" s="109" t="s">
        <v>738</v>
      </c>
      <c r="AM242" s="110" t="s">
        <v>64</v>
      </c>
      <c r="AN242" s="117"/>
      <c r="AO242" s="118" t="s">
        <v>56</v>
      </c>
      <c r="AP242" s="46"/>
    </row>
    <row r="243" spans="1:42" s="7" customFormat="1" ht="13.5">
      <c r="A243" s="31" t="s">
        <v>747</v>
      </c>
      <c r="B243" s="18"/>
      <c r="C243" s="105" t="s">
        <v>751</v>
      </c>
      <c r="D243" s="97" t="s">
        <v>59</v>
      </c>
      <c r="E243" s="98" t="s">
        <v>50</v>
      </c>
      <c r="F243" s="99" t="s">
        <v>61</v>
      </c>
      <c r="G243" s="37">
        <f>$H243*$I243/2</f>
        <v>12</v>
      </c>
      <c r="H243" s="123">
        <v>3</v>
      </c>
      <c r="I243" s="124">
        <v>8</v>
      </c>
      <c r="J243" s="146">
        <f>$H243/2</f>
        <v>1.5</v>
      </c>
      <c r="K243" s="147">
        <f>$I243/2</f>
        <v>4</v>
      </c>
      <c r="L243" s="77">
        <f>$G243/VLOOKUP($E243,Ore_Density[],2,FALSE)/Vanilla_COG_Divisor</f>
        <v>1.1757789535567313</v>
      </c>
      <c r="M243" s="82" t="str">
        <f>IF(OR($E243="Layered Veins",$E243="Small Deposits",$E243="Geode"),"Motherlode",IF(OR($E243="Pipe Veins",$E243="Sparse Veins",$E243="Vertical Veins"),"No","ERROR"))</f>
        <v>Motherlode</v>
      </c>
      <c r="N243" s="86">
        <v>1</v>
      </c>
      <c r="O243" s="86">
        <v>1</v>
      </c>
      <c r="P243" s="82" t="str">
        <f>IF(OR($E243="Layered Veins",$E243="Pipe Veins",$E243="Sparse Veins"),"Branches",IF($E243="Vertical Veins","Vertical","none"))</f>
        <v>none</v>
      </c>
      <c r="Q243" s="152">
        <f>SQRT($L243)*$N243</f>
        <v>1.0843334143872592</v>
      </c>
      <c r="R243" s="152">
        <f>IF($M243="Motherlode",(($O243*SQRT($L243))^(1/2))^(1/3),"none")</f>
        <v>1.0135856970940698</v>
      </c>
      <c r="S243" s="152" t="str">
        <f>IF($P243="Branches",SQRT($L243)^(1/2),IF($P243="Vertical","default",$P243))</f>
        <v>none</v>
      </c>
      <c r="T243" s="153" t="str">
        <f>IF($P243="Branches",SQRT(SQRT($L243))^(1/2),IF($P243="Vertical",SQRT($L243)^(1/2),"none"))</f>
        <v>none</v>
      </c>
      <c r="U243" s="77">
        <f>$G243/VLOOKUP($F243,Ore_Density[],2,FALSE)/Vanilla_COG_Divisor</f>
        <v>0.97959183673469385</v>
      </c>
      <c r="V243" s="158">
        <f>SQRT($U243)</f>
        <v>0.98974331861078702</v>
      </c>
      <c r="W243" s="147">
        <f>SQRT(SQRT($U243))</f>
        <v>0.99485844149345537</v>
      </c>
      <c r="X243" s="70">
        <f>$Y243+$AB243</f>
        <v>64</v>
      </c>
      <c r="Y243" s="71">
        <f>($AC243-$AB243)/2</f>
        <v>64</v>
      </c>
      <c r="Z243" s="71">
        <f>$AA243+$AB243</f>
        <v>124.8</v>
      </c>
      <c r="AA243" s="72">
        <f>($AG243-$AB243)/2</f>
        <v>124.8</v>
      </c>
      <c r="AB243" s="128">
        <v>0</v>
      </c>
      <c r="AC243" s="128">
        <v>128</v>
      </c>
      <c r="AD243" s="128"/>
      <c r="AE243" s="71">
        <f>IF($AD243="No",0,IF($AJ243="overworld",IF($X243&lt;64,64+($X243*3),0),0))</f>
        <v>0</v>
      </c>
      <c r="AF243" s="71">
        <f>IF($AD243="No",0,IF($AJ243="Overworld",IF($X243&lt;64,($Y243*3),0),0))</f>
        <v>0</v>
      </c>
      <c r="AG243" s="32">
        <f>IF($AC243&gt;64,64+(($AC243-64)*2.9),$AC243)</f>
        <v>249.6</v>
      </c>
      <c r="AH243" s="41" t="s">
        <v>752</v>
      </c>
      <c r="AI243" s="42"/>
      <c r="AJ243" s="131" t="s">
        <v>96</v>
      </c>
      <c r="AK243" s="20" t="str">
        <f>IF($X243&gt;64,"uniform",IF($AJ243="Overworld","normal","uniform"))</f>
        <v>uniform</v>
      </c>
      <c r="AL243" s="109" t="s">
        <v>753</v>
      </c>
      <c r="AM243" s="110" t="s">
        <v>98</v>
      </c>
      <c r="AN243" s="117"/>
      <c r="AO243" s="118" t="s">
        <v>56</v>
      </c>
      <c r="AP243" s="46"/>
    </row>
    <row r="244" spans="1:42" s="7" customFormat="1" ht="13.5">
      <c r="A244" s="31" t="s">
        <v>747</v>
      </c>
      <c r="B244" s="18"/>
      <c r="C244" s="105" t="s">
        <v>748</v>
      </c>
      <c r="D244" s="97" t="s">
        <v>59</v>
      </c>
      <c r="E244" s="98" t="s">
        <v>50</v>
      </c>
      <c r="F244" s="99" t="s">
        <v>61</v>
      </c>
      <c r="G244" s="37">
        <f>$H244*$I244/2</f>
        <v>12</v>
      </c>
      <c r="H244" s="123">
        <v>3</v>
      </c>
      <c r="I244" s="124">
        <v>8</v>
      </c>
      <c r="J244" s="146">
        <f>$H244/2</f>
        <v>1.5</v>
      </c>
      <c r="K244" s="147">
        <f>$I244/2</f>
        <v>4</v>
      </c>
      <c r="L244" s="77">
        <f>$G244/VLOOKUP($E244,Ore_Density[],2,FALSE)/Vanilla_COG_Divisor</f>
        <v>1.1757789535567313</v>
      </c>
      <c r="M244" s="82" t="str">
        <f>IF(OR($E244="Layered Veins",$E244="Small Deposits",$E244="Geode"),"Motherlode",IF(OR($E244="Pipe Veins",$E244="Sparse Veins",$E244="Vertical Veins"),"No","ERROR"))</f>
        <v>Motherlode</v>
      </c>
      <c r="N244" s="86">
        <v>1</v>
      </c>
      <c r="O244" s="86">
        <v>1</v>
      </c>
      <c r="P244" s="82" t="str">
        <f>IF(OR($E244="Layered Veins",$E244="Pipe Veins",$E244="Sparse Veins"),"Branches",IF($E244="Vertical Veins","Vertical","none"))</f>
        <v>none</v>
      </c>
      <c r="Q244" s="152">
        <f>SQRT($L244)*$N244</f>
        <v>1.0843334143872592</v>
      </c>
      <c r="R244" s="152">
        <f>IF($M244="Motherlode",(($O244*SQRT($L244))^(1/2))^(1/3),"none")</f>
        <v>1.0135856970940698</v>
      </c>
      <c r="S244" s="152" t="str">
        <f>IF($P244="Branches",SQRT($L244)^(1/2),IF($P244="Vertical","default",$P244))</f>
        <v>none</v>
      </c>
      <c r="T244" s="153" t="str">
        <f>IF($P244="Branches",SQRT(SQRT($L244))^(1/2),IF($P244="Vertical",SQRT($L244)^(1/2),"none"))</f>
        <v>none</v>
      </c>
      <c r="U244" s="77">
        <f>$G244/VLOOKUP($F244,Ore_Density[],2,FALSE)/Vanilla_COG_Divisor</f>
        <v>0.97959183673469385</v>
      </c>
      <c r="V244" s="158">
        <f>SQRT($U244)</f>
        <v>0.98974331861078702</v>
      </c>
      <c r="W244" s="147">
        <f>SQRT(SQRT($U244))</f>
        <v>0.99485844149345537</v>
      </c>
      <c r="X244" s="70">
        <f>$Y244+$AB244</f>
        <v>64</v>
      </c>
      <c r="Y244" s="71">
        <f>($AC244-$AB244)/2</f>
        <v>64</v>
      </c>
      <c r="Z244" s="71">
        <f>$AA244+$AB244</f>
        <v>124.8</v>
      </c>
      <c r="AA244" s="72">
        <f>($AG244-$AB244)/2</f>
        <v>124.8</v>
      </c>
      <c r="AB244" s="128">
        <v>0</v>
      </c>
      <c r="AC244" s="128">
        <v>128</v>
      </c>
      <c r="AD244" s="128"/>
      <c r="AE244" s="71">
        <f>IF($AD244="No",0,IF($AJ244="overworld",IF($X244&lt;64,64+($X244*3),0),0))</f>
        <v>0</v>
      </c>
      <c r="AF244" s="71">
        <f>IF($AD244="No",0,IF($AJ244="Overworld",IF($X244&lt;64,($Y244*3),0),0))</f>
        <v>0</v>
      </c>
      <c r="AG244" s="32">
        <f>IF($AC244&gt;64,64+(($AC244-64)*2.9),$AC244)</f>
        <v>249.6</v>
      </c>
      <c r="AH244" s="41" t="s">
        <v>749</v>
      </c>
      <c r="AI244" s="42"/>
      <c r="AJ244" s="131" t="s">
        <v>96</v>
      </c>
      <c r="AK244" s="20" t="str">
        <f>IF($X244&gt;64,"uniform",IF($AJ244="Overworld","normal","uniform"))</f>
        <v>uniform</v>
      </c>
      <c r="AL244" s="109" t="s">
        <v>750</v>
      </c>
      <c r="AM244" s="110" t="s">
        <v>98</v>
      </c>
      <c r="AN244" s="117"/>
      <c r="AO244" s="118" t="s">
        <v>56</v>
      </c>
      <c r="AP244" s="46"/>
    </row>
    <row r="245" spans="1:42" s="7" customFormat="1" ht="13.5">
      <c r="A245" s="31" t="s">
        <v>754</v>
      </c>
      <c r="B245" s="18"/>
      <c r="C245" s="105" t="s">
        <v>166</v>
      </c>
      <c r="D245" s="97" t="s">
        <v>49</v>
      </c>
      <c r="E245" s="98" t="s">
        <v>66</v>
      </c>
      <c r="F245" s="99" t="s">
        <v>51</v>
      </c>
      <c r="G245" s="37">
        <f>$H245*$I245/2</f>
        <v>32</v>
      </c>
      <c r="H245" s="123">
        <v>32</v>
      </c>
      <c r="I245" s="124">
        <v>2</v>
      </c>
      <c r="J245" s="146">
        <f>$H245/2</f>
        <v>16</v>
      </c>
      <c r="K245" s="147">
        <f>$I245/2</f>
        <v>1</v>
      </c>
      <c r="L245" s="77">
        <f>$G245/VLOOKUP($E245,Ore_Density[],2,FALSE)/Vanilla_COG_Divisor</f>
        <v>2.0039138943248531</v>
      </c>
      <c r="M245" s="82" t="str">
        <f>IF(OR($E245="Layered Veins",$E245="Small Deposits",$E245="Geode"),"Motherlode",IF(OR($E245="Pipe Veins",$E245="Sparse Veins",$E245="Vertical Veins"),"No","ERROR"))</f>
        <v>Motherlode</v>
      </c>
      <c r="N245" s="86">
        <v>1</v>
      </c>
      <c r="O245" s="86">
        <v>1</v>
      </c>
      <c r="P245" s="82" t="str">
        <f>IF(OR($E245="Layered Veins",$E245="Pipe Veins",$E245="Sparse Veins"),"Branches",IF($E245="Vertical Veins","Vertical","none"))</f>
        <v>Branches</v>
      </c>
      <c r="Q245" s="152">
        <f>SQRT($L245)*$N245</f>
        <v>1.4155966566521883</v>
      </c>
      <c r="R245" s="152">
        <f>IF($M245="Motherlode",(($O245*SQRT($L245))^(1/2))^(1/3),"none")</f>
        <v>1.0596357156920035</v>
      </c>
      <c r="S245" s="152">
        <f>IF($P245="Branches",SQRT($L245)^(1/2),IF($P245="Vertical","default",$P245))</f>
        <v>1.189788492401985</v>
      </c>
      <c r="T245" s="153">
        <f>IF($P245="Branches",SQRT(SQRT($L245))^(1/2),IF($P245="Vertical",SQRT($L245)^(1/2),"none"))</f>
        <v>1.0907742628069224</v>
      </c>
      <c r="U245" s="77">
        <f>$G245/VLOOKUP($F245,Ore_Density[],2,FALSE)/Vanilla_COG_Divisor</f>
        <v>0.8928571428571429</v>
      </c>
      <c r="V245" s="158">
        <f>SQRT($U245)</f>
        <v>0.94491118252306805</v>
      </c>
      <c r="W245" s="147">
        <f>SQRT(SQRT($U245))</f>
        <v>0.972065420906982</v>
      </c>
      <c r="X245" s="70">
        <f>$Y245+$AB245</f>
        <v>38</v>
      </c>
      <c r="Y245" s="71">
        <f>($AC245-$AB245)/2</f>
        <v>26</v>
      </c>
      <c r="Z245" s="71">
        <f>$AA245+$AB245</f>
        <v>38</v>
      </c>
      <c r="AA245" s="72">
        <f>($AG245-$AB245)/2</f>
        <v>26</v>
      </c>
      <c r="AB245" s="128">
        <v>12</v>
      </c>
      <c r="AC245" s="128">
        <v>64</v>
      </c>
      <c r="AD245" s="128"/>
      <c r="AE245" s="71">
        <f>IF($AD245="No",0,IF($AJ245="overworld",IF($X245&lt;64,64+($X245*3),0),0))</f>
        <v>178</v>
      </c>
      <c r="AF245" s="71">
        <f>IF($AD245="No",0,IF($AJ245="Overworld",IF($X245&lt;64,($Y245*3),0),0))</f>
        <v>78</v>
      </c>
      <c r="AG245" s="32">
        <f>IF($AC245&gt;64,64+(($AC245-64)*2.9),$AC245)</f>
        <v>64</v>
      </c>
      <c r="AH245" s="41" t="s">
        <v>755</v>
      </c>
      <c r="AI245" s="42"/>
      <c r="AJ245" s="131" t="s">
        <v>53</v>
      </c>
      <c r="AK245" s="20" t="str">
        <f>IF($X245&gt;64,"uniform",IF($AJ245="Overworld","normal","uniform"))</f>
        <v>normal</v>
      </c>
      <c r="AL245" s="109" t="s">
        <v>756</v>
      </c>
      <c r="AM245" s="110" t="s">
        <v>64</v>
      </c>
      <c r="AN245" s="117"/>
      <c r="AO245" s="118" t="s">
        <v>56</v>
      </c>
      <c r="AP245" s="46"/>
    </row>
    <row r="246" spans="1:42" s="7" customFormat="1" ht="13.5">
      <c r="A246" s="31" t="s">
        <v>47</v>
      </c>
      <c r="B246" s="18"/>
      <c r="C246" s="105" t="s">
        <v>48</v>
      </c>
      <c r="D246" s="97" t="s">
        <v>49</v>
      </c>
      <c r="E246" s="98" t="s">
        <v>50</v>
      </c>
      <c r="F246" s="99" t="s">
        <v>51</v>
      </c>
      <c r="G246" s="37">
        <f>$H246*$I246/2</f>
        <v>256</v>
      </c>
      <c r="H246" s="123">
        <v>32</v>
      </c>
      <c r="I246" s="124">
        <v>16</v>
      </c>
      <c r="J246" s="146">
        <f>$H246/2</f>
        <v>16</v>
      </c>
      <c r="K246" s="147">
        <f>$I246/2</f>
        <v>8</v>
      </c>
      <c r="L246" s="77">
        <f>$G246/VLOOKUP($E246,Ore_Density[],2,FALSE)/Vanilla_COG_Divisor</f>
        <v>25.0832843425436</v>
      </c>
      <c r="M246" s="82" t="str">
        <f>IF(OR($E246="Layered Veins",$E246="Small Deposits",$E246="Geode"),"Motherlode",IF(OR($E246="Pipe Veins",$E246="Sparse Veins",$E246="Vertical Veins"),"No","ERROR"))</f>
        <v>Motherlode</v>
      </c>
      <c r="N246" s="87">
        <v>0.25</v>
      </c>
      <c r="O246" s="87">
        <v>4</v>
      </c>
      <c r="P246" s="83" t="str">
        <f>IF(OR($E246="Layered Veins",$E246="Pipe Veins",$E246="Sparse Veins"),"Branches",IF($E246="Vertical Veins","Vertical","none"))</f>
        <v>none</v>
      </c>
      <c r="Q246" s="154">
        <f>SQRT($L246)*$N246</f>
        <v>1.25208037737558</v>
      </c>
      <c r="R246" s="154">
        <f>IF($M246="Motherlode",(($O246*SQRT($L246))^(1/2))^(1/3),"none")</f>
        <v>1.648005658998664</v>
      </c>
      <c r="S246" s="152" t="str">
        <f>IF($P246="Branches",SQRT($L246)^(1/2),IF($P246="Vertical","default",$P246))</f>
        <v>none</v>
      </c>
      <c r="T246" s="153" t="str">
        <f>IF($P246="Branches",SQRT(SQRT($L246))^(1/2),IF($P246="Vertical",SQRT($L246)^(1/2),"none"))</f>
        <v>none</v>
      </c>
      <c r="U246" s="77">
        <f>$G246/VLOOKUP($F246,Ore_Density[],2,FALSE)/Vanilla_COG_Divisor</f>
        <v>7.1428571428571432</v>
      </c>
      <c r="V246" s="158">
        <f>SQRT($U246)</f>
        <v>2.6726124191242437</v>
      </c>
      <c r="W246" s="147">
        <f>SQRT(SQRT($U246))</f>
        <v>1.6348126556655487</v>
      </c>
      <c r="X246" s="70">
        <f>$Y246+$AB246</f>
        <v>60</v>
      </c>
      <c r="Y246" s="71">
        <f>($AC246-$AB246)/2</f>
        <v>4</v>
      </c>
      <c r="Z246" s="71">
        <f>$AA246+$AB246</f>
        <v>60</v>
      </c>
      <c r="AA246" s="72">
        <f>($AG246-$AB246)/2</f>
        <v>4</v>
      </c>
      <c r="AB246" s="128">
        <v>56</v>
      </c>
      <c r="AC246" s="128">
        <v>64</v>
      </c>
      <c r="AD246" s="128" t="s">
        <v>790</v>
      </c>
      <c r="AE246" s="80">
        <f>IF($AD246="No",0,IF($AJ246="overworld",IF($X246&lt;64,64+($X246*3),0),0))</f>
        <v>0</v>
      </c>
      <c r="AF246" s="71">
        <f>IF($AD246="No",0,IF($AJ246="Overworld",IF($X246&lt;64,($Y246*3),0),0))</f>
        <v>0</v>
      </c>
      <c r="AG246" s="32">
        <f>IF($AC246&gt;64,64+(($AC246-64)*2.9),$AC246)</f>
        <v>64</v>
      </c>
      <c r="AH246" s="41" t="s">
        <v>52</v>
      </c>
      <c r="AI246" s="42"/>
      <c r="AJ246" s="131" t="s">
        <v>53</v>
      </c>
      <c r="AK246" s="20" t="str">
        <f>IF($X246&gt;64,"uniform",IF($AJ246="Overworld","normal","uniform"))</f>
        <v>normal</v>
      </c>
      <c r="AL246" s="109" t="s">
        <v>54</v>
      </c>
      <c r="AM246" s="110" t="s">
        <v>55</v>
      </c>
      <c r="AN246" s="117"/>
      <c r="AO246" s="118" t="s">
        <v>56</v>
      </c>
      <c r="AP246" s="46" t="s">
        <v>57</v>
      </c>
    </row>
    <row r="247" spans="1:42" s="7" customFormat="1" ht="13.5">
      <c r="A247" s="31" t="s">
        <v>47</v>
      </c>
      <c r="B247" s="18"/>
      <c r="C247" s="105" t="s">
        <v>58</v>
      </c>
      <c r="D247" s="97" t="s">
        <v>59</v>
      </c>
      <c r="E247" s="98" t="s">
        <v>60</v>
      </c>
      <c r="F247" s="99" t="s">
        <v>61</v>
      </c>
      <c r="G247" s="37">
        <f>$H247*$I247/2</f>
        <v>160</v>
      </c>
      <c r="H247" s="123">
        <v>16</v>
      </c>
      <c r="I247" s="124">
        <v>20</v>
      </c>
      <c r="J247" s="146">
        <f>$H247/2</f>
        <v>8</v>
      </c>
      <c r="K247" s="147">
        <f>$I247/2</f>
        <v>10</v>
      </c>
      <c r="L247" s="77">
        <f>$G247/VLOOKUP($E247,Ore_Density[],2,FALSE)/Vanilla_COG_Divisor</f>
        <v>60.035543743495616</v>
      </c>
      <c r="M247" s="82" t="str">
        <f>IF(OR($E247="Layered Veins",$E247="Small Deposits",$E247="Geode"),"Motherlode",IF(OR($E247="Pipe Veins",$E247="Sparse Veins",$E247="Vertical Veins"),"No","ERROR"))</f>
        <v>No</v>
      </c>
      <c r="N247" s="86">
        <v>1</v>
      </c>
      <c r="O247" s="86">
        <v>1</v>
      </c>
      <c r="P247" s="82" t="str">
        <f>IF(OR($E247="Layered Veins",$E247="Pipe Veins",$E247="Sparse Veins"),"Branches",IF($E247="Vertical Veins","Vertical","none"))</f>
        <v>Branches</v>
      </c>
      <c r="Q247" s="152">
        <f>SQRT($L247)*$N247</f>
        <v>7.7482606915033267</v>
      </c>
      <c r="R247" s="152" t="str">
        <f>IF($M247="Motherlode",(($O247*SQRT($L247))^(1/2))^(1/3),"none")</f>
        <v>none</v>
      </c>
      <c r="S247" s="152">
        <f>IF($P247="Branches",SQRT($L247)^(1/2),IF($P247="Vertical","default",$P247))</f>
        <v>2.7835697748580555</v>
      </c>
      <c r="T247" s="153">
        <f>IF($P247="Branches",SQRT(SQRT($L247))^(1/2),IF($P247="Vertical",SQRT($L247)^(1/2),"none"))</f>
        <v>1.6684033609586308</v>
      </c>
      <c r="U247" s="77">
        <f>$G247/VLOOKUP($F247,Ore_Density[],2,FALSE)/Vanilla_COG_Divisor</f>
        <v>13.061224489795919</v>
      </c>
      <c r="V247" s="158">
        <f>SQRT($U247)</f>
        <v>3.6140316116210052</v>
      </c>
      <c r="W247" s="147">
        <f>SQRT(SQRT($U247))</f>
        <v>1.9010606543771835</v>
      </c>
      <c r="X247" s="70">
        <f>$Y247+$AB247</f>
        <v>64</v>
      </c>
      <c r="Y247" s="71">
        <f>($AC247-$AB247)/2</f>
        <v>64</v>
      </c>
      <c r="Z247" s="71">
        <f>$AA247+$AB247</f>
        <v>124.8</v>
      </c>
      <c r="AA247" s="72">
        <f>($AG247-$AB247)/2</f>
        <v>124.8</v>
      </c>
      <c r="AB247" s="128">
        <v>0</v>
      </c>
      <c r="AC247" s="128">
        <v>128</v>
      </c>
      <c r="AD247" s="128"/>
      <c r="AE247" s="71">
        <f>IF($AD247="No",0,IF($AJ247="overworld",IF($X247&lt;64,64+($X247*3),0),0))</f>
        <v>0</v>
      </c>
      <c r="AF247" s="71">
        <f>IF($AD247="No",0,IF($AJ247="Overworld",IF($X247&lt;64,($Y247*3),0),0))</f>
        <v>0</v>
      </c>
      <c r="AG247" s="32">
        <f>IF($AC247&gt;64,64+(($AC247-64)*2.9),$AC247)</f>
        <v>249.6</v>
      </c>
      <c r="AH247" s="41" t="s">
        <v>62</v>
      </c>
      <c r="AI247" s="42"/>
      <c r="AJ247" s="131" t="s">
        <v>53</v>
      </c>
      <c r="AK247" s="20" t="str">
        <f>IF($X247&gt;64,"uniform",IF($AJ247="Overworld","normal","uniform"))</f>
        <v>normal</v>
      </c>
      <c r="AL247" s="109" t="s">
        <v>63</v>
      </c>
      <c r="AM247" s="110" t="s">
        <v>64</v>
      </c>
      <c r="AN247" s="117"/>
      <c r="AO247" s="118" t="s">
        <v>56</v>
      </c>
      <c r="AP247" s="46"/>
    </row>
    <row r="248" spans="1:42" s="7" customFormat="1" ht="13.5">
      <c r="A248" s="31" t="s">
        <v>47</v>
      </c>
      <c r="B248" s="18"/>
      <c r="C248" s="105" t="s">
        <v>78</v>
      </c>
      <c r="D248" s="97" t="s">
        <v>59</v>
      </c>
      <c r="E248" s="98" t="s">
        <v>79</v>
      </c>
      <c r="F248" s="99" t="s">
        <v>61</v>
      </c>
      <c r="G248" s="37">
        <f>$H248*$I248/2</f>
        <v>3.5</v>
      </c>
      <c r="H248" s="123">
        <v>7</v>
      </c>
      <c r="I248" s="124">
        <v>1</v>
      </c>
      <c r="J248" s="146">
        <f>$H248/2</f>
        <v>3.5</v>
      </c>
      <c r="K248" s="147">
        <f>$I248/2</f>
        <v>0.5</v>
      </c>
      <c r="L248" s="77">
        <f>$G248/VLOOKUP($E248,Ore_Density[],2,FALSE)/Vanilla_COG_Divisor</f>
        <v>0.51020324864775735</v>
      </c>
      <c r="M248" s="82" t="str">
        <f>IF(OR($E248="Layered Veins",$E248="Small Deposits",$E248="Geode"),"Motherlode",IF(OR($E248="Pipe Veins",$E248="Sparse Veins",$E248="Vertical Veins"),"No","ERROR"))</f>
        <v>No</v>
      </c>
      <c r="N248" s="86">
        <v>1</v>
      </c>
      <c r="O248" s="86">
        <v>1</v>
      </c>
      <c r="P248" s="82" t="str">
        <f>IF(OR($E248="Layered Veins",$E248="Pipe Veins",$E248="Sparse Veins"),"Branches",IF($E248="Vertical Veins","Vertical","none"))</f>
        <v>Branches</v>
      </c>
      <c r="Q248" s="152">
        <f>SQRT($L248)*$N248</f>
        <v>0.71428513119604931</v>
      </c>
      <c r="R248" s="152" t="str">
        <f>IF($M248="Motherlode",(($O248*SQRT($L248))^(1/2))^(1/3),"none")</f>
        <v>none</v>
      </c>
      <c r="S248" s="152">
        <f>IF($P248="Branches",SQRT($L248)^(1/2),IF($P248="Vertical","default",$P248))</f>
        <v>0.84515390976794835</v>
      </c>
      <c r="T248" s="153">
        <f>IF($P248="Branches",SQRT(SQRT($L248))^(1/2),IF($P248="Vertical",SQRT($L248)^(1/2),"none"))</f>
        <v>0.9193225276082102</v>
      </c>
      <c r="U248" s="77">
        <f>$G248/VLOOKUP($F248,Ore_Density[],2,FALSE)/Vanilla_COG_Divisor</f>
        <v>0.2857142857142857</v>
      </c>
      <c r="V248" s="158">
        <f>SQRT($U248)</f>
        <v>0.53452248382484879</v>
      </c>
      <c r="W248" s="147">
        <f>SQRT(SQRT($U248))</f>
        <v>0.73111044570902473</v>
      </c>
      <c r="X248" s="70">
        <f>$Y248+$AB248</f>
        <v>8</v>
      </c>
      <c r="Y248" s="71">
        <f>($AC248-$AB248)/2</f>
        <v>8</v>
      </c>
      <c r="Z248" s="71">
        <f>$AA248+$AB248</f>
        <v>8</v>
      </c>
      <c r="AA248" s="72">
        <f>($AG248-$AB248)/2</f>
        <v>8</v>
      </c>
      <c r="AB248" s="128">
        <v>0</v>
      </c>
      <c r="AC248" s="128">
        <v>16</v>
      </c>
      <c r="AD248" s="128" t="s">
        <v>790</v>
      </c>
      <c r="AE248" s="71">
        <f>IF($AD248="No",0,IF($AJ248="overworld",IF($X248&lt;64,64+($X248*3),0),0))</f>
        <v>0</v>
      </c>
      <c r="AF248" s="71">
        <f>IF($AD248="No",0,IF($AJ248="Overworld",IF($X248&lt;64,($Y248*3),0),0))</f>
        <v>0</v>
      </c>
      <c r="AG248" s="32">
        <f>IF($AC248&gt;64,64+(($AC248-64)*2.9),$AC248)</f>
        <v>16</v>
      </c>
      <c r="AH248" s="41" t="s">
        <v>80</v>
      </c>
      <c r="AI248" s="42" t="s">
        <v>81</v>
      </c>
      <c r="AJ248" s="131" t="s">
        <v>53</v>
      </c>
      <c r="AK248" s="20" t="str">
        <f>IF($X248&gt;64,"uniform",IF($AJ248="Overworld","normal","uniform"))</f>
        <v>normal</v>
      </c>
      <c r="AL248" s="109" t="s">
        <v>82</v>
      </c>
      <c r="AM248" s="110" t="s">
        <v>64</v>
      </c>
      <c r="AN248" s="117" t="s">
        <v>83</v>
      </c>
      <c r="AO248" s="118" t="s">
        <v>84</v>
      </c>
      <c r="AP248" s="46"/>
    </row>
    <row r="249" spans="1:42" s="7" customFormat="1" ht="13.5">
      <c r="A249" s="31" t="s">
        <v>47</v>
      </c>
      <c r="B249" s="18"/>
      <c r="C249" s="105" t="s">
        <v>88</v>
      </c>
      <c r="D249" s="97" t="s">
        <v>59</v>
      </c>
      <c r="E249" s="98" t="s">
        <v>79</v>
      </c>
      <c r="F249" s="99" t="s">
        <v>61</v>
      </c>
      <c r="G249" s="37">
        <f>$H249*$I249/2</f>
        <v>1</v>
      </c>
      <c r="H249" s="123">
        <v>2</v>
      </c>
      <c r="I249" s="124">
        <v>1</v>
      </c>
      <c r="J249" s="146">
        <f>$H249/2</f>
        <v>1</v>
      </c>
      <c r="K249" s="147">
        <f>$I249/2</f>
        <v>0.5</v>
      </c>
      <c r="L249" s="77">
        <f>$G249/VLOOKUP($E249,Ore_Density[],2,FALSE)/Vanilla_COG_Divisor</f>
        <v>0.1457723567565021</v>
      </c>
      <c r="M249" s="82" t="str">
        <f>IF(OR($E249="Layered Veins",$E249="Small Deposits",$E249="Geode"),"Motherlode",IF(OR($E249="Pipe Veins",$E249="Sparse Veins",$E249="Vertical Veins"),"No","ERROR"))</f>
        <v>No</v>
      </c>
      <c r="N249" s="86">
        <v>1</v>
      </c>
      <c r="O249" s="86">
        <v>1</v>
      </c>
      <c r="P249" s="82" t="str">
        <f>IF(OR($E249="Layered Veins",$E249="Pipe Veins",$E249="Sparse Veins"),"Branches",IF($E249="Vertical Veins","Vertical","none"))</f>
        <v>Branches</v>
      </c>
      <c r="Q249" s="152">
        <f>SQRT($L249)*$N249</f>
        <v>0.38180146248607022</v>
      </c>
      <c r="R249" s="152" t="str">
        <f>IF($M249="Motherlode",(($O249*SQRT($L249))^(1/2))^(1/3),"none")</f>
        <v>none</v>
      </c>
      <c r="S249" s="152">
        <f>IF($P249="Branches",SQRT($L249)^(1/2),IF($P249="Vertical","default",$P249))</f>
        <v>0.61790085166316955</v>
      </c>
      <c r="T249" s="153">
        <f>IF($P249="Branches",SQRT(SQRT($L249))^(1/2),IF($P249="Vertical",SQRT($L249)^(1/2),"none"))</f>
        <v>0.78606669670147555</v>
      </c>
      <c r="U249" s="77">
        <f>$G249/VLOOKUP($F249,Ore_Density[],2,FALSE)/Vanilla_COG_Divisor</f>
        <v>8.1632653061224483E-2</v>
      </c>
      <c r="V249" s="158">
        <f>SQRT($U249)</f>
        <v>0.2857142857142857</v>
      </c>
      <c r="W249" s="147">
        <f>SQRT(SQRT($U249))</f>
        <v>0.53452248382484879</v>
      </c>
      <c r="X249" s="70">
        <f>$Y249+$AB249</f>
        <v>16</v>
      </c>
      <c r="Y249" s="71">
        <f>($AC249-$AB249)/2</f>
        <v>12</v>
      </c>
      <c r="Z249" s="71">
        <f>$AA249+$AB249</f>
        <v>16</v>
      </c>
      <c r="AA249" s="72">
        <f>($AG249-$AB249)/2</f>
        <v>12</v>
      </c>
      <c r="AB249" s="128">
        <v>4</v>
      </c>
      <c r="AC249" s="128">
        <v>28</v>
      </c>
      <c r="AD249" s="128" t="s">
        <v>790</v>
      </c>
      <c r="AE249" s="71">
        <f>IF($AD249="No",0,IF($AJ249="overworld",IF($X249&lt;64,64+($X249*3),0),0))</f>
        <v>0</v>
      </c>
      <c r="AF249" s="71">
        <f>IF($AD249="No",0,IF($AJ249="Overworld",IF($X249&lt;64,($Y249*3),0),0))</f>
        <v>0</v>
      </c>
      <c r="AG249" s="32">
        <f>IF($AC249&gt;64,64+(($AC249-64)*2.9),$AC249)</f>
        <v>28</v>
      </c>
      <c r="AH249" s="41" t="s">
        <v>89</v>
      </c>
      <c r="AI249" s="42" t="s">
        <v>90</v>
      </c>
      <c r="AJ249" s="131" t="s">
        <v>53</v>
      </c>
      <c r="AK249" s="20" t="str">
        <f>IF($X249&gt;64,"uniform",IF($AJ249="Overworld","normal","uniform"))</f>
        <v>normal</v>
      </c>
      <c r="AL249" s="109" t="s">
        <v>91</v>
      </c>
      <c r="AM249" s="110" t="s">
        <v>64</v>
      </c>
      <c r="AN249" s="117" t="s">
        <v>92</v>
      </c>
      <c r="AO249" s="118" t="s">
        <v>92</v>
      </c>
      <c r="AP249" s="46" t="s">
        <v>93</v>
      </c>
    </row>
    <row r="250" spans="1:42" s="7" customFormat="1" ht="13.5">
      <c r="A250" s="31" t="s">
        <v>47</v>
      </c>
      <c r="B250" s="18"/>
      <c r="C250" s="105" t="s">
        <v>69</v>
      </c>
      <c r="D250" s="97" t="s">
        <v>59</v>
      </c>
      <c r="E250" s="98" t="s">
        <v>66</v>
      </c>
      <c r="F250" s="99" t="s">
        <v>61</v>
      </c>
      <c r="G250" s="37">
        <f>$H250*$I250/2</f>
        <v>8</v>
      </c>
      <c r="H250" s="123">
        <v>8</v>
      </c>
      <c r="I250" s="124">
        <v>2</v>
      </c>
      <c r="J250" s="146">
        <f>$H250/2</f>
        <v>4</v>
      </c>
      <c r="K250" s="147">
        <f>$I250/2</f>
        <v>1</v>
      </c>
      <c r="L250" s="77">
        <f>$G250/VLOOKUP($E250,Ore_Density[],2,FALSE)/Vanilla_COG_Divisor</f>
        <v>0.50097847358121328</v>
      </c>
      <c r="M250" s="82" t="str">
        <f>IF(OR($E250="Layered Veins",$E250="Small Deposits",$E250="Geode"),"Motherlode",IF(OR($E250="Pipe Veins",$E250="Sparse Veins",$E250="Vertical Veins"),"No","ERROR"))</f>
        <v>Motherlode</v>
      </c>
      <c r="N250" s="86">
        <v>1</v>
      </c>
      <c r="O250" s="86">
        <v>1</v>
      </c>
      <c r="P250" s="82" t="str">
        <f>IF(OR($E250="Layered Veins",$E250="Pipe Veins",$E250="Sparse Veins"),"Branches",IF($E250="Vertical Veins","Vertical","none"))</f>
        <v>Branches</v>
      </c>
      <c r="Q250" s="152">
        <f>SQRT($L250)*$N250</f>
        <v>0.70779832832609413</v>
      </c>
      <c r="R250" s="152">
        <f>IF($M250="Motherlode",(($O250*SQRT($L250))^(1/2))^(1/3),"none")</f>
        <v>0.94402810080572686</v>
      </c>
      <c r="S250" s="152">
        <f>IF($P250="Branches",SQRT($L250)^(1/2),IF($P250="Vertical","default",$P250))</f>
        <v>0.84130751115516267</v>
      </c>
      <c r="T250" s="153">
        <f>IF($P250="Branches",SQRT(SQRT($L250))^(1/2),IF($P250="Vertical",SQRT($L250)^(1/2),"none"))</f>
        <v>0.91722816744535418</v>
      </c>
      <c r="U250" s="77">
        <f>$G250/VLOOKUP($F250,Ore_Density[],2,FALSE)/Vanilla_COG_Divisor</f>
        <v>0.65306122448979587</v>
      </c>
      <c r="V250" s="158">
        <f>SQRT($U250)</f>
        <v>0.80812203564176854</v>
      </c>
      <c r="W250" s="147">
        <f>SQRT(SQRT($U250))</f>
        <v>0.89895608104165381</v>
      </c>
      <c r="X250" s="70">
        <f>$Y250+$AB250</f>
        <v>16</v>
      </c>
      <c r="Y250" s="71">
        <f>($AC250-$AB250)/2</f>
        <v>16</v>
      </c>
      <c r="Z250" s="71">
        <f>$AA250+$AB250</f>
        <v>16</v>
      </c>
      <c r="AA250" s="72">
        <f>($AG250-$AB250)/2</f>
        <v>16</v>
      </c>
      <c r="AB250" s="128">
        <v>0</v>
      </c>
      <c r="AC250" s="128">
        <v>32</v>
      </c>
      <c r="AD250" s="128"/>
      <c r="AE250" s="71">
        <f>IF($AD250="No",0,IF($AJ250="overworld",IF($X250&lt;64,64+($X250*3),0),0))</f>
        <v>112</v>
      </c>
      <c r="AF250" s="71">
        <f>IF($AD250="No",0,IF($AJ250="Overworld",IF($X250&lt;64,($Y250*3),0),0))</f>
        <v>48</v>
      </c>
      <c r="AG250" s="32">
        <f>IF($AC250&gt;64,64+(($AC250-64)*2.9),$AC250)</f>
        <v>32</v>
      </c>
      <c r="AH250" s="41" t="s">
        <v>70</v>
      </c>
      <c r="AI250" s="42"/>
      <c r="AJ250" s="131" t="s">
        <v>53</v>
      </c>
      <c r="AK250" s="20" t="str">
        <f>IF($X250&gt;64,"uniform",IF($AJ250="Overworld","normal","uniform"))</f>
        <v>normal</v>
      </c>
      <c r="AL250" s="109" t="s">
        <v>71</v>
      </c>
      <c r="AM250" s="110" t="s">
        <v>64</v>
      </c>
      <c r="AN250" s="117"/>
      <c r="AO250" s="118" t="s">
        <v>56</v>
      </c>
      <c r="AP250" s="46"/>
    </row>
    <row r="251" spans="1:42" s="7" customFormat="1" ht="13.5">
      <c r="A251" s="31" t="s">
        <v>47</v>
      </c>
      <c r="B251" s="18"/>
      <c r="C251" s="105" t="s">
        <v>65</v>
      </c>
      <c r="D251" s="97" t="s">
        <v>59</v>
      </c>
      <c r="E251" s="98" t="s">
        <v>66</v>
      </c>
      <c r="F251" s="99" t="s">
        <v>61</v>
      </c>
      <c r="G251" s="37">
        <f>$H251*$I251/2</f>
        <v>80</v>
      </c>
      <c r="H251" s="123">
        <v>8</v>
      </c>
      <c r="I251" s="124">
        <v>20</v>
      </c>
      <c r="J251" s="146">
        <f>$H251/2</f>
        <v>4</v>
      </c>
      <c r="K251" s="147">
        <f>$I251/2</f>
        <v>10</v>
      </c>
      <c r="L251" s="77">
        <f>$G251/VLOOKUP($E251,Ore_Density[],2,FALSE)/Vanilla_COG_Divisor</f>
        <v>5.0097847358121328</v>
      </c>
      <c r="M251" s="82" t="str">
        <f>IF(OR($E251="Layered Veins",$E251="Small Deposits",$E251="Geode"),"Motherlode",IF(OR($E251="Pipe Veins",$E251="Sparse Veins",$E251="Vertical Veins"),"No","ERROR"))</f>
        <v>Motherlode</v>
      </c>
      <c r="N251" s="86">
        <v>1</v>
      </c>
      <c r="O251" s="86">
        <v>1</v>
      </c>
      <c r="P251" s="82" t="str">
        <f>IF(OR($E251="Layered Veins",$E251="Pipe Veins",$E251="Sparse Veins"),"Branches",IF($E251="Vertical Veins","Vertical","none"))</f>
        <v>Branches</v>
      </c>
      <c r="Q251" s="152">
        <f>SQRT($L251)*$N251</f>
        <v>2.2382548415701313</v>
      </c>
      <c r="R251" s="152">
        <f>IF($M251="Motherlode",(($O251*SQRT($L251))^(1/2))^(1/3),"none")</f>
        <v>1.1437161546487553</v>
      </c>
      <c r="S251" s="152">
        <f>IF($P251="Branches",SQRT($L251)^(1/2),IF($P251="Vertical","default",$P251))</f>
        <v>1.4960798245983171</v>
      </c>
      <c r="T251" s="153">
        <f>IF($P251="Branches",SQRT(SQRT($L251))^(1/2),IF($P251="Vertical",SQRT($L251)^(1/2),"none"))</f>
        <v>1.2231434194722699</v>
      </c>
      <c r="U251" s="77">
        <f>$G251/VLOOKUP($F251,Ore_Density[],2,FALSE)/Vanilla_COG_Divisor</f>
        <v>6.5306122448979593</v>
      </c>
      <c r="V251" s="158">
        <f>SQRT($U251)</f>
        <v>2.5555062599997598</v>
      </c>
      <c r="W251" s="147">
        <f>SQRT(SQRT($U251))</f>
        <v>1.5985950894456544</v>
      </c>
      <c r="X251" s="70">
        <f>$Y251+$AB251</f>
        <v>32</v>
      </c>
      <c r="Y251" s="71">
        <f>($AC251-$AB251)/2</f>
        <v>32</v>
      </c>
      <c r="Z251" s="71">
        <f>$AA251+$AB251</f>
        <v>32</v>
      </c>
      <c r="AA251" s="72">
        <f>($AG251-$AB251)/2</f>
        <v>32</v>
      </c>
      <c r="AB251" s="128">
        <v>0</v>
      </c>
      <c r="AC251" s="128">
        <v>64</v>
      </c>
      <c r="AD251" s="128"/>
      <c r="AE251" s="71">
        <f>IF($AD251="No",0,IF($AJ251="overworld",IF($X251&lt;64,64+($X251*3),0),0))</f>
        <v>160</v>
      </c>
      <c r="AF251" s="71">
        <f>IF($AD251="No",0,IF($AJ251="Overworld",IF($X251&lt;64,($Y251*3),0),0))</f>
        <v>96</v>
      </c>
      <c r="AG251" s="32">
        <f>IF($AC251&gt;64,64+(($AC251-64)*2.9),$AC251)</f>
        <v>64</v>
      </c>
      <c r="AH251" s="41" t="s">
        <v>67</v>
      </c>
      <c r="AI251" s="42"/>
      <c r="AJ251" s="131" t="s">
        <v>53</v>
      </c>
      <c r="AK251" s="20" t="str">
        <f>IF($X251&gt;64,"uniform",IF($AJ251="Overworld","normal","uniform"))</f>
        <v>normal</v>
      </c>
      <c r="AL251" s="109" t="s">
        <v>68</v>
      </c>
      <c r="AM251" s="110" t="s">
        <v>64</v>
      </c>
      <c r="AN251" s="117"/>
      <c r="AO251" s="118" t="s">
        <v>56</v>
      </c>
      <c r="AP251" s="46"/>
    </row>
    <row r="252" spans="1:42" s="7" customFormat="1" ht="13.5">
      <c r="A252" s="31" t="s">
        <v>47</v>
      </c>
      <c r="B252" s="18"/>
      <c r="C252" s="105" t="s">
        <v>85</v>
      </c>
      <c r="D252" s="97" t="s">
        <v>59</v>
      </c>
      <c r="E252" s="98" t="s">
        <v>73</v>
      </c>
      <c r="F252" s="99" t="s">
        <v>61</v>
      </c>
      <c r="G252" s="37">
        <f>$H252*$I252/2</f>
        <v>3</v>
      </c>
      <c r="H252" s="123">
        <v>6</v>
      </c>
      <c r="I252" s="124">
        <v>1</v>
      </c>
      <c r="J252" s="146">
        <f>$H252/2</f>
        <v>3</v>
      </c>
      <c r="K252" s="147">
        <f>$I252/2</f>
        <v>0.5</v>
      </c>
      <c r="L252" s="77">
        <f>$G252/VLOOKUP($E252,Ore_Density[],2,FALSE)/Vanilla_COG_Divisor</f>
        <v>0.62003968253968256</v>
      </c>
      <c r="M252" s="82" t="str">
        <f>IF(OR($E252="Layered Veins",$E252="Small Deposits",$E252="Geode"),"Motherlode",IF(OR($E252="Pipe Veins",$E252="Sparse Veins",$E252="Vertical Veins"),"No","ERROR"))</f>
        <v>No</v>
      </c>
      <c r="N252" s="86">
        <v>1</v>
      </c>
      <c r="O252" s="86">
        <v>1</v>
      </c>
      <c r="P252" s="82" t="str">
        <f>IF(OR($E252="Layered Veins",$E252="Pipe Veins",$E252="Sparse Veins"),"Branches",IF($E252="Vertical Veins","Vertical","none"))</f>
        <v>Vertical</v>
      </c>
      <c r="Q252" s="152">
        <f>SQRT($L252)*$N252</f>
        <v>0.78742598543589004</v>
      </c>
      <c r="R252" s="152" t="str">
        <f>IF($M252="Motherlode",(($O252*SQRT($L252))^(1/2))^(1/3),"none")</f>
        <v>none</v>
      </c>
      <c r="S252" s="152" t="str">
        <f>IF($P252="Branches",SQRT($L252)^(1/2),IF($P252="Vertical","default",$P252))</f>
        <v>default</v>
      </c>
      <c r="T252" s="153">
        <f>IF($P252="Branches",SQRT(SQRT($L252))^(1/2),IF($P252="Vertical",SQRT($L252)^(1/2),"none"))</f>
        <v>0.88737026400251329</v>
      </c>
      <c r="U252" s="77">
        <f>$G252/VLOOKUP($F252,Ore_Density[],2,FALSE)/Vanilla_COG_Divisor</f>
        <v>0.24489795918367346</v>
      </c>
      <c r="V252" s="158">
        <f>SQRT($U252)</f>
        <v>0.49487165930539351</v>
      </c>
      <c r="W252" s="147">
        <f>SQRT(SQRT($U252))</f>
        <v>0.70347115030070251</v>
      </c>
      <c r="X252" s="70">
        <f>$Y252+$AB252</f>
        <v>16</v>
      </c>
      <c r="Y252" s="71">
        <f>($AC252-$AB252)/2</f>
        <v>0</v>
      </c>
      <c r="Z252" s="71">
        <f>$AA252+$AB252</f>
        <v>16</v>
      </c>
      <c r="AA252" s="72">
        <f>($AG252-$AB252)/2</f>
        <v>0</v>
      </c>
      <c r="AB252" s="128">
        <v>16</v>
      </c>
      <c r="AC252" s="128">
        <v>16</v>
      </c>
      <c r="AD252" s="128"/>
      <c r="AE252" s="71">
        <f>IF($AD252="No",0,IF($AJ252="overworld",IF($X252&lt;64,64+($X252*3),0),0))</f>
        <v>112</v>
      </c>
      <c r="AF252" s="71">
        <f>IF($AD252="No",0,IF($AJ252="Overworld",IF($X252&lt;64,($Y252*3),0),0))</f>
        <v>0</v>
      </c>
      <c r="AG252" s="32">
        <f>IF($AC252&gt;64,64+(($AC252-64)*2.9),$AC252)</f>
        <v>16</v>
      </c>
      <c r="AH252" s="41" t="s">
        <v>86</v>
      </c>
      <c r="AI252" s="42"/>
      <c r="AJ252" s="131" t="s">
        <v>53</v>
      </c>
      <c r="AK252" s="20" t="str">
        <f>IF($X252&gt;64,"uniform",IF($AJ252="Overworld","normal","uniform"))</f>
        <v>normal</v>
      </c>
      <c r="AL252" s="109" t="s">
        <v>87</v>
      </c>
      <c r="AM252" s="110" t="s">
        <v>64</v>
      </c>
      <c r="AN252" s="117" t="s">
        <v>76</v>
      </c>
      <c r="AO252" s="118" t="s">
        <v>77</v>
      </c>
      <c r="AP252" s="46"/>
    </row>
    <row r="253" spans="1:42" s="7" customFormat="1" ht="13.5">
      <c r="A253" s="31" t="s">
        <v>47</v>
      </c>
      <c r="B253" s="18"/>
      <c r="C253" s="105" t="s">
        <v>94</v>
      </c>
      <c r="D253" s="97" t="s">
        <v>59</v>
      </c>
      <c r="E253" s="98" t="s">
        <v>60</v>
      </c>
      <c r="F253" s="99" t="s">
        <v>61</v>
      </c>
      <c r="G253" s="37">
        <f>$H253*$I253/2</f>
        <v>104</v>
      </c>
      <c r="H253" s="123">
        <v>16</v>
      </c>
      <c r="I253" s="124">
        <v>13</v>
      </c>
      <c r="J253" s="146">
        <f>$H253/2</f>
        <v>8</v>
      </c>
      <c r="K253" s="147">
        <f>$I253/2</f>
        <v>6.5</v>
      </c>
      <c r="L253" s="77">
        <f>$G253/VLOOKUP($E253,Ore_Density[],2,FALSE)/Vanilla_COG_Divisor</f>
        <v>39.023103433272148</v>
      </c>
      <c r="M253" s="82" t="str">
        <f>IF(OR($E253="Layered Veins",$E253="Small Deposits",$E253="Geode"),"Motherlode",IF(OR($E253="Pipe Veins",$E253="Sparse Veins",$E253="Vertical Veins"),"No","ERROR"))</f>
        <v>No</v>
      </c>
      <c r="N253" s="86">
        <v>1</v>
      </c>
      <c r="O253" s="86">
        <v>1</v>
      </c>
      <c r="P253" s="82" t="str">
        <f>IF(OR($E253="Layered Veins",$E253="Pipe Veins",$E253="Sparse Veins"),"Branches",IF($E253="Vertical Veins","Vertical","none"))</f>
        <v>Branches</v>
      </c>
      <c r="Q253" s="152">
        <f>SQRT($L253)*$N253</f>
        <v>6.2468474795909774</v>
      </c>
      <c r="R253" s="152" t="str">
        <f>IF($M253="Motherlode",(($O253*SQRT($L253))^(1/2))^(1/3),"none")</f>
        <v>none</v>
      </c>
      <c r="S253" s="152">
        <f>IF($P253="Branches",SQRT($L253)^(1/2),IF($P253="Vertical","default",$P253))</f>
        <v>2.4993694163910578</v>
      </c>
      <c r="T253" s="153">
        <f>IF($P253="Branches",SQRT(SQRT($L253))^(1/2),IF($P253="Vertical",SQRT($L253)^(1/2),"none"))</f>
        <v>1.5809394094623164</v>
      </c>
      <c r="U253" s="77">
        <f>$G253/VLOOKUP($F253,Ore_Density[],2,FALSE)/Vanilla_COG_Divisor</f>
        <v>8.4897959183673475</v>
      </c>
      <c r="V253" s="158">
        <f>SQRT($U253)</f>
        <v>2.9137254363387344</v>
      </c>
      <c r="W253" s="147">
        <f>SQRT(SQRT($U253))</f>
        <v>1.706963806393895</v>
      </c>
      <c r="X253" s="70">
        <f>$Y253+$AB253</f>
        <v>59</v>
      </c>
      <c r="Y253" s="71">
        <f>($AC253-$AB253)/2</f>
        <v>49</v>
      </c>
      <c r="Z253" s="71">
        <f>$AA253+$AB253</f>
        <v>100.8</v>
      </c>
      <c r="AA253" s="72">
        <f>($AG253-$AB253)/2</f>
        <v>90.8</v>
      </c>
      <c r="AB253" s="128">
        <v>10</v>
      </c>
      <c r="AC253" s="128">
        <v>108</v>
      </c>
      <c r="AD253" s="128"/>
      <c r="AE253" s="71">
        <f>IF($AD253="No",0,IF($AJ253="overworld",IF($X253&lt;64,64+($X253*3),0),0))</f>
        <v>0</v>
      </c>
      <c r="AF253" s="71">
        <f>IF($AD253="No",0,IF($AJ253="Overworld",IF($X253&lt;64,($Y253*3),0),0))</f>
        <v>0</v>
      </c>
      <c r="AG253" s="32">
        <f>IF($AC253&gt;64,64+(($AC253-64)*2.9),$AC253)</f>
        <v>191.6</v>
      </c>
      <c r="AH253" s="41" t="s">
        <v>95</v>
      </c>
      <c r="AI253" s="42"/>
      <c r="AJ253" s="131" t="s">
        <v>96</v>
      </c>
      <c r="AK253" s="20" t="str">
        <f>IF($X253&gt;64,"uniform",IF($AJ253="Overworld","normal","uniform"))</f>
        <v>uniform</v>
      </c>
      <c r="AL253" s="109" t="s">
        <v>97</v>
      </c>
      <c r="AM253" s="110" t="s">
        <v>98</v>
      </c>
      <c r="AN253" s="117"/>
      <c r="AO253" s="118" t="s">
        <v>56</v>
      </c>
      <c r="AP253" s="46"/>
    </row>
    <row r="254" spans="1:42" s="7" customFormat="1" ht="14.25" thickBot="1">
      <c r="A254" s="33" t="s">
        <v>47</v>
      </c>
      <c r="B254" s="60"/>
      <c r="C254" s="106" t="s">
        <v>72</v>
      </c>
      <c r="D254" s="101" t="s">
        <v>59</v>
      </c>
      <c r="E254" s="102" t="s">
        <v>73</v>
      </c>
      <c r="F254" s="103" t="s">
        <v>61</v>
      </c>
      <c r="G254" s="38">
        <f>$H254*$I254/2</f>
        <v>28</v>
      </c>
      <c r="H254" s="125">
        <v>7</v>
      </c>
      <c r="I254" s="126">
        <v>8</v>
      </c>
      <c r="J254" s="148">
        <f>$H254/2</f>
        <v>3.5</v>
      </c>
      <c r="K254" s="149">
        <f>$I254/2</f>
        <v>4</v>
      </c>
      <c r="L254" s="79">
        <f>$G254/VLOOKUP($E254,Ore_Density[],2,FALSE)/Vanilla_COG_Divisor</f>
        <v>5.7870370370370372</v>
      </c>
      <c r="M254" s="84" t="str">
        <f>IF(OR($E254="Layered Veins",$E254="Small Deposits",$E254="Geode"),"Motherlode",IF(OR($E254="Pipe Veins",$E254="Sparse Veins",$E254="Vertical Veins"),"No","ERROR"))</f>
        <v>No</v>
      </c>
      <c r="N254" s="88">
        <v>1</v>
      </c>
      <c r="O254" s="88">
        <v>1</v>
      </c>
      <c r="P254" s="84" t="str">
        <f>IF(OR($E254="Layered Veins",$E254="Pipe Veins",$E254="Sparse Veins"),"Branches",IF($E254="Vertical Veins","Vertical","none"))</f>
        <v>Vertical</v>
      </c>
      <c r="Q254" s="155">
        <f>SQRT($L254)*$N254</f>
        <v>2.4056261216234409</v>
      </c>
      <c r="R254" s="155" t="str">
        <f>IF($M254="Motherlode",(($O254*SQRT($L254))^(1/2))^(1/3),"none")</f>
        <v>none</v>
      </c>
      <c r="S254" s="155" t="str">
        <f>IF($P254="Branches",SQRT($L254)^(1/2),IF($P254="Vertical","default",$P254))</f>
        <v>default</v>
      </c>
      <c r="T254" s="156">
        <f>IF($P254="Branches",SQRT(SQRT($L254))^(1/2),IF($P254="Vertical",SQRT($L254)^(1/2),"none"))</f>
        <v>1.5510080985034993</v>
      </c>
      <c r="U254" s="79">
        <f>$G254/VLOOKUP($F254,Ore_Density[],2,FALSE)/Vanilla_COG_Divisor</f>
        <v>2.2857142857142856</v>
      </c>
      <c r="V254" s="159">
        <f>SQRT($U254)</f>
        <v>1.5118578920369088</v>
      </c>
      <c r="W254" s="149">
        <f>SQRT(SQRT($U254))</f>
        <v>1.2295763059025286</v>
      </c>
      <c r="X254" s="73">
        <f>$Y254+$AB254</f>
        <v>8</v>
      </c>
      <c r="Y254" s="74">
        <f>($AC254-$AB254)/2</f>
        <v>8</v>
      </c>
      <c r="Z254" s="74">
        <f>$AA254+$AB254</f>
        <v>8</v>
      </c>
      <c r="AA254" s="75">
        <f>($AG254-$AB254)/2</f>
        <v>8</v>
      </c>
      <c r="AB254" s="129">
        <v>0</v>
      </c>
      <c r="AC254" s="129">
        <v>16</v>
      </c>
      <c r="AD254" s="129"/>
      <c r="AE254" s="74">
        <f>IF($AD254="No",0,IF($AJ254="overworld",IF($X254&lt;64,64+($X254*3),0),0))</f>
        <v>88</v>
      </c>
      <c r="AF254" s="74">
        <f>IF($AD254="No",0,IF($AJ254="Overworld",IF($X254&lt;64,($Y254*3),0),0))</f>
        <v>24</v>
      </c>
      <c r="AG254" s="35">
        <f>IF($AC254&gt;64,64+(($AC254-64)*2.9),$AC254)</f>
        <v>16</v>
      </c>
      <c r="AH254" s="43" t="s">
        <v>74</v>
      </c>
      <c r="AI254" s="44"/>
      <c r="AJ254" s="132" t="s">
        <v>53</v>
      </c>
      <c r="AK254" s="34" t="str">
        <f>IF($X254&gt;64,"uniform",IF($AJ254="Overworld","normal","uniform"))</f>
        <v>normal</v>
      </c>
      <c r="AL254" s="113" t="s">
        <v>75</v>
      </c>
      <c r="AM254" s="114" t="s">
        <v>64</v>
      </c>
      <c r="AN254" s="119" t="s">
        <v>76</v>
      </c>
      <c r="AO254" s="120" t="s">
        <v>77</v>
      </c>
      <c r="AP254" s="48"/>
    </row>
    <row r="255" spans="1:42" ht="13.5" thickTop="1"/>
  </sheetData>
  <mergeCells count="9">
    <mergeCell ref="A2:M2"/>
    <mergeCell ref="A3:M3"/>
    <mergeCell ref="A1:M1"/>
    <mergeCell ref="Q7:T7"/>
    <mergeCell ref="V7:W7"/>
    <mergeCell ref="X7:AC7"/>
    <mergeCell ref="J7:K7"/>
    <mergeCell ref="A5:M5"/>
    <mergeCell ref="A4:M4"/>
  </mergeCells>
  <pageMargins left="1" right="1" top="1.1388888888888899" bottom="1.1388888888888899" header="1" footer="1"/>
  <pageSetup orientation="portrait" cellComments="atEnd" useFirstPageNumber="1" horizontalDpi="300" verticalDpi="300" r:id="rId1"/>
  <headerFooter>
    <oddHeader>&amp;C&amp;"Arial,Regular"&amp;A</oddHeader>
    <oddFooter>&amp;C&amp;"Arial,Regular"Page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7"/>
  <sheetViews>
    <sheetView workbookViewId="0">
      <selection activeCell="A9" sqref="A9"/>
    </sheetView>
  </sheetViews>
  <sheetFormatPr defaultRowHeight="12.75"/>
  <cols>
    <col min="1" max="1" width="20.28515625" customWidth="1"/>
    <col min="2" max="2" width="18.7109375" customWidth="1"/>
    <col min="3" max="3" width="17.42578125" customWidth="1"/>
    <col min="4" max="4" width="18" customWidth="1"/>
    <col min="5" max="5" width="16.42578125" customWidth="1"/>
    <col min="6" max="6" width="18" customWidth="1"/>
    <col min="7" max="7" width="18.5703125" customWidth="1"/>
    <col min="8" max="8" width="15.140625" customWidth="1"/>
    <col min="9" max="9" width="17.85546875" customWidth="1"/>
    <col min="10" max="10" width="9.7109375" customWidth="1"/>
    <col min="12" max="12" width="14.85546875" bestFit="1" customWidth="1"/>
    <col min="13" max="13" width="20.7109375" bestFit="1" customWidth="1"/>
  </cols>
  <sheetData>
    <row r="1" spans="1:1023" ht="13.5" thickBo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  <c r="AA1" s="3"/>
      <c r="AB1" s="3"/>
      <c r="AC1" s="3"/>
      <c r="AD1" s="4"/>
      <c r="AE1" s="4"/>
      <c r="AF1" s="5"/>
      <c r="AG1" s="5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</row>
    <row r="2" spans="1:1023" s="7" customFormat="1" ht="13.5" thickBot="1">
      <c r="A2" s="170" t="s">
        <v>0</v>
      </c>
      <c r="B2" s="171"/>
      <c r="C2" s="171"/>
      <c r="D2" s="171"/>
      <c r="E2" s="49"/>
      <c r="F2" s="50">
        <v>14</v>
      </c>
      <c r="Z2" s="8"/>
      <c r="AA2" s="8"/>
      <c r="AB2" s="8"/>
      <c r="AC2" s="8"/>
      <c r="AD2" s="9"/>
      <c r="AE2" s="9"/>
      <c r="AF2" s="10"/>
      <c r="AG2" s="10"/>
    </row>
    <row r="3" spans="1:1023" s="7" customFormat="1">
      <c r="A3" s="172"/>
      <c r="B3" s="172"/>
      <c r="C3" s="172"/>
      <c r="D3" s="172"/>
      <c r="E3" s="2"/>
      <c r="F3" s="6"/>
      <c r="Z3" s="8"/>
      <c r="AA3" s="8"/>
      <c r="AB3" s="8"/>
      <c r="AC3" s="8"/>
      <c r="AD3" s="9"/>
      <c r="AE3" s="9"/>
      <c r="AF3" s="10"/>
      <c r="AG3" s="10"/>
    </row>
    <row r="4" spans="1:1023" s="7" customFormat="1">
      <c r="A4" s="173"/>
      <c r="B4" s="173"/>
      <c r="C4" s="173"/>
      <c r="D4" s="173"/>
      <c r="E4" s="2"/>
      <c r="Z4" s="8"/>
      <c r="AA4" s="8"/>
      <c r="AB4" s="8"/>
      <c r="AC4" s="8"/>
      <c r="AD4" s="9"/>
      <c r="AE4" s="9"/>
      <c r="AF4" s="10"/>
      <c r="AG4" s="10"/>
    </row>
    <row r="5" spans="1:1023" s="7" customFormat="1">
      <c r="A5" s="11"/>
      <c r="B5" s="2"/>
      <c r="C5" s="2"/>
      <c r="D5" s="2"/>
      <c r="E5" s="2"/>
      <c r="Z5" s="8"/>
      <c r="AA5" s="8"/>
      <c r="AB5" s="8"/>
      <c r="AC5" s="8"/>
      <c r="AD5" s="9"/>
      <c r="AE5" s="9"/>
      <c r="AF5" s="10"/>
      <c r="AG5" s="10"/>
    </row>
    <row r="6" spans="1:1023" s="7" customFormat="1">
      <c r="A6" s="11"/>
      <c r="B6" s="2"/>
      <c r="C6" s="2"/>
      <c r="D6" s="2"/>
      <c r="E6" s="2"/>
      <c r="Z6" s="8"/>
      <c r="AA6" s="8"/>
      <c r="AB6" s="8"/>
      <c r="AC6" s="8"/>
      <c r="AD6" s="9"/>
      <c r="AE6" s="9"/>
      <c r="AF6" s="10"/>
      <c r="AG6" s="10"/>
    </row>
    <row r="7" spans="1:1023" s="7" customFormat="1">
      <c r="A7" s="11"/>
      <c r="B7" s="174" t="s">
        <v>1</v>
      </c>
      <c r="C7" s="174"/>
      <c r="D7" s="174"/>
      <c r="E7" s="174"/>
      <c r="F7" s="174"/>
      <c r="G7" s="174"/>
      <c r="H7" s="174"/>
      <c r="I7" s="174"/>
      <c r="J7" s="174"/>
      <c r="Z7" s="8"/>
      <c r="AA7" s="8"/>
      <c r="AB7" s="8"/>
      <c r="AC7" s="8"/>
      <c r="AD7" s="9"/>
      <c r="AE7" s="9"/>
      <c r="AF7" s="10"/>
      <c r="AG7" s="10"/>
    </row>
    <row r="8" spans="1:1023" s="7" customFormat="1" ht="13.5" thickBot="1">
      <c r="A8" s="61" t="s">
        <v>2</v>
      </c>
      <c r="B8" s="62" t="s">
        <v>3</v>
      </c>
      <c r="C8" s="63" t="s">
        <v>4</v>
      </c>
      <c r="D8" s="64" t="s">
        <v>5</v>
      </c>
      <c r="E8" s="64" t="s">
        <v>6</v>
      </c>
      <c r="F8" s="64" t="s">
        <v>7</v>
      </c>
      <c r="G8" s="64" t="s">
        <v>8</v>
      </c>
      <c r="H8" s="64" t="s">
        <v>9</v>
      </c>
      <c r="I8" s="64" t="s">
        <v>10</v>
      </c>
      <c r="J8" s="65" t="s">
        <v>11</v>
      </c>
      <c r="K8" s="2"/>
      <c r="L8" s="13" t="s">
        <v>12</v>
      </c>
      <c r="M8" s="12" t="s">
        <v>13</v>
      </c>
      <c r="Z8" s="8"/>
      <c r="AA8" s="8"/>
      <c r="AB8" s="8"/>
      <c r="AC8" s="8"/>
      <c r="AD8" s="9"/>
      <c r="AE8" s="9"/>
      <c r="AF8" s="10"/>
      <c r="AG8" s="10"/>
    </row>
    <row r="9" spans="1:1023" s="7" customFormat="1" ht="13.5" thickTop="1">
      <c r="A9" s="25" t="s">
        <v>60</v>
      </c>
      <c r="B9" s="51">
        <f t="shared" ref="B9:B14" si="0">(C9*((D9^3)+((E9)*(F9^2))))*J9</f>
        <v>0.19036342000000001</v>
      </c>
      <c r="C9" s="26">
        <v>6.4999999999999997E-3</v>
      </c>
      <c r="D9" s="26">
        <v>2.2999999999999998</v>
      </c>
      <c r="E9" s="26">
        <v>180</v>
      </c>
      <c r="F9" s="26">
        <v>2</v>
      </c>
      <c r="G9" s="26"/>
      <c r="H9" s="26"/>
      <c r="I9" s="26"/>
      <c r="J9" s="27">
        <v>0.04</v>
      </c>
      <c r="K9" s="2"/>
      <c r="L9" s="6">
        <v>0.68</v>
      </c>
      <c r="M9" s="14">
        <f t="shared" ref="M9:M15" si="1">B9/L9</f>
        <v>0.27994620588235292</v>
      </c>
      <c r="Z9" s="8"/>
      <c r="AA9" s="8"/>
      <c r="AB9" s="8"/>
      <c r="AC9" s="8"/>
      <c r="AD9" s="9"/>
      <c r="AE9" s="9"/>
      <c r="AF9" s="10"/>
      <c r="AG9" s="10"/>
    </row>
    <row r="10" spans="1:1023" s="7" customFormat="1">
      <c r="A10" s="18" t="s">
        <v>66</v>
      </c>
      <c r="B10" s="52">
        <f t="shared" si="0"/>
        <v>1.140625</v>
      </c>
      <c r="C10" s="19">
        <v>2.5000000000000001E-2</v>
      </c>
      <c r="D10" s="19">
        <v>2.5</v>
      </c>
      <c r="E10" s="19">
        <v>120</v>
      </c>
      <c r="F10" s="19">
        <v>0.5</v>
      </c>
      <c r="G10" s="19"/>
      <c r="H10" s="19"/>
      <c r="I10" s="19"/>
      <c r="J10" s="21">
        <v>1</v>
      </c>
      <c r="K10" s="2"/>
      <c r="L10" s="6">
        <v>5.94</v>
      </c>
      <c r="M10" s="14">
        <f t="shared" si="1"/>
        <v>0.19202441077441076</v>
      </c>
      <c r="Z10" s="8"/>
      <c r="AA10" s="8"/>
      <c r="AB10" s="8"/>
      <c r="AC10" s="8"/>
      <c r="AD10" s="9"/>
      <c r="AE10" s="9"/>
      <c r="AF10" s="10"/>
      <c r="AG10" s="10"/>
    </row>
    <row r="11" spans="1:1023" s="7" customFormat="1">
      <c r="A11" s="18" t="s">
        <v>50</v>
      </c>
      <c r="B11" s="52">
        <f t="shared" si="0"/>
        <v>0.72900000000000009</v>
      </c>
      <c r="C11" s="19">
        <v>1</v>
      </c>
      <c r="D11" s="19">
        <v>0.9</v>
      </c>
      <c r="E11" s="19">
        <v>0</v>
      </c>
      <c r="F11" s="19">
        <v>0</v>
      </c>
      <c r="G11" s="19"/>
      <c r="H11" s="19"/>
      <c r="I11" s="19"/>
      <c r="J11" s="21">
        <v>1</v>
      </c>
      <c r="K11" s="2"/>
      <c r="L11" s="6">
        <v>2.2799999999999998</v>
      </c>
      <c r="M11" s="14">
        <f t="shared" si="1"/>
        <v>0.31973684210526321</v>
      </c>
      <c r="Z11" s="8"/>
      <c r="AA11" s="8"/>
      <c r="AB11" s="8"/>
      <c r="AC11" s="8"/>
      <c r="AD11" s="9"/>
      <c r="AE11" s="9"/>
      <c r="AF11" s="10"/>
      <c r="AG11" s="10"/>
    </row>
    <row r="12" spans="1:1023" s="7" customFormat="1">
      <c r="A12" s="18" t="s">
        <v>73</v>
      </c>
      <c r="B12" s="52">
        <f t="shared" si="0"/>
        <v>0.34560000000000002</v>
      </c>
      <c r="C12" s="19">
        <v>0.08</v>
      </c>
      <c r="D12" s="19">
        <v>0</v>
      </c>
      <c r="E12" s="19">
        <f>48</f>
        <v>48</v>
      </c>
      <c r="F12" s="19">
        <v>0.3</v>
      </c>
      <c r="G12" s="19"/>
      <c r="H12" s="19"/>
      <c r="I12" s="19"/>
      <c r="J12" s="21">
        <v>1</v>
      </c>
      <c r="K12" s="2"/>
      <c r="L12" s="6">
        <v>1.73</v>
      </c>
      <c r="M12" s="14">
        <f t="shared" si="1"/>
        <v>0.19976878612716764</v>
      </c>
      <c r="Z12" s="8"/>
      <c r="AA12" s="8"/>
      <c r="AB12" s="8"/>
      <c r="AC12" s="8"/>
      <c r="AD12" s="9"/>
      <c r="AE12" s="9"/>
      <c r="AF12" s="10"/>
      <c r="AG12" s="10"/>
    </row>
    <row r="13" spans="1:1023" s="7" customFormat="1">
      <c r="A13" s="18" t="s">
        <v>79</v>
      </c>
      <c r="B13" s="52">
        <f t="shared" si="0"/>
        <v>0.49000079999999996</v>
      </c>
      <c r="C13" s="19">
        <v>0.06</v>
      </c>
      <c r="D13" s="19">
        <v>2.2999999999999998</v>
      </c>
      <c r="E13" s="19">
        <v>48</v>
      </c>
      <c r="F13" s="19">
        <v>2</v>
      </c>
      <c r="G13" s="19"/>
      <c r="H13" s="19"/>
      <c r="I13" s="19"/>
      <c r="J13" s="21">
        <v>0.04</v>
      </c>
      <c r="K13" s="2"/>
      <c r="L13" s="6">
        <v>4.38</v>
      </c>
      <c r="M13" s="14">
        <f t="shared" si="1"/>
        <v>0.11187232876712327</v>
      </c>
      <c r="Z13" s="8"/>
      <c r="AA13" s="8"/>
      <c r="AB13" s="8"/>
      <c r="AC13" s="8"/>
      <c r="AD13" s="9"/>
      <c r="AE13" s="9"/>
      <c r="AF13" s="10"/>
      <c r="AG13" s="10"/>
    </row>
    <row r="14" spans="1:1023" s="7" customFormat="1">
      <c r="A14" s="18" t="s">
        <v>766</v>
      </c>
      <c r="B14" s="52">
        <f t="shared" si="0"/>
        <v>0.25007812499999998</v>
      </c>
      <c r="C14" s="19">
        <v>2.5000000000000001E-4</v>
      </c>
      <c r="D14" s="19">
        <v>10</v>
      </c>
      <c r="E14" s="19">
        <v>500</v>
      </c>
      <c r="F14" s="19">
        <v>2.5000000000000001E-2</v>
      </c>
      <c r="G14" s="19"/>
      <c r="H14" s="19"/>
      <c r="I14" s="19"/>
      <c r="J14" s="21">
        <v>1</v>
      </c>
      <c r="K14" s="2"/>
      <c r="L14" s="6">
        <v>1.46</v>
      </c>
      <c r="M14" s="14">
        <f t="shared" si="1"/>
        <v>0.17128638698630136</v>
      </c>
      <c r="Z14" s="8"/>
      <c r="AA14" s="8"/>
      <c r="AB14" s="8"/>
      <c r="AC14" s="8"/>
      <c r="AD14" s="9"/>
      <c r="AE14" s="9"/>
      <c r="AF14" s="10"/>
      <c r="AG14" s="10"/>
    </row>
    <row r="15" spans="1:1023" s="7" customFormat="1">
      <c r="A15" s="18" t="s">
        <v>61</v>
      </c>
      <c r="B15" s="53">
        <f>(G15*((H15^2)*I15)*J15)</f>
        <v>0.875</v>
      </c>
      <c r="C15" s="19"/>
      <c r="D15" s="19"/>
      <c r="E15" s="19"/>
      <c r="F15" s="19"/>
      <c r="G15" s="19">
        <v>1E-3</v>
      </c>
      <c r="H15" s="19">
        <v>25</v>
      </c>
      <c r="I15" s="19">
        <v>14</v>
      </c>
      <c r="J15" s="21">
        <v>0.1</v>
      </c>
      <c r="K15" s="2"/>
      <c r="L15" s="6">
        <v>1.49</v>
      </c>
      <c r="M15" s="14">
        <f t="shared" si="1"/>
        <v>0.58724832214765099</v>
      </c>
      <c r="Z15" s="8"/>
      <c r="AA15" s="8"/>
      <c r="AB15" s="8"/>
      <c r="AC15" s="8"/>
      <c r="AD15" s="9"/>
      <c r="AE15" s="9"/>
      <c r="AF15" s="10"/>
      <c r="AG15" s="10"/>
    </row>
    <row r="16" spans="1:1023" s="7" customFormat="1">
      <c r="A16" s="22" t="s">
        <v>51</v>
      </c>
      <c r="B16" s="66">
        <f>(G16*((H16^2)*I16)*J16)</f>
        <v>2.56</v>
      </c>
      <c r="C16" s="23"/>
      <c r="D16" s="23"/>
      <c r="E16" s="23"/>
      <c r="F16" s="23"/>
      <c r="G16" s="23">
        <v>0.01</v>
      </c>
      <c r="H16" s="23">
        <v>16</v>
      </c>
      <c r="I16" s="23">
        <v>1</v>
      </c>
      <c r="J16" s="24">
        <v>1</v>
      </c>
      <c r="K16" s="2"/>
      <c r="L16" s="6"/>
      <c r="M16" s="14"/>
      <c r="Z16" s="8"/>
      <c r="AA16" s="8"/>
      <c r="AB16" s="8"/>
      <c r="AC16" s="8"/>
      <c r="AD16" s="9"/>
      <c r="AE16" s="9"/>
      <c r="AF16" s="10"/>
      <c r="AG16" s="10"/>
    </row>
    <row r="17" spans="1:12">
      <c r="A17" s="139" t="s">
        <v>643</v>
      </c>
      <c r="B17" s="140">
        <v>0.19036342000000001</v>
      </c>
      <c r="C17" s="141">
        <v>6.4999999999999997E-3</v>
      </c>
      <c r="D17" s="141">
        <v>2.2999999999999998</v>
      </c>
      <c r="E17" s="141">
        <v>180</v>
      </c>
      <c r="F17" s="141">
        <v>2</v>
      </c>
      <c r="G17" s="141"/>
      <c r="H17" s="141"/>
      <c r="I17" s="141"/>
      <c r="J17" s="142">
        <v>0.04</v>
      </c>
      <c r="L17" s="143" t="s">
        <v>810</v>
      </c>
    </row>
  </sheetData>
  <mergeCells count="4">
    <mergeCell ref="A2:D2"/>
    <mergeCell ref="A3:D3"/>
    <mergeCell ref="A4:D4"/>
    <mergeCell ref="B7:J7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3331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ORES LIST</vt:lpstr>
      <vt:lpstr>ORE DENSITY CALCULATIONS</vt:lpstr>
      <vt:lpstr>__Anonymous_Sheet_DB__0</vt:lpstr>
      <vt:lpstr>Huge_Veins_Ores_Per_Chunk</vt:lpstr>
      <vt:lpstr>Layered_Veins_Ores_Per_Chunk</vt:lpstr>
      <vt:lpstr>Pipe_Veins_Ores_Per_Chunk</vt:lpstr>
      <vt:lpstr>Small_Deposits_Ores_Per_Chunk</vt:lpstr>
      <vt:lpstr>Sparse_Veins_Ores_Per_Chunk</vt:lpstr>
      <vt:lpstr>Strategic_Clouds_Ores_Per_Chunk</vt:lpstr>
      <vt:lpstr>Stratum_Clouds_Ores_Per_Chunk</vt:lpstr>
      <vt:lpstr>Vanilla_COG_Divisor</vt:lpstr>
      <vt:lpstr>Vertical_Veins_Ores_Per_Chunk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lws</dc:creator>
  <cp:lastModifiedBy>lws</cp:lastModifiedBy>
  <cp:revision>150</cp:revision>
  <dcterms:created xsi:type="dcterms:W3CDTF">2015-08-21T21:28:22Z</dcterms:created>
  <dcterms:modified xsi:type="dcterms:W3CDTF">2017-06-10T16:22:18Z</dcterms:modified>
  <dc:language>en-US</dc:language>
</cp:coreProperties>
</file>