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centaurus/Documents/L2F Docs/SPREADSHEETS/Bolted Joints/"/>
    </mc:Choice>
  </mc:AlternateContent>
  <xr:revisionPtr revIDLastSave="0" documentId="13_ncr:1_{9239D595-525D-724C-B317-32B208F888DB}" xr6:coauthVersionLast="47" xr6:coauthVersionMax="47" xr10:uidLastSave="{00000000-0000-0000-0000-000000000000}"/>
  <bookViews>
    <workbookView xWindow="0" yWindow="820" windowWidth="27920" windowHeight="17440" xr2:uid="{2D163F26-9FB6-A648-B334-ED7D38D0F0DE}"/>
  </bookViews>
  <sheets>
    <sheet name="Inputs + Outputs" sheetId="1" r:id="rId1"/>
    <sheet name="Bolt Standards" sheetId="4" r:id="rId2"/>
    <sheet name="Material Properties" sheetId="6" r:id="rId3"/>
    <sheet name="Diagrams + Modeling Details" sheetId="5" r:id="rId4"/>
    <sheet name="Note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 i="1" l="1"/>
  <c r="J96" i="1" s="1"/>
  <c r="C95" i="1" l="1"/>
  <c r="J94" i="1"/>
  <c r="D59" i="1"/>
  <c r="D60" i="1"/>
  <c r="D61" i="1"/>
  <c r="I79" i="1"/>
  <c r="D54" i="1"/>
  <c r="I69" i="1"/>
  <c r="I68" i="1"/>
  <c r="I67" i="1"/>
  <c r="I66" i="1"/>
  <c r="I63" i="1"/>
  <c r="I62" i="1"/>
  <c r="I61" i="1"/>
  <c r="I60" i="1"/>
  <c r="I57" i="1"/>
  <c r="I56" i="1"/>
  <c r="I55" i="1"/>
  <c r="I54" i="1"/>
  <c r="J7" i="6"/>
  <c r="I7" i="6"/>
  <c r="C39" i="4"/>
  <c r="C38" i="4"/>
  <c r="O40" i="4"/>
  <c r="O39" i="4"/>
  <c r="O38" i="4"/>
  <c r="O37" i="4"/>
  <c r="O36" i="4"/>
  <c r="O35" i="4"/>
  <c r="O34" i="4"/>
  <c r="O33" i="4"/>
  <c r="O32" i="4"/>
  <c r="O31" i="4"/>
  <c r="O30" i="4"/>
  <c r="O29" i="4"/>
  <c r="O28" i="4"/>
  <c r="O27" i="4"/>
  <c r="O26" i="4"/>
  <c r="N40" i="4"/>
  <c r="N39" i="4"/>
  <c r="N38" i="4"/>
  <c r="N37" i="4"/>
  <c r="N36" i="4"/>
  <c r="N35" i="4"/>
  <c r="N34" i="4"/>
  <c r="N33" i="4"/>
  <c r="N32" i="4"/>
  <c r="N31" i="4"/>
  <c r="N30" i="4"/>
  <c r="N29" i="4"/>
  <c r="N28" i="4"/>
  <c r="N27" i="4"/>
  <c r="N26" i="4"/>
  <c r="M40" i="4"/>
  <c r="M39" i="4"/>
  <c r="M38" i="4"/>
  <c r="M37" i="4"/>
  <c r="M36" i="4"/>
  <c r="M35" i="4"/>
  <c r="M34" i="4"/>
  <c r="M33" i="4"/>
  <c r="C37" i="4" s="1"/>
  <c r="M32" i="4"/>
  <c r="M31" i="4"/>
  <c r="M30" i="4"/>
  <c r="M29" i="4"/>
  <c r="M28" i="4"/>
  <c r="M27" i="4"/>
  <c r="M26" i="4"/>
  <c r="D39" i="4"/>
  <c r="D38" i="4"/>
  <c r="D37" i="4"/>
  <c r="B37" i="4"/>
  <c r="B39" i="4"/>
  <c r="L30" i="1" s="1"/>
  <c r="I72" i="1" s="1"/>
  <c r="I74" i="1" s="1"/>
  <c r="B38" i="4"/>
  <c r="L28" i="1" s="1"/>
  <c r="G30" i="4"/>
  <c r="G29" i="4"/>
  <c r="G28" i="4"/>
  <c r="G27" i="4"/>
  <c r="G26" i="4"/>
  <c r="G25" i="4"/>
  <c r="G24" i="4"/>
  <c r="G23" i="4"/>
  <c r="G22" i="4"/>
  <c r="G21" i="4"/>
  <c r="F30" i="4"/>
  <c r="F29" i="4"/>
  <c r="F28" i="4"/>
  <c r="F27" i="4"/>
  <c r="F26" i="4"/>
  <c r="F25" i="4"/>
  <c r="F24" i="4"/>
  <c r="F23" i="4"/>
  <c r="F22" i="4"/>
  <c r="F21" i="4"/>
  <c r="E30" i="4"/>
  <c r="E29" i="4"/>
  <c r="E28" i="4"/>
  <c r="E27" i="4"/>
  <c r="E26" i="4"/>
  <c r="E25" i="4"/>
  <c r="E24" i="4"/>
  <c r="E23" i="4"/>
  <c r="E22" i="4"/>
  <c r="E21" i="4"/>
  <c r="L24" i="1"/>
  <c r="L22" i="1"/>
  <c r="D90" i="1" l="1"/>
  <c r="C97" i="1" s="1"/>
  <c r="D57" i="1"/>
  <c r="J87" i="1" s="1"/>
  <c r="I96" i="1" s="1"/>
  <c r="D58" i="1"/>
  <c r="D62" i="1"/>
  <c r="D63" i="1"/>
  <c r="D64" i="1"/>
  <c r="L26" i="1"/>
  <c r="E44" i="1" s="1"/>
  <c r="B97" i="1" l="1"/>
  <c r="D66" i="1"/>
  <c r="D67" i="1" s="1"/>
  <c r="D69" i="1" s="1"/>
  <c r="D65" i="1"/>
  <c r="D70" i="1" s="1"/>
  <c r="D71" i="1" l="1"/>
  <c r="D73" i="1" l="1"/>
  <c r="D87" i="1" s="1"/>
  <c r="D89" i="1" s="1"/>
  <c r="J88" i="1"/>
  <c r="I94" i="1" s="1"/>
  <c r="D74" i="1" l="1"/>
  <c r="C96" i="1"/>
  <c r="B96" i="1"/>
</calcChain>
</file>

<file path=xl/sharedStrings.xml><?xml version="1.0" encoding="utf-8"?>
<sst xmlns="http://schemas.openxmlformats.org/spreadsheetml/2006/main" count="282" uniqueCount="184">
  <si>
    <t>Latest Revision:</t>
  </si>
  <si>
    <t>Monday, April 10th, 2023</t>
  </si>
  <si>
    <t>List of References:</t>
  </si>
  <si>
    <t>Ghost Rider Tim's Bolted Joint Calculator for Al, Ti, &amp; Steel (in SI Units)</t>
  </si>
  <si>
    <t>MIT EVT Website:</t>
  </si>
  <si>
    <t>https://evt.mit.edu</t>
  </si>
  <si>
    <t xml:space="preserve">Shigley's Mechanical Engineering Design (6th, SI)
Precision Machine Design—Alex Slocum
2.70 Elements of Mechanical Design
2.72 FUNdaMENTALs of Precision Product Design
Huth Calculator—http://www.p-over-a.co.uk/toolbox/Huth.aspx
Stiffness Comparison—https://aip.scitation.org/doi/pdf/10.1063/1.5029577
NASA Bolts Paper—(see MIT EVT website @ evt.mit.edu)
MechaniCalc—https://mechanicalc.com/reference/bolted-joint-analysis
</t>
  </si>
  <si>
    <t>Please note that all specifications in this sheet are reported in the unit states in Shigley's and then CONVERTED to SI units for calculation.</t>
  </si>
  <si>
    <t>Bolt Standards</t>
  </si>
  <si>
    <t>Load Distribution</t>
  </si>
  <si>
    <t>Joint Geometery</t>
  </si>
  <si>
    <t>Notes for the User</t>
  </si>
  <si>
    <t>Cell Colors Key</t>
  </si>
  <si>
    <t>INPUT</t>
  </si>
  <si>
    <t>CALCULATION</t>
  </si>
  <si>
    <t>NOTE / INFO</t>
  </si>
  <si>
    <t>LABELs</t>
  </si>
  <si>
    <t>Bolt Standard</t>
  </si>
  <si>
    <t>Instructions</t>
  </si>
  <si>
    <t>Bolt Grade</t>
  </si>
  <si>
    <r>
      <rPr>
        <b/>
        <i/>
        <u/>
        <sz val="12"/>
        <color rgb="FF7F7F7F"/>
        <rFont val="Calibri (Body)"/>
      </rPr>
      <t>Bolt Standard—</t>
    </r>
    <r>
      <rPr>
        <i/>
        <sz val="12"/>
        <color rgb="FF7F7F7F"/>
        <rFont val="Calibri"/>
        <family val="2"/>
        <scheme val="minor"/>
      </rPr>
      <t xml:space="preserve">
1 - SAE
2 - ASTM
3 - Metric
</t>
    </r>
    <r>
      <rPr>
        <b/>
        <i/>
        <u/>
        <sz val="12"/>
        <color rgb="FF7F7F7F"/>
        <rFont val="Calibri (Body)"/>
      </rPr>
      <t>Grade—</t>
    </r>
    <r>
      <rPr>
        <i/>
        <sz val="12"/>
        <color rgb="FF7F7F7F"/>
        <rFont val="Calibri"/>
        <family val="2"/>
        <scheme val="minor"/>
      </rPr>
      <t xml:space="preserve">
as shown in the "Bolt Standards" tab below</t>
    </r>
  </si>
  <si>
    <t>Washer Factor</t>
  </si>
  <si>
    <t>Bolt Geometery</t>
  </si>
  <si>
    <t>Major ⌀ (mm)</t>
  </si>
  <si>
    <t>Bolt Information</t>
  </si>
  <si>
    <t>Major Area (m^2)</t>
  </si>
  <si>
    <t>Pitch Area (m^2)</t>
  </si>
  <si>
    <r>
      <t>Metric Bolt Specs from Shigley's</t>
    </r>
    <r>
      <rPr>
        <b/>
        <sz val="27"/>
        <color rgb="FFFF0000"/>
        <rFont val="Calibri (Body)"/>
      </rPr>
      <t xml:space="preserve"> (3)</t>
    </r>
  </si>
  <si>
    <r>
      <t>ASTM Bolt Specs from Shigley's</t>
    </r>
    <r>
      <rPr>
        <b/>
        <sz val="27"/>
        <color rgb="FFFF0000"/>
        <rFont val="Calibri (Body)"/>
      </rPr>
      <t xml:space="preserve"> (2)</t>
    </r>
  </si>
  <si>
    <r>
      <t>SAE Bolt Specs from Shigley's</t>
    </r>
    <r>
      <rPr>
        <b/>
        <sz val="27"/>
        <color rgb="FFFF0000"/>
        <rFont val="Calibri (Body)"/>
      </rPr>
      <t xml:space="preserve"> (1)</t>
    </r>
  </si>
  <si>
    <t>Grade</t>
  </si>
  <si>
    <t>Size Range</t>
  </si>
  <si>
    <t>Min Tensile (kpsi)</t>
  </si>
  <si>
    <t>Min Proof (kpsi)</t>
  </si>
  <si>
    <t>Min Yield (kpsi)</t>
  </si>
  <si>
    <t>CALC INPUT</t>
  </si>
  <si>
    <t>Size Range (in)</t>
  </si>
  <si>
    <t>1/4 to 1 1/2</t>
  </si>
  <si>
    <t>1/4 to 1.5</t>
  </si>
  <si>
    <t>1/4 to 3/4</t>
  </si>
  <si>
    <t>7/8 to 1.5</t>
  </si>
  <si>
    <t>1/4 to 1</t>
  </si>
  <si>
    <t>1 1/8 to 1.5</t>
  </si>
  <si>
    <t>Min Tensile (Pa)</t>
  </si>
  <si>
    <t>Min Proof (Pa)</t>
  </si>
  <si>
    <t>Min Yield (Pa)</t>
  </si>
  <si>
    <t>Pa</t>
  </si>
  <si>
    <t>1 kpsi</t>
  </si>
  <si>
    <t>SELECTOR FUNCTIONS</t>
  </si>
  <si>
    <t>MIN PROOF</t>
  </si>
  <si>
    <t>MIN TENSILE</t>
  </si>
  <si>
    <t>MIN YIELD</t>
  </si>
  <si>
    <t>Proof Strenght (Pa)</t>
  </si>
  <si>
    <t>Tensile Strenght (Pa)</t>
  </si>
  <si>
    <t>Yield Strenght (Pa)</t>
  </si>
  <si>
    <t>Washer Thickness (mm)</t>
  </si>
  <si>
    <r>
      <rPr>
        <b/>
        <i/>
        <u/>
        <sz val="12"/>
        <color rgb="FF7F7F7F"/>
        <rFont val="Calibri (Body)"/>
      </rPr>
      <t xml:space="preserve">Washer Factor
</t>
    </r>
    <r>
      <rPr>
        <i/>
        <sz val="12"/>
        <color rgb="FF7F7F7F"/>
        <rFont val="Calibri (Body)"/>
      </rPr>
      <t>how many times larger is the diameter of the washer than the diameter of the bolt (1 for no washer)</t>
    </r>
  </si>
  <si>
    <t>0.00mm for no washer</t>
  </si>
  <si>
    <t>Pitch ⌀ (mm)</t>
  </si>
  <si>
    <t>For alpha = 30deg</t>
  </si>
  <si>
    <t xml:space="preserve">ALSO NOTE: that washers increase the area of a bolted joint connection and the thickness of the joint itself </t>
  </si>
  <si>
    <t xml:space="preserve">(washers make a joint STIFFER) </t>
  </si>
  <si>
    <t>Table 8-7, Shigley's Mechanical Engineering Design (used for dimensions for this spreadsheet)</t>
  </si>
  <si>
    <t>Joint Calculator Inputs (See Table 8-7)</t>
  </si>
  <si>
    <t>l_d (mm)</t>
  </si>
  <si>
    <t>l_t (mm)</t>
  </si>
  <si>
    <t>Including Washer</t>
  </si>
  <si>
    <t>Top Member Thickness (mm)</t>
  </si>
  <si>
    <t>Bottom Member Thickness (mm)</t>
  </si>
  <si>
    <r>
      <t xml:space="preserve">See the </t>
    </r>
    <r>
      <rPr>
        <i/>
        <u/>
        <sz val="12"/>
        <color rgb="FF7F7F7F"/>
        <rFont val="Calibri (Body)"/>
      </rPr>
      <t>"Diagrams + Modeling" tab of this sheet</t>
    </r>
    <r>
      <rPr>
        <i/>
        <sz val="12"/>
        <color rgb="FF7F7F7F"/>
        <rFont val="Calibri"/>
        <family val="2"/>
        <scheme val="minor"/>
      </rPr>
      <t xml:space="preserve"> or Shigley's Mechanical Engineering Design Table 8-7 for inputs for tapped base vs. bolt-and-nut joints.</t>
    </r>
  </si>
  <si>
    <t>Including Washer (bolt/nut)</t>
  </si>
  <si>
    <t>Top Member Material Selector</t>
  </si>
  <si>
    <t>Bottom Member Material Selector</t>
  </si>
  <si>
    <t>Washer Material Selector</t>
  </si>
  <si>
    <r>
      <rPr>
        <b/>
        <i/>
        <u/>
        <sz val="12"/>
        <color rgb="FF7F7F7F"/>
        <rFont val="Calibri (Body)"/>
      </rPr>
      <t xml:space="preserve">Material Selector
</t>
    </r>
    <r>
      <rPr>
        <i/>
        <sz val="12"/>
        <color rgb="FF7F7F7F"/>
        <rFont val="Calibri (Body)"/>
      </rPr>
      <t>1 - 6061-T6 Aluminum Alloy
2 - 4130 Steel Alloy
3 - Grade 5 Titanium Alloy</t>
    </r>
  </si>
  <si>
    <t>Maximum Reccomended Preload (kN)</t>
  </si>
  <si>
    <t>PRELOAD FACTOR</t>
  </si>
  <si>
    <t>75-95% of proof load</t>
  </si>
  <si>
    <t>Bolted Joint Preload (Force in N)</t>
  </si>
  <si>
    <t>Calculation Assumptions—v1.1</t>
  </si>
  <si>
    <t>CONVERSION FACTOR</t>
  </si>
  <si>
    <t>HEADING</t>
  </si>
  <si>
    <t>Materials Inputs</t>
  </si>
  <si>
    <t>Design Notation</t>
  </si>
  <si>
    <t>A307</t>
  </si>
  <si>
    <t>A325-T1</t>
  </si>
  <si>
    <t>A325-T2</t>
  </si>
  <si>
    <t>A325-T3</t>
  </si>
  <si>
    <t>A354-BC</t>
  </si>
  <si>
    <t>A354-BD</t>
  </si>
  <si>
    <t>A449</t>
  </si>
  <si>
    <t>A490-T1</t>
  </si>
  <si>
    <t>A490-T2</t>
  </si>
  <si>
    <t>M5-M36</t>
  </si>
  <si>
    <t>M1.6-M16</t>
  </si>
  <si>
    <t>M5-M24</t>
  </si>
  <si>
    <t>M16-M36</t>
  </si>
  <si>
    <t>M1.6-M36</t>
  </si>
  <si>
    <t>1/2 to 1</t>
  </si>
  <si>
    <t>1 1/8 to 1 1/2</t>
  </si>
  <si>
    <t>1/4 to 2 1/2</t>
  </si>
  <si>
    <t>2 3/4 to 4</t>
  </si>
  <si>
    <t>1/4 to 4</t>
  </si>
  <si>
    <t>1 3/4 to 3</t>
  </si>
  <si>
    <t>1/2 to 1 1/2</t>
  </si>
  <si>
    <t>Aluminum</t>
  </si>
  <si>
    <t>Steel</t>
  </si>
  <si>
    <t>Titanium</t>
  </si>
  <si>
    <t>Material</t>
  </si>
  <si>
    <t>Young's (Pa)</t>
  </si>
  <si>
    <t>Yield (Pa)</t>
  </si>
  <si>
    <t>Ultimate (Pa)</t>
  </si>
  <si>
    <t>Poisson's Ratio</t>
  </si>
  <si>
    <t>(from https://asm.matweb.com/search/SpecificMaterial.asp?bassnum=ma6061t6)</t>
  </si>
  <si>
    <t>Shear Modulus (Pa)</t>
  </si>
  <si>
    <t>Shear Strenght (Pa)</t>
  </si>
  <si>
    <t>(from https://www.matweb.com/search/DataSheet.aspx?MatGUID=e1ccebe90cf94502b35c2a4745f63593&amp;ckck=1)</t>
  </si>
  <si>
    <t>ESTIMATED VAL.</t>
  </si>
  <si>
    <t>Fatigue Criteria</t>
  </si>
  <si>
    <t>(from https://asm.matweb.com/search/SpecificMaterial.asp?bassnum=mtp641)</t>
  </si>
  <si>
    <r>
      <t xml:space="preserve">Fatigure Criterion—
</t>
    </r>
    <r>
      <rPr>
        <sz val="12"/>
        <color rgb="FF7F7F7F"/>
        <rFont val="Calibri"/>
        <family val="2"/>
        <scheme val="minor"/>
      </rPr>
      <t xml:space="preserve">For </t>
    </r>
    <r>
      <rPr>
        <u/>
        <sz val="12"/>
        <color rgb="FF7F7F7F"/>
        <rFont val="Calibri (Body)"/>
      </rPr>
      <t>ALUMINUM</t>
    </r>
    <r>
      <rPr>
        <sz val="12"/>
        <color rgb="FF7F7F7F"/>
        <rFont val="Calibri"/>
        <family val="2"/>
        <scheme val="minor"/>
      </rPr>
      <t xml:space="preserve"> --&gt; MOORE's test @ 500 million cycles
For </t>
    </r>
    <r>
      <rPr>
        <u/>
        <sz val="12"/>
        <color rgb="FF7F7F7F"/>
        <rFont val="Calibri (Body)"/>
      </rPr>
      <t>Steel</t>
    </r>
    <r>
      <rPr>
        <sz val="12"/>
        <color rgb="FF7F7F7F"/>
        <rFont val="Calibri"/>
        <family val="2"/>
        <scheme val="minor"/>
      </rPr>
      <t xml:space="preserve"> --&gt; Endurance Limit of Sigma Y / 2</t>
    </r>
    <r>
      <rPr>
        <b/>
        <i/>
        <sz val="12"/>
        <color rgb="FF7F7F7F"/>
        <rFont val="Calibri"/>
        <family val="2"/>
        <scheme val="minor"/>
      </rPr>
      <t xml:space="preserve">
</t>
    </r>
    <r>
      <rPr>
        <sz val="12"/>
        <color rgb="FF7F7F7F"/>
        <rFont val="Calibri"/>
        <family val="2"/>
        <scheme val="minor"/>
      </rPr>
      <t xml:space="preserve">For </t>
    </r>
    <r>
      <rPr>
        <u/>
        <sz val="12"/>
        <color rgb="FF7F7F7F"/>
        <rFont val="Calibri (Body)"/>
      </rPr>
      <t>Titanium</t>
    </r>
    <r>
      <rPr>
        <sz val="12"/>
        <color rgb="FF7F7F7F"/>
        <rFont val="Calibri"/>
        <family val="2"/>
        <scheme val="minor"/>
      </rPr>
      <t xml:space="preserve"> --&gt; notched @ 1E+7 Cycles, Kt=3.3 (stress concentration factor)</t>
    </r>
  </si>
  <si>
    <t>Materials Properties Consolidated</t>
  </si>
  <si>
    <t>Top Member</t>
  </si>
  <si>
    <t>Elasticity Modulus (Pa)</t>
  </si>
  <si>
    <t>Tensile Yield (Pa)</t>
  </si>
  <si>
    <t>Tensile Ultimate (Pa)</t>
  </si>
  <si>
    <t>Bottom Member</t>
  </si>
  <si>
    <t>Washer Properties</t>
  </si>
  <si>
    <t>Geometric Calculations</t>
  </si>
  <si>
    <t>Washer Affect on Area</t>
  </si>
  <si>
    <t>Characteristic ⌀ (m)</t>
  </si>
  <si>
    <t>Fastner Stiffness (N/m)</t>
  </si>
  <si>
    <t>Stiffness Calculations</t>
  </si>
  <si>
    <t>Bolt Properties</t>
  </si>
  <si>
    <t>Note, the above is ESTIMATED from the 0.2% strain method.</t>
  </si>
  <si>
    <t>Conservative E (Pa)</t>
  </si>
  <si>
    <t>Correction Factor</t>
  </si>
  <si>
    <t>Calc Modulus (Pa)</t>
  </si>
  <si>
    <t>Thicker?</t>
  </si>
  <si>
    <t>INTERMEDIATE VALUE</t>
  </si>
  <si>
    <t>FINAL VALUE</t>
  </si>
  <si>
    <t>ERROR</t>
  </si>
  <si>
    <t>Central Diameter (m)</t>
  </si>
  <si>
    <t>K_top unadjusted (N/m)</t>
  </si>
  <si>
    <t>Central Distance (m)</t>
  </si>
  <si>
    <t>Adjustment Distance (m)</t>
  </si>
  <si>
    <t>Adjustment Diameter (m)</t>
  </si>
  <si>
    <t>Min Material Length (m)</t>
  </si>
  <si>
    <t>Pressure Cone (rads)</t>
  </si>
  <si>
    <t>K_bot unadjusted (N/m)</t>
  </si>
  <si>
    <t>K_a Geometric (N/m/Pa)</t>
  </si>
  <si>
    <t>K_top member (N/m)</t>
  </si>
  <si>
    <t>K_bot member (N/m)</t>
  </si>
  <si>
    <t>Member Stiffness (N/m)</t>
  </si>
  <si>
    <t>Axial Stiffness (N/m)</t>
  </si>
  <si>
    <t>Lateral Stiffness (N/m)</t>
  </si>
  <si>
    <t>Note, the above is ESTIMATED from the 10% lateral from axial rule.</t>
  </si>
  <si>
    <t>K_a Series (N/m/Pa)</t>
  </si>
  <si>
    <t>1 if top &gt; bottom, 0 bottom &gt;top, 2 if same</t>
  </si>
  <si>
    <t>ignore if same</t>
  </si>
  <si>
    <t>HI, DO THIS!</t>
  </si>
  <si>
    <t>Joint Capabilities</t>
  </si>
  <si>
    <t>Joint Capability (C_m)</t>
  </si>
  <si>
    <r>
      <rPr>
        <b/>
        <sz val="12"/>
        <color theme="1"/>
        <rFont val="Calibri"/>
        <family val="2"/>
        <scheme val="minor"/>
      </rPr>
      <t>DIAGRAM FROM:</t>
    </r>
    <r>
      <rPr>
        <sz val="12"/>
        <color theme="1"/>
        <rFont val="Calibri"/>
        <family val="2"/>
        <scheme val="minor"/>
      </rPr>
      <t xml:space="preserve"> https://www.kitplanes.com/stressing-structure-13/</t>
    </r>
  </si>
  <si>
    <t>Initial Bolt Load (kN)</t>
  </si>
  <si>
    <t>Seperation Point (kN)</t>
  </si>
  <si>
    <t>Joint Loading Diagram + F, δ Plot</t>
  </si>
  <si>
    <t>F, δ Values of Interest</t>
  </si>
  <si>
    <t>δ's are only the same AFTER the preload stage</t>
  </si>
  <si>
    <t>Delta</t>
  </si>
  <si>
    <t>Force</t>
  </si>
  <si>
    <t>δ Bolt (µm)</t>
  </si>
  <si>
    <t>δ Members (µm)</t>
  </si>
  <si>
    <t>% of load taken by the bolt</t>
  </si>
  <si>
    <t>Maximum Loading (kN)</t>
  </si>
  <si>
    <t>Applied</t>
  </si>
  <si>
    <t>Bolt</t>
  </si>
  <si>
    <t>Special thanks to…
Professor Marty Culpepper
Professor Alex Slocum
David Kim (MIT Biomimetic Robotics Lab)
Jack Lin
Quang Kieu
Cat Arase
Levi Gershon</t>
  </si>
  <si>
    <r>
      <t>Note—</t>
    </r>
    <r>
      <rPr>
        <i/>
        <sz val="12"/>
        <color rgb="FF7F7F7F"/>
        <rFont val="Calibri"/>
        <family val="2"/>
        <scheme val="minor"/>
      </rPr>
      <t>the above shows how to calculate the stiffness of the pressure cone of material generated by the preload in a bolted joint. Read Sigley's chapter 8 for more details on the derivations of the stiffness formulas.</t>
    </r>
  </si>
  <si>
    <r>
      <t>Note—</t>
    </r>
    <r>
      <rPr>
        <i/>
        <sz val="12"/>
        <color rgb="FF7F7F7F"/>
        <rFont val="Calibri"/>
        <family val="2"/>
        <scheme val="minor"/>
      </rPr>
      <t xml:space="preserve">the above shows the defintions of key variables for bolted joint calculations, please refer to Shigley's chapter 8 for a more detailed explination. These are the variables Shigley's uses, and they are the same variables used in this spreadsheet. </t>
    </r>
  </si>
  <si>
    <r>
      <t xml:space="preserve">1. </t>
    </r>
    <r>
      <rPr>
        <sz val="12"/>
        <color theme="1"/>
        <rFont val="Calibri"/>
        <family val="2"/>
        <scheme val="minor"/>
      </rPr>
      <t xml:space="preserve">the washer effects the characteristic diameter of both the bolt and the nut in both types of joints, and </t>
    </r>
    <r>
      <rPr>
        <u/>
        <sz val="12"/>
        <color theme="1"/>
        <rFont val="Calibri (Body)"/>
      </rPr>
      <t xml:space="preserve">the washer is made of the same material as the member it is touching
</t>
    </r>
    <r>
      <rPr>
        <b/>
        <sz val="12"/>
        <color rgb="FFFF0000"/>
        <rFont val="Calibri (Body)"/>
      </rPr>
      <t xml:space="preserve">Note, the diametral assumption is accurate to all bolted joint systems that are assembled as described. The use of washers is critical to the success of a bolted joint, so use them. The assumption on stiffness will </t>
    </r>
    <r>
      <rPr>
        <b/>
        <u/>
        <sz val="12"/>
        <color rgb="FFFF0000"/>
        <rFont val="Calibri (Body)"/>
      </rPr>
      <t>underestimate</t>
    </r>
    <r>
      <rPr>
        <b/>
        <sz val="12"/>
        <color rgb="FFFF0000"/>
        <rFont val="Calibri (Body)"/>
      </rPr>
      <t xml:space="preserve"> the stiffness of the bolted joint, as washers are generally made of a stiffer material than the members.</t>
    </r>
    <r>
      <rPr>
        <sz val="12"/>
        <color theme="1"/>
        <rFont val="Calibri"/>
        <family val="2"/>
        <scheme val="minor"/>
      </rPr>
      <t xml:space="preserve">
</t>
    </r>
    <r>
      <rPr>
        <b/>
        <sz val="12"/>
        <color theme="1"/>
        <rFont val="Calibri"/>
        <family val="2"/>
        <scheme val="minor"/>
      </rPr>
      <t xml:space="preserve">2. </t>
    </r>
    <r>
      <rPr>
        <sz val="12"/>
        <color theme="1"/>
        <rFont val="Calibri"/>
        <family val="2"/>
        <scheme val="minor"/>
      </rPr>
      <t xml:space="preserve">all loads are applied such that the joint takes only loads along the three principal axis, (i.e. the joint takes no moments)
</t>
    </r>
    <r>
      <rPr>
        <b/>
        <sz val="12"/>
        <color rgb="FFFF0000"/>
        <rFont val="Calibri (Body)"/>
      </rPr>
      <t xml:space="preserve">This assumption doesn't so much affect that math in this spreadsheet so much as how the user uses it. The spreadsheet can give you the bolted joint's capacity to sustain loads in the direction of the bolt as well as in shear, but if moments are being applied to a joint, further analysis may be required. </t>
    </r>
    <r>
      <rPr>
        <sz val="12"/>
        <color theme="1"/>
        <rFont val="Calibri"/>
        <family val="2"/>
        <scheme val="minor"/>
      </rPr>
      <t xml:space="preserve">
</t>
    </r>
    <r>
      <rPr>
        <b/>
        <sz val="12"/>
        <color theme="1"/>
        <rFont val="Calibri"/>
        <family val="2"/>
        <scheme val="minor"/>
      </rPr>
      <t xml:space="preserve">3. </t>
    </r>
    <r>
      <rPr>
        <sz val="12"/>
        <color theme="1"/>
        <rFont val="Calibri"/>
        <family val="2"/>
        <scheme val="minor"/>
      </rPr>
      <t xml:space="preserve">we assume for all joints, a 30deg angle to calculate the Rotscher Pressure Cone
</t>
    </r>
    <r>
      <rPr>
        <b/>
        <sz val="12"/>
        <color rgb="FFFF0000"/>
        <rFont val="Calibri (Body)"/>
      </rPr>
      <t>For most materials, this assumption is GOOD ESTIMATE. For applications where detailed knowledge of the member stiffness and stress is required (like when a low safety factor is needed), consider seraching up the actual Rotscher angle that varies based on material.</t>
    </r>
    <r>
      <rPr>
        <sz val="12"/>
        <color theme="1"/>
        <rFont val="Calibri"/>
        <family val="2"/>
        <scheme val="minor"/>
      </rPr>
      <t xml:space="preserve">
</t>
    </r>
    <r>
      <rPr>
        <b/>
        <sz val="12"/>
        <color theme="1"/>
        <rFont val="Calibri"/>
        <family val="2"/>
        <scheme val="minor"/>
      </rPr>
      <t xml:space="preserve">4. </t>
    </r>
    <r>
      <rPr>
        <sz val="12"/>
        <color theme="1"/>
        <rFont val="Calibri"/>
        <family val="2"/>
        <scheme val="minor"/>
      </rPr>
      <t xml:space="preserve">we estimate the strenght and stiffness of the threaded portion by using the </t>
    </r>
    <r>
      <rPr>
        <u/>
        <sz val="12"/>
        <color theme="1"/>
        <rFont val="Calibri (Body)"/>
      </rPr>
      <t>PITCH DIAMETER</t>
    </r>
    <r>
      <rPr>
        <sz val="12"/>
        <color theme="1"/>
        <rFont val="Calibri (Body)"/>
      </rPr>
      <t xml:space="preserve"> as the characteristic diameter
</t>
    </r>
    <r>
      <rPr>
        <b/>
        <sz val="12"/>
        <color rgb="FFFF0000"/>
        <rFont val="Calibri (Body)"/>
      </rPr>
      <t>This is a fairly accurate estimate of the stiffness of the threaded portion, it's hard to say if it's an over or underestimate.</t>
    </r>
  </si>
  <si>
    <r>
      <rPr>
        <b/>
        <sz val="12"/>
        <color theme="1"/>
        <rFont val="Calibri"/>
        <family val="2"/>
        <scheme val="minor"/>
      </rPr>
      <t>· WHEN SIZING WASHERS</t>
    </r>
    <r>
      <rPr>
        <sz val="12"/>
        <color theme="1"/>
        <rFont val="Calibri"/>
        <family val="2"/>
        <scheme val="minor"/>
      </rPr>
      <t xml:space="preserve"> — remember that </t>
    </r>
    <r>
      <rPr>
        <u/>
        <sz val="12"/>
        <color theme="1"/>
        <rFont val="Calibri (Body)"/>
      </rPr>
      <t>St. Venant's Principal</t>
    </r>
    <r>
      <rPr>
        <sz val="12"/>
        <color theme="1"/>
        <rFont val="Calibri"/>
        <family val="2"/>
        <scheme val="minor"/>
      </rPr>
      <t xml:space="preserve"> applies, washers 3-5x the diameter of the bolt head are usually useful, any larger the bolted joint does not see an appreciably larger stress cone.
</t>
    </r>
    <r>
      <rPr>
        <b/>
        <sz val="12"/>
        <color theme="1"/>
        <rFont val="Calibri"/>
        <family val="2"/>
        <scheme val="minor"/>
      </rPr>
      <t>· Ask yourself when this calculator is VALID, note that for super long bolts, material may not exist in all parts of the stress cone and this calculator is no longer valid for those cases.</t>
    </r>
    <r>
      <rPr>
        <sz val="12"/>
        <color theme="1"/>
        <rFont val="Calibri"/>
        <family val="2"/>
        <scheme val="minor"/>
      </rPr>
      <t xml:space="preserve">
</t>
    </r>
    <r>
      <rPr>
        <b/>
        <sz val="12"/>
        <color theme="1"/>
        <rFont val="Calibri"/>
        <family val="2"/>
        <scheme val="minor"/>
      </rPr>
      <t xml:space="preserve">· </t>
    </r>
    <r>
      <rPr>
        <sz val="12"/>
        <color theme="1"/>
        <rFont val="Calibri"/>
        <family val="2"/>
        <scheme val="minor"/>
      </rPr>
      <t xml:space="preserve">NOTE, </t>
    </r>
    <r>
      <rPr>
        <u/>
        <sz val="12"/>
        <color theme="1"/>
        <rFont val="Calibri (Body)"/>
      </rPr>
      <t>all dimensional inputs are in mm or m</t>
    </r>
    <r>
      <rPr>
        <sz val="12"/>
        <color theme="1"/>
        <rFont val="Calibri"/>
        <family val="2"/>
        <scheme val="minor"/>
      </rPr>
      <t xml:space="preserve"> to make it easier for the calculator, please do quick conversion for bolts like 1/4-20 or similar.
</t>
    </r>
    <r>
      <rPr>
        <b/>
        <sz val="12"/>
        <color theme="1"/>
        <rFont val="Calibri"/>
        <family val="2"/>
        <scheme val="minor"/>
      </rPr>
      <t>·</t>
    </r>
    <r>
      <rPr>
        <sz val="12"/>
        <color theme="1"/>
        <rFont val="Calibri"/>
        <family val="2"/>
        <scheme val="minor"/>
      </rPr>
      <t xml:space="preserve"> </t>
    </r>
    <r>
      <rPr>
        <b/>
        <sz val="12"/>
        <color theme="1"/>
        <rFont val="Calibri"/>
        <family val="2"/>
        <scheme val="minor"/>
      </rPr>
      <t xml:space="preserve">NOTE THAT ALL DIMENSIONAL INPUTS ARE BEFORE ANY DEFORMATION CAUSED BY LOADING OR PRELOAD 
</t>
    </r>
    <r>
      <rPr>
        <b/>
        <sz val="12"/>
        <color rgb="FFFF0000"/>
        <rFont val="Calibri (Body)"/>
      </rPr>
      <t xml:space="preserve">IN GENERAL WHEN DESIGNING BOLTED JOINTS, commons mistakes include mis-interpreting the dimensions required for calculations. </t>
    </r>
    <r>
      <rPr>
        <b/>
        <u/>
        <sz val="12"/>
        <color rgb="FFFF0000"/>
        <rFont val="Calibri (Body)"/>
      </rPr>
      <t>We reccomend reading Shigley's Chapter 8 on bolted joints before "designing" with this calculator</t>
    </r>
    <r>
      <rPr>
        <b/>
        <sz val="12"/>
        <color rgb="FFFF0000"/>
        <rFont val="Calibri (Body)"/>
      </rPr>
      <t xml:space="preserve"> because this calculator isn't a substitute for engineering knowledge. We reccomend starting with lower bolt grades and then increasing as needed to counter high stresses in the bolt, or increases in the required preload. </t>
    </r>
    <r>
      <rPr>
        <b/>
        <u/>
        <sz val="12"/>
        <color rgb="FFFF0000"/>
        <rFont val="Calibri (Body)"/>
      </rPr>
      <t>NOTE THAT THE MOST COMMON FAILURE OF BOLTED JOINTS IS OVER-TIGHTENING THE SCREW, we RECCOMEND THE DISPLACEMENT METHOD FOR SCREW PRELOADING WITH A LUBRICATED SCREW AND A SET ROTATIONAL ANGLE FOR PRELOAD. FINALLY, PLEASE NOTE THAT WASHERS HAVE A DIRECTION.</t>
    </r>
    <r>
      <rPr>
        <sz val="12"/>
        <color theme="1"/>
        <rFont val="Calibri"/>
        <family val="2"/>
        <scheme val="minor"/>
      </rPr>
      <t xml:space="preserve">
</t>
    </r>
    <r>
      <rPr>
        <b/>
        <sz val="12"/>
        <color rgb="FFFF0000"/>
        <rFont val="Calibri (Body)"/>
      </rPr>
      <t>A "bolt preload method reccomendations" guide and a "washer installation guide" will be uploaded to the EVT website.</t>
    </r>
  </si>
  <si>
    <r>
      <t>Welcome to Ghost Rider Tim's Bolted Joint Calculator for Aluminum, Titanium, and Steel in SI units! This calculator is provided for free from the MIT Electric Vehicle Team (Licence to Fab), for you to use! Check out the tabs at the bottom + the references for more info!
Please note this calculator is provided open-source so if you see something wrong, please tell us so we can fix it (</t>
    </r>
    <r>
      <rPr>
        <u/>
        <sz val="12"/>
        <color theme="1"/>
        <rFont val="Calibri (Body)"/>
      </rPr>
      <t>adim@mit.edu</t>
    </r>
    <r>
      <rPr>
        <sz val="12"/>
        <color theme="1"/>
        <rFont val="Calibri"/>
        <family val="2"/>
        <scheme val="minor"/>
      </rPr>
      <t>)!</t>
    </r>
  </si>
  <si>
    <r>
      <t xml:space="preserve">REVISION HISTORY
</t>
    </r>
    <r>
      <rPr>
        <sz val="12"/>
        <color theme="1"/>
        <rFont val="Calibri"/>
        <family val="2"/>
        <scheme val="minor"/>
      </rPr>
      <t>v1.1—Axial stiffness, SAE/ASTM/Metric Grades, lateral stiffness, with PRELOAD as an INPUT</t>
    </r>
    <r>
      <rPr>
        <b/>
        <sz val="12"/>
        <color theme="1"/>
        <rFont val="Calibri"/>
        <family val="2"/>
        <scheme val="minor"/>
      </rPr>
      <t xml:space="preserve">, </t>
    </r>
    <r>
      <rPr>
        <u/>
        <sz val="12"/>
        <color theme="1"/>
        <rFont val="Calibri (Body)"/>
      </rPr>
      <t>both washer/nut, and TAPPED</t>
    </r>
    <r>
      <rPr>
        <sz val="12"/>
        <color theme="1"/>
        <rFont val="Calibri"/>
        <family val="2"/>
        <scheme val="minor"/>
      </rPr>
      <t xml:space="preserve">, loading diagram, and guide on washer installation!
</t>
    </r>
    <r>
      <rPr>
        <i/>
        <sz val="12"/>
        <color theme="1"/>
        <rFont val="Calibri"/>
        <family val="2"/>
        <scheme val="minor"/>
      </rPr>
      <t>VERIFIED @ v1.1 Stage Using Hand-Calculations</t>
    </r>
    <r>
      <rPr>
        <sz val="12"/>
        <color theme="1"/>
        <rFont val="Calibri"/>
        <family val="2"/>
        <scheme val="minor"/>
      </rPr>
      <t xml:space="preserve">
</t>
    </r>
    <r>
      <rPr>
        <b/>
        <i/>
        <sz val="12"/>
        <color rgb="FFFF0000"/>
        <rFont val="Calibri (Body)"/>
      </rPr>
      <t xml:space="preserve">coming in </t>
    </r>
    <r>
      <rPr>
        <i/>
        <sz val="12"/>
        <color rgb="FFFF0000"/>
        <rFont val="Calibri (Body)"/>
      </rPr>
      <t>v1.2</t>
    </r>
    <r>
      <rPr>
        <sz val="12"/>
        <color theme="1"/>
        <rFont val="Calibri"/>
        <family val="2"/>
        <scheme val="minor"/>
      </rPr>
      <t xml:space="preserve">—stresses in members, and estimated thread stresses, notes on assumptions and how to deal with them, better material selectors/grade selectors, list of common problems to look out for in design, MMPDS material properties
</t>
    </r>
    <r>
      <rPr>
        <b/>
        <i/>
        <sz val="12"/>
        <color rgb="FFFF0000"/>
        <rFont val="Calibri (Body)"/>
      </rPr>
      <t>coming in v1.2—</t>
    </r>
    <r>
      <rPr>
        <sz val="12"/>
        <color theme="1"/>
        <rFont val="Calibri"/>
        <family val="2"/>
        <scheme val="minor"/>
      </rPr>
      <t>FEA verification of bolted joint stresses and stiffnesses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</si>
</sst>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7"/>
      <color theme="1"/>
      <name val="Calibri"/>
      <family val="2"/>
      <scheme val="minor"/>
    </font>
    <font>
      <u/>
      <sz val="12"/>
      <color theme="10"/>
      <name val="Calibri"/>
      <family val="2"/>
      <scheme val="minor"/>
    </font>
    <font>
      <b/>
      <sz val="12"/>
      <color rgb="FFFF0000"/>
      <name val="Calibri (Body)"/>
    </font>
    <font>
      <b/>
      <sz val="12"/>
      <color rgb="FF000000"/>
      <name val="Calibri"/>
      <family val="2"/>
      <scheme val="minor"/>
    </font>
    <font>
      <b/>
      <i/>
      <sz val="12"/>
      <color rgb="FF7F7F7F"/>
      <name val="Calibri"/>
      <family val="2"/>
      <scheme val="minor"/>
    </font>
    <font>
      <b/>
      <i/>
      <u/>
      <sz val="12"/>
      <color rgb="FF7F7F7F"/>
      <name val="Calibri (Body)"/>
    </font>
    <font>
      <i/>
      <u/>
      <sz val="12"/>
      <color rgb="FF7F7F7F"/>
      <name val="Calibri (Body)"/>
    </font>
    <font>
      <i/>
      <sz val="12"/>
      <color rgb="FF7F7F7F"/>
      <name val="Calibri (Body)"/>
    </font>
    <font>
      <u/>
      <sz val="12"/>
      <color theme="1"/>
      <name val="Calibri (Body)"/>
    </font>
    <font>
      <sz val="8"/>
      <color theme="1"/>
      <name val="Calibri"/>
      <family val="2"/>
      <scheme val="minor"/>
    </font>
    <font>
      <b/>
      <sz val="27"/>
      <color rgb="FFFF0000"/>
      <name val="Calibri (Body)"/>
    </font>
    <font>
      <b/>
      <sz val="12"/>
      <color rgb="FFFF0000"/>
      <name val="Calibri"/>
      <family val="2"/>
      <scheme val="minor"/>
    </font>
    <font>
      <sz val="12"/>
      <color theme="1"/>
      <name val="Calibri (Body)"/>
    </font>
    <font>
      <sz val="12"/>
      <color rgb="FF000000"/>
      <name val="Calibri"/>
      <family val="2"/>
      <scheme val="minor"/>
    </font>
    <font>
      <b/>
      <sz val="12"/>
      <color rgb="FFFFFFFF"/>
      <name val="Calibri"/>
      <family val="2"/>
      <scheme val="minor"/>
    </font>
    <font>
      <sz val="12"/>
      <color rgb="FF7F7F7F"/>
      <name val="Calibri"/>
      <family val="2"/>
      <scheme val="minor"/>
    </font>
    <font>
      <u/>
      <sz val="12"/>
      <color rgb="FF7F7F7F"/>
      <name val="Calibri (Body)"/>
    </font>
    <font>
      <i/>
      <sz val="12"/>
      <color theme="1"/>
      <name val="Calibri"/>
      <family val="2"/>
      <scheme val="minor"/>
    </font>
    <font>
      <b/>
      <i/>
      <sz val="12"/>
      <color rgb="FFFF0000"/>
      <name val="Calibri"/>
      <family val="2"/>
      <scheme val="minor"/>
    </font>
    <font>
      <b/>
      <sz val="27"/>
      <color rgb="FF000000"/>
      <name val="Calibri"/>
      <family val="2"/>
      <scheme val="minor"/>
    </font>
    <font>
      <b/>
      <i/>
      <sz val="12"/>
      <color rgb="FFFF0000"/>
      <name val="Calibri (Body)"/>
    </font>
    <font>
      <i/>
      <sz val="12"/>
      <color rgb="FFFF0000"/>
      <name val="Calibri (Body)"/>
    </font>
    <font>
      <b/>
      <u/>
      <sz val="12"/>
      <color rgb="FFFF0000"/>
      <name val="Calibri (Body)"/>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7"/>
      </patternFill>
    </fill>
    <fill>
      <patternFill patternType="solid">
        <fgColor rgb="FFFFCC99"/>
        <bgColor rgb="FF000000"/>
      </patternFill>
    </fill>
    <fill>
      <patternFill patternType="solid">
        <fgColor rgb="FFFFC000"/>
        <bgColor rgb="FF000000"/>
      </patternFill>
    </fill>
  </fills>
  <borders count="7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top style="thin">
        <color indexed="64"/>
      </top>
      <bottom style="thin">
        <color indexed="64"/>
      </bottom>
      <diagonal/>
    </border>
    <border>
      <left/>
      <right/>
      <top style="thin">
        <color rgb="FF7F7F7F"/>
      </top>
      <bottom style="thin">
        <color rgb="FF7F7F7F"/>
      </bottom>
      <diagonal/>
    </border>
    <border>
      <left/>
      <right style="thin">
        <color rgb="FF3F3F3F"/>
      </right>
      <top style="thin">
        <color rgb="FF7F7F7F"/>
      </top>
      <bottom style="thin">
        <color rgb="FF7F7F7F"/>
      </bottom>
      <diagonal/>
    </border>
    <border>
      <left style="thin">
        <color rgb="FF7030A0"/>
      </left>
      <right/>
      <top style="thin">
        <color rgb="FF7030A0"/>
      </top>
      <bottom/>
      <diagonal/>
    </border>
    <border>
      <left/>
      <right/>
      <top style="thin">
        <color rgb="FF7030A0"/>
      </top>
      <bottom/>
      <diagonal/>
    </border>
    <border>
      <left/>
      <right style="thin">
        <color rgb="FF7030A0"/>
      </right>
      <top style="thin">
        <color rgb="FF7030A0"/>
      </top>
      <bottom/>
      <diagonal/>
    </border>
    <border>
      <left style="thin">
        <color rgb="FF7030A0"/>
      </left>
      <right/>
      <top/>
      <bottom/>
      <diagonal/>
    </border>
    <border>
      <left/>
      <right style="thin">
        <color rgb="FF7030A0"/>
      </right>
      <top/>
      <bottom/>
      <diagonal/>
    </border>
    <border>
      <left style="thin">
        <color rgb="FF7030A0"/>
      </left>
      <right/>
      <top/>
      <bottom style="thin">
        <color rgb="FF7030A0"/>
      </bottom>
      <diagonal/>
    </border>
    <border>
      <left/>
      <right/>
      <top/>
      <bottom style="thin">
        <color rgb="FF7030A0"/>
      </bottom>
      <diagonal/>
    </border>
    <border>
      <left/>
      <right style="thin">
        <color rgb="FF7030A0"/>
      </right>
      <top/>
      <bottom style="thin">
        <color rgb="FF7030A0"/>
      </bottom>
      <diagonal/>
    </border>
    <border>
      <left/>
      <right/>
      <top/>
      <bottom style="thin">
        <color theme="1"/>
      </bottom>
      <diagonal/>
    </border>
    <border>
      <left/>
      <right style="thin">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rgb="FF7F7F7F"/>
      </left>
      <right style="thin">
        <color rgb="FF7F7F7F"/>
      </right>
      <top/>
      <bottom style="thin">
        <color rgb="FF7F7F7F"/>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rgb="FF7F7F7F"/>
      </right>
      <top style="thin">
        <color theme="1"/>
      </top>
      <bottom style="thin">
        <color theme="1"/>
      </bottom>
      <diagonal/>
    </border>
    <border>
      <left style="thin">
        <color rgb="FF7F7F7F"/>
      </left>
      <right style="thin">
        <color theme="1"/>
      </right>
      <top style="thin">
        <color theme="1"/>
      </top>
      <bottom style="thin">
        <color theme="1"/>
      </bottom>
      <diagonal/>
    </border>
    <border>
      <left style="thin">
        <color rgb="FF3F3F3F"/>
      </left>
      <right style="thin">
        <color rgb="FF3F3F3F"/>
      </right>
      <top/>
      <bottom style="thin">
        <color rgb="FF3F3F3F"/>
      </bottom>
      <diagonal/>
    </border>
    <border>
      <left style="thin">
        <color rgb="FF7F7F7F"/>
      </left>
      <right/>
      <top/>
      <bottom style="thin">
        <color rgb="FF7F7F7F"/>
      </bottom>
      <diagonal/>
    </border>
    <border>
      <left/>
      <right style="thin">
        <color rgb="FF3F3F3F"/>
      </right>
      <top/>
      <bottom style="thin">
        <color rgb="FF3F3F3F"/>
      </bottom>
      <diagonal/>
    </border>
    <border>
      <left/>
      <right/>
      <top style="thin">
        <color rgb="FF3F3F3F"/>
      </top>
      <bottom style="thin">
        <color rgb="FF3F3F3F"/>
      </bottom>
      <diagonal/>
    </border>
    <border>
      <left/>
      <right style="medium">
        <color rgb="FF000000"/>
      </right>
      <top style="medium">
        <color indexed="64"/>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indexed="64"/>
      </right>
      <top/>
      <bottom style="medium">
        <color rgb="FF000000"/>
      </bottom>
      <diagonal/>
    </border>
    <border>
      <left style="thin">
        <color theme="1"/>
      </left>
      <right/>
      <top/>
      <bottom/>
      <diagonal/>
    </border>
    <border>
      <left/>
      <right/>
      <top style="thin">
        <color rgb="FF3F3F3F"/>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7" fillId="6" borderId="1" applyNumberFormat="0" applyAlignment="0" applyProtection="0"/>
    <xf numFmtId="0" fontId="8" fillId="0" borderId="3" applyNumberFormat="0" applyFill="0" applyAlignment="0" applyProtection="0"/>
    <xf numFmtId="0" fontId="1" fillId="7" borderId="4" applyNumberFormat="0" applyFont="0" applyAlignment="0" applyProtection="0"/>
    <xf numFmtId="0" fontId="11" fillId="0" borderId="0" applyNumberFormat="0" applyFill="0" applyBorder="0" applyAlignment="0" applyProtection="0"/>
    <xf numFmtId="0" fontId="13" fillId="8" borderId="0" applyNumberFormat="0" applyBorder="0" applyAlignment="0" applyProtection="0"/>
    <xf numFmtId="0" fontId="15" fillId="0" borderId="0" applyNumberFormat="0" applyFill="0" applyBorder="0" applyAlignment="0" applyProtection="0"/>
  </cellStyleXfs>
  <cellXfs count="214">
    <xf numFmtId="0" fontId="0" fillId="0" borderId="0" xfId="0"/>
    <xf numFmtId="0" fontId="6" fillId="6" borderId="2" xfId="5"/>
    <xf numFmtId="0" fontId="0" fillId="0" borderId="0" xfId="0" applyAlignment="1">
      <alignment vertical="top" wrapText="1"/>
    </xf>
    <xf numFmtId="0" fontId="12" fillId="0" borderId="0" xfId="0" applyFont="1" applyAlignment="1">
      <alignment vertical="top"/>
    </xf>
    <xf numFmtId="0" fontId="12" fillId="0" borderId="0" xfId="0" applyFont="1"/>
    <xf numFmtId="0" fontId="14" fillId="0" borderId="0" xfId="0" applyFont="1" applyAlignment="1">
      <alignment vertical="center"/>
    </xf>
    <xf numFmtId="0" fontId="5" fillId="5" borderId="19" xfId="4" applyBorder="1"/>
    <xf numFmtId="0" fontId="23" fillId="0" borderId="0" xfId="0" applyFont="1" applyAlignment="1">
      <alignment vertical="top"/>
    </xf>
    <xf numFmtId="0" fontId="12" fillId="0" borderId="0" xfId="0" applyFont="1" applyAlignment="1">
      <alignment vertical="top" wrapText="1"/>
    </xf>
    <xf numFmtId="0" fontId="25" fillId="0" borderId="0" xfId="0" applyFont="1" applyAlignment="1">
      <alignment vertical="top" wrapText="1"/>
    </xf>
    <xf numFmtId="0" fontId="10" fillId="0" borderId="0" xfId="0" applyFont="1" applyAlignment="1">
      <alignment vertical="top" wrapText="1"/>
    </xf>
    <xf numFmtId="11" fontId="0" fillId="0" borderId="0" xfId="0" applyNumberFormat="1"/>
    <xf numFmtId="11" fontId="0" fillId="0" borderId="0" xfId="0" applyNumberFormat="1" applyAlignment="1">
      <alignment vertical="top" wrapText="1"/>
    </xf>
    <xf numFmtId="11" fontId="12" fillId="0" borderId="0" xfId="0" applyNumberFormat="1" applyFont="1"/>
    <xf numFmtId="0" fontId="8" fillId="0" borderId="3" xfId="7" applyFill="1"/>
    <xf numFmtId="11" fontId="8" fillId="0" borderId="3" xfId="7" applyNumberFormat="1" applyFill="1"/>
    <xf numFmtId="2" fontId="5" fillId="5" borderId="19" xfId="4" applyNumberFormat="1" applyBorder="1"/>
    <xf numFmtId="2" fontId="5" fillId="9" borderId="19" xfId="0" applyNumberFormat="1" applyFont="1" applyFill="1" applyBorder="1"/>
    <xf numFmtId="0" fontId="8" fillId="0" borderId="3" xfId="7"/>
    <xf numFmtId="11" fontId="8" fillId="0" borderId="3" xfId="7" applyNumberFormat="1"/>
    <xf numFmtId="0" fontId="7" fillId="0" borderId="3" xfId="7" applyFont="1"/>
    <xf numFmtId="11" fontId="6" fillId="6" borderId="2" xfId="5" applyNumberFormat="1"/>
    <xf numFmtId="0" fontId="12" fillId="0" borderId="5" xfId="0" applyFont="1" applyBorder="1"/>
    <xf numFmtId="2" fontId="5" fillId="5" borderId="41" xfId="4" applyNumberFormat="1" applyBorder="1"/>
    <xf numFmtId="0" fontId="5" fillId="5" borderId="19" xfId="4" applyNumberFormat="1" applyBorder="1"/>
    <xf numFmtId="0" fontId="5" fillId="9" borderId="19" xfId="0" applyFont="1" applyFill="1" applyBorder="1"/>
    <xf numFmtId="0" fontId="27" fillId="0" borderId="0" xfId="0" applyFont="1" applyAlignment="1">
      <alignment vertical="top" wrapText="1"/>
    </xf>
    <xf numFmtId="11" fontId="4" fillId="4" borderId="0" xfId="3" applyNumberFormat="1"/>
    <xf numFmtId="11" fontId="4" fillId="4" borderId="2" xfId="3" applyNumberFormat="1" applyBorder="1"/>
    <xf numFmtId="0" fontId="11" fillId="0" borderId="0" xfId="9" applyBorder="1" applyAlignment="1">
      <alignment vertical="top" wrapText="1"/>
    </xf>
    <xf numFmtId="0" fontId="5" fillId="5" borderId="41" xfId="4" applyNumberFormat="1" applyBorder="1"/>
    <xf numFmtId="11" fontId="2" fillId="2" borderId="2" xfId="1" applyNumberFormat="1" applyBorder="1"/>
    <xf numFmtId="2" fontId="2" fillId="2" borderId="2" xfId="1" applyNumberFormat="1" applyBorder="1"/>
    <xf numFmtId="11" fontId="6" fillId="6" borderId="21" xfId="5" applyNumberFormat="1" applyBorder="1"/>
    <xf numFmtId="11" fontId="4" fillId="4" borderId="67" xfId="3" applyNumberFormat="1" applyBorder="1"/>
    <xf numFmtId="11" fontId="2" fillId="2" borderId="21" xfId="1" applyNumberFormat="1" applyBorder="1"/>
    <xf numFmtId="11" fontId="4" fillId="4" borderId="21" xfId="3" applyNumberFormat="1" applyBorder="1"/>
    <xf numFmtId="11" fontId="6" fillId="6" borderId="69" xfId="5" applyNumberFormat="1" applyBorder="1"/>
    <xf numFmtId="11" fontId="2" fillId="2" borderId="56" xfId="1" applyNumberFormat="1" applyBorder="1"/>
    <xf numFmtId="11" fontId="2" fillId="2" borderId="70" xfId="1" applyNumberFormat="1" applyBorder="1"/>
    <xf numFmtId="0" fontId="11" fillId="0" borderId="56" xfId="9" applyBorder="1" applyAlignment="1"/>
    <xf numFmtId="0" fontId="32" fillId="0" borderId="0" xfId="0" applyFont="1"/>
    <xf numFmtId="2" fontId="0" fillId="0" borderId="0" xfId="0" applyNumberFormat="1"/>
    <xf numFmtId="0" fontId="32" fillId="0" borderId="56" xfId="9" applyFont="1" applyBorder="1" applyAlignment="1"/>
    <xf numFmtId="2" fontId="2" fillId="2" borderId="77" xfId="1" applyNumberFormat="1" applyBorder="1"/>
    <xf numFmtId="2" fontId="2" fillId="2" borderId="56" xfId="1" applyNumberFormat="1" applyBorder="1"/>
    <xf numFmtId="11" fontId="32" fillId="0" borderId="0" xfId="0" applyNumberFormat="1" applyFont="1"/>
    <xf numFmtId="0" fontId="11" fillId="0" borderId="24" xfId="9" applyBorder="1" applyAlignment="1"/>
    <xf numFmtId="0" fontId="11" fillId="0" borderId="25" xfId="9" applyBorder="1" applyAlignment="1"/>
    <xf numFmtId="0" fontId="7" fillId="6" borderId="65" xfId="6" applyBorder="1" applyAlignment="1">
      <alignment horizontal="left"/>
    </xf>
    <xf numFmtId="0" fontId="7" fillId="6" borderId="66" xfId="6" applyBorder="1" applyAlignment="1">
      <alignment horizontal="left"/>
    </xf>
    <xf numFmtId="0" fontId="11" fillId="0" borderId="60" xfId="9" applyBorder="1" applyAlignment="1">
      <alignment horizontal="left" wrapText="1"/>
    </xf>
    <xf numFmtId="0" fontId="11" fillId="0" borderId="62" xfId="9" applyBorder="1" applyAlignment="1">
      <alignment horizontal="left" wrapText="1"/>
    </xf>
    <xf numFmtId="0" fontId="11" fillId="0" borderId="63" xfId="9" applyBorder="1" applyAlignment="1">
      <alignment horizontal="left" wrapText="1"/>
    </xf>
    <xf numFmtId="0" fontId="11" fillId="0" borderId="64" xfId="9" applyBorder="1" applyAlignment="1">
      <alignment horizontal="left" wrapText="1"/>
    </xf>
    <xf numFmtId="0" fontId="11" fillId="0" borderId="57" xfId="9" applyBorder="1" applyAlignment="1">
      <alignment horizontal="left"/>
    </xf>
    <xf numFmtId="0" fontId="11" fillId="0" borderId="58" xfId="9" applyBorder="1" applyAlignment="1">
      <alignment horizontal="left"/>
    </xf>
    <xf numFmtId="0" fontId="28" fillId="10" borderId="14" xfId="0" applyFont="1" applyFill="1" applyBorder="1" applyAlignment="1">
      <alignment horizontal="left"/>
    </xf>
    <xf numFmtId="0" fontId="28" fillId="10" borderId="17" xfId="0" applyFont="1" applyFill="1" applyBorder="1" applyAlignment="1">
      <alignment horizontal="left"/>
    </xf>
    <xf numFmtId="0" fontId="33" fillId="0" borderId="6" xfId="0" applyFont="1" applyBorder="1" applyAlignment="1">
      <alignment horizontal="left"/>
    </xf>
    <xf numFmtId="0" fontId="33" fillId="0" borderId="7" xfId="0" applyFont="1" applyBorder="1" applyAlignment="1">
      <alignment horizontal="left"/>
    </xf>
    <xf numFmtId="0" fontId="33" fillId="0" borderId="71" xfId="0" applyFont="1" applyBorder="1" applyAlignment="1">
      <alignment horizontal="left"/>
    </xf>
    <xf numFmtId="0" fontId="33" fillId="0" borderId="72" xfId="0" applyFont="1" applyBorder="1" applyAlignment="1">
      <alignment horizontal="left"/>
    </xf>
    <xf numFmtId="0" fontId="33" fillId="0" borderId="73" xfId="0" applyFont="1" applyBorder="1" applyAlignment="1">
      <alignment horizontal="left"/>
    </xf>
    <xf numFmtId="0" fontId="33" fillId="0" borderId="74" xfId="0" applyFont="1" applyBorder="1" applyAlignment="1">
      <alignment horizontal="left"/>
    </xf>
    <xf numFmtId="0" fontId="9" fillId="8" borderId="14" xfId="10" applyFont="1" applyBorder="1" applyAlignment="1">
      <alignment horizontal="left"/>
    </xf>
    <xf numFmtId="0" fontId="9" fillId="8" borderId="16" xfId="10" applyFont="1" applyBorder="1" applyAlignment="1">
      <alignment horizontal="left"/>
    </xf>
    <xf numFmtId="0" fontId="7" fillId="6" borderId="1" xfId="6" applyAlignment="1">
      <alignment horizontal="left"/>
    </xf>
    <xf numFmtId="0" fontId="11" fillId="0" borderId="60" xfId="9" applyBorder="1" applyAlignment="1">
      <alignment horizontal="left" vertical="top" wrapText="1"/>
    </xf>
    <xf numFmtId="0" fontId="11" fillId="0" borderId="61" xfId="9" applyBorder="1" applyAlignment="1">
      <alignment horizontal="left" vertical="top" wrapText="1"/>
    </xf>
    <xf numFmtId="0" fontId="11" fillId="0" borderId="62" xfId="9" applyBorder="1" applyAlignment="1">
      <alignment horizontal="left" vertical="top" wrapText="1"/>
    </xf>
    <xf numFmtId="0" fontId="11" fillId="0" borderId="63" xfId="9" applyBorder="1" applyAlignment="1">
      <alignment horizontal="left" vertical="top" wrapText="1"/>
    </xf>
    <xf numFmtId="0" fontId="11" fillId="0" borderId="51" xfId="9" applyBorder="1" applyAlignment="1">
      <alignment horizontal="left" vertical="top" wrapText="1"/>
    </xf>
    <xf numFmtId="0" fontId="11" fillId="0" borderId="64" xfId="9" applyBorder="1" applyAlignment="1">
      <alignment horizontal="left" vertical="top" wrapText="1"/>
    </xf>
    <xf numFmtId="0" fontId="9" fillId="8" borderId="53" xfId="10" applyFont="1" applyBorder="1" applyAlignment="1">
      <alignment horizontal="left"/>
    </xf>
    <xf numFmtId="0" fontId="9" fillId="8" borderId="54" xfId="10" applyFont="1" applyBorder="1" applyAlignment="1">
      <alignment horizontal="left"/>
    </xf>
    <xf numFmtId="0" fontId="9" fillId="8" borderId="55" xfId="10" applyFont="1" applyBorder="1" applyAlignment="1">
      <alignment horizontal="left"/>
    </xf>
    <xf numFmtId="0" fontId="7" fillId="6" borderId="59" xfId="6" applyBorder="1" applyAlignment="1">
      <alignment horizontal="left"/>
    </xf>
    <xf numFmtId="0" fontId="7" fillId="6" borderId="68" xfId="6" applyBorder="1" applyAlignment="1">
      <alignment horizontal="left"/>
    </xf>
    <xf numFmtId="0" fontId="12" fillId="0" borderId="14" xfId="0" applyFont="1" applyBorder="1" applyAlignment="1">
      <alignment horizontal="left"/>
    </xf>
    <xf numFmtId="0" fontId="12" fillId="0" borderId="15" xfId="0" applyFont="1" applyBorder="1" applyAlignment="1">
      <alignment horizontal="left"/>
    </xf>
    <xf numFmtId="0" fontId="12" fillId="0" borderId="16" xfId="0" applyFont="1" applyBorder="1" applyAlignment="1">
      <alignment horizontal="left"/>
    </xf>
    <xf numFmtId="0" fontId="9" fillId="8" borderId="14" xfId="10" applyFont="1" applyBorder="1" applyAlignment="1">
      <alignment horizontal="center"/>
    </xf>
    <xf numFmtId="0" fontId="9" fillId="8" borderId="16" xfId="10" applyFont="1" applyBorder="1" applyAlignment="1">
      <alignment horizontal="center"/>
    </xf>
    <xf numFmtId="0" fontId="11" fillId="0" borderId="24" xfId="9" applyBorder="1" applyAlignment="1">
      <alignment horizontal="left"/>
    </xf>
    <xf numFmtId="0" fontId="11" fillId="0" borderId="25" xfId="9" applyBorder="1" applyAlignment="1">
      <alignment horizontal="left"/>
    </xf>
    <xf numFmtId="0" fontId="7" fillId="6" borderId="18" xfId="6" applyBorder="1" applyAlignment="1">
      <alignment horizontal="left"/>
    </xf>
    <xf numFmtId="0" fontId="7" fillId="6" borderId="41" xfId="6" applyBorder="1" applyAlignment="1">
      <alignment horizontal="left"/>
    </xf>
    <xf numFmtId="0" fontId="7" fillId="6" borderId="42" xfId="6" applyBorder="1" applyAlignment="1">
      <alignment horizontal="left"/>
    </xf>
    <xf numFmtId="0" fontId="8" fillId="0" borderId="3" xfId="7" applyAlignment="1">
      <alignment horizontal="center"/>
    </xf>
    <xf numFmtId="0" fontId="12" fillId="0" borderId="6" xfId="0" applyFont="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11" fillId="0" borderId="40" xfId="9" applyBorder="1" applyAlignment="1">
      <alignment horizontal="left"/>
    </xf>
    <xf numFmtId="0" fontId="21" fillId="0" borderId="26" xfId="9" applyFont="1" applyBorder="1" applyAlignment="1">
      <alignment horizontal="left" vertical="top" wrapText="1"/>
    </xf>
    <xf numFmtId="0" fontId="21" fillId="0" borderId="27" xfId="9" applyFont="1" applyBorder="1" applyAlignment="1">
      <alignment horizontal="left" vertical="top" wrapText="1"/>
    </xf>
    <xf numFmtId="0" fontId="21" fillId="0" borderId="28" xfId="9" applyFont="1" applyBorder="1" applyAlignment="1">
      <alignment horizontal="left" vertical="top" wrapText="1"/>
    </xf>
    <xf numFmtId="0" fontId="21" fillId="0" borderId="29" xfId="9" applyFont="1" applyBorder="1" applyAlignment="1">
      <alignment horizontal="left" vertical="top" wrapText="1"/>
    </xf>
    <xf numFmtId="0" fontId="21" fillId="0" borderId="0" xfId="9" applyFont="1" applyBorder="1" applyAlignment="1">
      <alignment horizontal="left" vertical="top" wrapText="1"/>
    </xf>
    <xf numFmtId="0" fontId="21" fillId="0" borderId="30" xfId="9" applyFont="1" applyBorder="1" applyAlignment="1">
      <alignment horizontal="left" vertical="top" wrapText="1"/>
    </xf>
    <xf numFmtId="0" fontId="21" fillId="0" borderId="31" xfId="9" applyFont="1" applyBorder="1" applyAlignment="1">
      <alignment horizontal="left" vertical="top" wrapText="1"/>
    </xf>
    <xf numFmtId="0" fontId="21" fillId="0" borderId="32" xfId="9" applyFont="1" applyBorder="1" applyAlignment="1">
      <alignment horizontal="left" vertical="top" wrapText="1"/>
    </xf>
    <xf numFmtId="0" fontId="21" fillId="0" borderId="33" xfId="9" applyFont="1" applyBorder="1" applyAlignment="1">
      <alignment horizontal="left" vertical="top" wrapText="1"/>
    </xf>
    <xf numFmtId="0" fontId="14" fillId="0" borderId="6" xfId="0" applyFont="1" applyBorder="1" applyAlignment="1">
      <alignment horizontal="left"/>
    </xf>
    <xf numFmtId="0" fontId="14" fillId="0" borderId="7" xfId="0" applyFont="1" applyBorder="1" applyAlignment="1">
      <alignment horizontal="left"/>
    </xf>
    <xf numFmtId="0" fontId="14" fillId="0" borderId="8" xfId="0" applyFont="1" applyBorder="1" applyAlignment="1">
      <alignment horizontal="left"/>
    </xf>
    <xf numFmtId="0" fontId="14" fillId="0" borderId="11" xfId="0" applyFont="1" applyBorder="1" applyAlignment="1">
      <alignment horizontal="left"/>
    </xf>
    <xf numFmtId="0" fontId="14" fillId="0" borderId="12" xfId="0" applyFont="1" applyBorder="1" applyAlignment="1">
      <alignment horizontal="left"/>
    </xf>
    <xf numFmtId="0" fontId="14" fillId="0" borderId="13" xfId="0" applyFont="1" applyBorder="1" applyAlignment="1">
      <alignment horizontal="left"/>
    </xf>
    <xf numFmtId="0" fontId="17" fillId="0" borderId="14" xfId="0" applyFont="1" applyBorder="1" applyAlignment="1">
      <alignment horizontal="left"/>
    </xf>
    <xf numFmtId="0" fontId="17" fillId="0" borderId="17" xfId="0" applyFont="1" applyBorder="1" applyAlignment="1">
      <alignment horizontal="left"/>
    </xf>
    <xf numFmtId="0" fontId="11" fillId="0" borderId="24" xfId="9" applyBorder="1" applyAlignment="1">
      <alignment horizontal="center"/>
    </xf>
    <xf numFmtId="0" fontId="11" fillId="0" borderId="25" xfId="9" applyBorder="1" applyAlignment="1">
      <alignment horizontal="center"/>
    </xf>
    <xf numFmtId="0" fontId="11" fillId="0" borderId="26" xfId="9" applyBorder="1" applyAlignment="1">
      <alignment horizontal="left" vertical="top" wrapText="1"/>
    </xf>
    <xf numFmtId="0" fontId="11" fillId="0" borderId="27" xfId="9" applyBorder="1" applyAlignment="1">
      <alignment horizontal="left" vertical="top"/>
    </xf>
    <xf numFmtId="0" fontId="11" fillId="0" borderId="28" xfId="9" applyBorder="1" applyAlignment="1">
      <alignment horizontal="left" vertical="top"/>
    </xf>
    <xf numFmtId="0" fontId="11" fillId="0" borderId="29" xfId="9" applyBorder="1" applyAlignment="1">
      <alignment horizontal="left" vertical="top"/>
    </xf>
    <xf numFmtId="0" fontId="11" fillId="0" borderId="0" xfId="9" applyBorder="1" applyAlignment="1">
      <alignment horizontal="left" vertical="top"/>
    </xf>
    <xf numFmtId="0" fontId="11" fillId="0" borderId="30" xfId="9" applyBorder="1" applyAlignment="1">
      <alignment horizontal="left" vertical="top"/>
    </xf>
    <xf numFmtId="0" fontId="11" fillId="0" borderId="31" xfId="9" applyBorder="1" applyAlignment="1">
      <alignment horizontal="left" vertical="top"/>
    </xf>
    <xf numFmtId="0" fontId="11" fillId="0" borderId="32" xfId="9" applyBorder="1" applyAlignment="1">
      <alignment horizontal="left" vertical="top"/>
    </xf>
    <xf numFmtId="0" fontId="11" fillId="0" borderId="33" xfId="9" applyBorder="1" applyAlignment="1">
      <alignment horizontal="left" vertical="top"/>
    </xf>
    <xf numFmtId="0" fontId="17" fillId="0" borderId="15" xfId="0" applyFont="1" applyBorder="1" applyAlignment="1">
      <alignment horizontal="left"/>
    </xf>
    <xf numFmtId="0" fontId="11" fillId="0" borderId="27" xfId="9" applyBorder="1" applyAlignment="1">
      <alignment horizontal="left" vertical="top" wrapText="1"/>
    </xf>
    <xf numFmtId="0" fontId="11" fillId="0" borderId="28" xfId="9" applyBorder="1" applyAlignment="1">
      <alignment horizontal="left" vertical="top" wrapText="1"/>
    </xf>
    <xf numFmtId="0" fontId="11" fillId="0" borderId="29" xfId="9" applyBorder="1" applyAlignment="1">
      <alignment horizontal="left" vertical="top" wrapText="1"/>
    </xf>
    <xf numFmtId="0" fontId="11" fillId="0" borderId="0" xfId="9" applyBorder="1" applyAlignment="1">
      <alignment horizontal="left" vertical="top" wrapText="1"/>
    </xf>
    <xf numFmtId="0" fontId="11" fillId="0" borderId="30" xfId="9" applyBorder="1" applyAlignment="1">
      <alignment horizontal="left" vertical="top" wrapText="1"/>
    </xf>
    <xf numFmtId="0" fontId="11" fillId="0" borderId="31" xfId="9" applyBorder="1" applyAlignment="1">
      <alignment horizontal="left" vertical="top" wrapText="1"/>
    </xf>
    <xf numFmtId="0" fontId="11" fillId="0" borderId="32" xfId="9" applyBorder="1" applyAlignment="1">
      <alignment horizontal="left" vertical="top" wrapText="1"/>
    </xf>
    <xf numFmtId="0" fontId="11" fillId="0" borderId="33" xfId="9" applyBorder="1" applyAlignment="1">
      <alignment horizontal="left" vertical="top" wrapText="1"/>
    </xf>
    <xf numFmtId="0" fontId="5" fillId="5" borderId="18" xfId="4" applyBorder="1" applyAlignment="1">
      <alignment horizontal="center"/>
    </xf>
    <xf numFmtId="0" fontId="5" fillId="5" borderId="19" xfId="4" applyBorder="1" applyAlignment="1">
      <alignment horizontal="center"/>
    </xf>
    <xf numFmtId="0" fontId="6" fillId="6" borderId="20" xfId="5" applyBorder="1" applyAlignment="1">
      <alignment horizontal="center"/>
    </xf>
    <xf numFmtId="0" fontId="6" fillId="6" borderId="21" xfId="5" applyBorder="1" applyAlignment="1">
      <alignment horizontal="center"/>
    </xf>
    <xf numFmtId="0" fontId="3" fillId="3" borderId="0" xfId="2" applyAlignment="1">
      <alignment horizontal="center"/>
    </xf>
    <xf numFmtId="0" fontId="2" fillId="2" borderId="0" xfId="1" applyAlignment="1">
      <alignment horizontal="center"/>
    </xf>
    <xf numFmtId="0" fontId="4" fillId="4" borderId="0" xfId="3" applyAlignment="1">
      <alignment horizontal="center"/>
    </xf>
    <xf numFmtId="0" fontId="7" fillId="6" borderId="18" xfId="6" applyBorder="1" applyAlignment="1">
      <alignment horizontal="center"/>
    </xf>
    <xf numFmtId="0" fontId="7" fillId="6" borderId="19" xfId="6" applyBorder="1" applyAlignment="1">
      <alignment horizontal="center"/>
    </xf>
    <xf numFmtId="0" fontId="0" fillId="7" borderId="22" xfId="8" applyFont="1" applyBorder="1" applyAlignment="1">
      <alignment horizontal="center"/>
    </xf>
    <xf numFmtId="0" fontId="0" fillId="7" borderId="23" xfId="8" applyFont="1" applyBorder="1" applyAlignment="1">
      <alignment horizontal="center"/>
    </xf>
    <xf numFmtId="0" fontId="12" fillId="0" borderId="14" xfId="0" applyFont="1" applyBorder="1" applyAlignment="1">
      <alignment horizontal="center"/>
    </xf>
    <xf numFmtId="0" fontId="12" fillId="0" borderId="16" xfId="0" applyFont="1" applyBorder="1" applyAlignment="1">
      <alignment horizontal="center"/>
    </xf>
    <xf numFmtId="0" fontId="12" fillId="7" borderId="4" xfId="8" applyFont="1" applyAlignment="1">
      <alignment horizontal="left" vertical="top" wrapText="1"/>
    </xf>
    <xf numFmtId="0" fontId="0" fillId="7" borderId="4" xfId="8" applyFont="1" applyAlignment="1">
      <alignment horizontal="left" vertical="top" wrapText="1"/>
    </xf>
    <xf numFmtId="0" fontId="15" fillId="0" borderId="14" xfId="11" applyBorder="1" applyAlignment="1">
      <alignment horizontal="left"/>
    </xf>
    <xf numFmtId="0" fontId="15" fillId="0" borderId="15" xfId="11" applyBorder="1" applyAlignment="1">
      <alignment horizontal="left"/>
    </xf>
    <xf numFmtId="0" fontId="15" fillId="0" borderId="16" xfId="1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7" borderId="22" xfId="8" applyFont="1" applyBorder="1" applyAlignment="1">
      <alignment horizontal="left" vertical="top" wrapText="1"/>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9" xfId="0" applyFont="1" applyBorder="1" applyAlignment="1">
      <alignment horizontal="center" vertical="center"/>
    </xf>
    <xf numFmtId="0" fontId="14" fillId="0" borderId="0" xfId="0" applyFont="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0" fillId="0" borderId="14" xfId="0" applyBorder="1" applyAlignment="1">
      <alignment horizontal="left"/>
    </xf>
    <xf numFmtId="0" fontId="0" fillId="0" borderId="15" xfId="0" applyBorder="1" applyAlignment="1">
      <alignment horizontal="left"/>
    </xf>
    <xf numFmtId="0" fontId="12" fillId="0" borderId="14" xfId="0" applyFont="1" applyBorder="1" applyAlignment="1">
      <alignment horizontal="left" vertical="top"/>
    </xf>
    <xf numFmtId="0" fontId="12" fillId="0" borderId="15" xfId="0" applyFont="1" applyBorder="1" applyAlignment="1">
      <alignment horizontal="left" vertical="top"/>
    </xf>
    <xf numFmtId="0" fontId="16" fillId="7" borderId="34" xfId="8" applyFont="1" applyBorder="1" applyAlignment="1">
      <alignment horizontal="left" wrapText="1"/>
    </xf>
    <xf numFmtId="0" fontId="0" fillId="7" borderId="35" xfId="8" applyFont="1" applyBorder="1" applyAlignment="1">
      <alignment horizontal="left" wrapText="1"/>
    </xf>
    <xf numFmtId="0" fontId="0" fillId="7" borderId="36" xfId="8" applyFont="1" applyBorder="1" applyAlignment="1">
      <alignment horizontal="left" wrapText="1"/>
    </xf>
    <xf numFmtId="0" fontId="0" fillId="7" borderId="37" xfId="8" applyFont="1" applyBorder="1" applyAlignment="1">
      <alignment horizontal="left" wrapText="1"/>
    </xf>
    <xf numFmtId="0" fontId="0" fillId="7" borderId="38" xfId="8" applyFont="1" applyBorder="1" applyAlignment="1">
      <alignment horizontal="left" wrapText="1"/>
    </xf>
    <xf numFmtId="0" fontId="0" fillId="7" borderId="39" xfId="8" applyFont="1" applyBorder="1" applyAlignment="1">
      <alignment horizontal="left" wrapText="1"/>
    </xf>
    <xf numFmtId="0" fontId="7" fillId="0" borderId="3" xfId="7" applyFont="1" applyAlignment="1">
      <alignment horizontal="left"/>
    </xf>
    <xf numFmtId="0" fontId="7" fillId="0" borderId="3" xfId="7" applyFont="1" applyFill="1" applyAlignment="1">
      <alignment horizontal="left"/>
    </xf>
    <xf numFmtId="0" fontId="18" fillId="0" borderId="43" xfId="9" applyFont="1" applyBorder="1" applyAlignment="1">
      <alignment horizontal="left" vertical="top" wrapText="1"/>
    </xf>
    <xf numFmtId="0" fontId="11" fillId="0" borderId="44" xfId="9" applyBorder="1" applyAlignment="1">
      <alignment horizontal="left" vertical="top"/>
    </xf>
    <xf numFmtId="0" fontId="11" fillId="0" borderId="45" xfId="9" applyBorder="1" applyAlignment="1">
      <alignment horizontal="left" vertical="top"/>
    </xf>
    <xf numFmtId="0" fontId="11" fillId="0" borderId="46" xfId="9" applyBorder="1" applyAlignment="1">
      <alignment horizontal="left" vertical="top"/>
    </xf>
    <xf numFmtId="0" fontId="11" fillId="0" borderId="47" xfId="9" applyBorder="1" applyAlignment="1">
      <alignment horizontal="left" vertical="top"/>
    </xf>
    <xf numFmtId="0" fontId="11" fillId="0" borderId="48" xfId="9" applyBorder="1" applyAlignment="1">
      <alignment horizontal="left" vertical="top"/>
    </xf>
    <xf numFmtId="0" fontId="11" fillId="0" borderId="49" xfId="9" applyBorder="1" applyAlignment="1">
      <alignment horizontal="left" vertical="top"/>
    </xf>
    <xf numFmtId="0" fontId="11" fillId="0" borderId="50" xfId="9" applyBorder="1" applyAlignment="1">
      <alignment horizontal="left" vertical="top"/>
    </xf>
    <xf numFmtId="0" fontId="18" fillId="0" borderId="26" xfId="9" applyFont="1" applyBorder="1" applyAlignment="1">
      <alignment horizontal="left" vertical="top" wrapText="1"/>
    </xf>
    <xf numFmtId="0" fontId="18" fillId="0" borderId="27" xfId="9" applyFont="1" applyBorder="1" applyAlignment="1">
      <alignment horizontal="left" vertical="top" wrapText="1"/>
    </xf>
    <xf numFmtId="0" fontId="18" fillId="0" borderId="28" xfId="9" applyFont="1" applyBorder="1" applyAlignment="1">
      <alignment horizontal="left" vertical="top" wrapText="1"/>
    </xf>
    <xf numFmtId="0" fontId="18" fillId="0" borderId="29" xfId="9" applyFont="1" applyBorder="1" applyAlignment="1">
      <alignment horizontal="left" vertical="top" wrapText="1"/>
    </xf>
    <xf numFmtId="0" fontId="18" fillId="0" borderId="0" xfId="9" applyFont="1" applyBorder="1" applyAlignment="1">
      <alignment horizontal="left" vertical="top" wrapText="1"/>
    </xf>
    <xf numFmtId="0" fontId="18" fillId="0" borderId="30" xfId="9" applyFont="1" applyBorder="1" applyAlignment="1">
      <alignment horizontal="left" vertical="top" wrapText="1"/>
    </xf>
    <xf numFmtId="0" fontId="18" fillId="0" borderId="31" xfId="9" applyFont="1" applyBorder="1" applyAlignment="1">
      <alignment horizontal="left" vertical="top" wrapText="1"/>
    </xf>
    <xf numFmtId="0" fontId="18" fillId="0" borderId="32" xfId="9" applyFont="1" applyBorder="1" applyAlignment="1">
      <alignment horizontal="left" vertical="top" wrapText="1"/>
    </xf>
    <xf numFmtId="0" fontId="18" fillId="0" borderId="33" xfId="9" applyFont="1" applyBorder="1" applyAlignment="1">
      <alignment horizontal="left" vertical="top" wrapText="1"/>
    </xf>
    <xf numFmtId="0" fontId="33" fillId="0" borderId="8" xfId="0" applyFont="1" applyBorder="1" applyAlignment="1">
      <alignment horizontal="left"/>
    </xf>
    <xf numFmtId="0" fontId="33" fillId="0" borderId="75" xfId="0" applyFont="1" applyBorder="1" applyAlignment="1">
      <alignment horizontal="left"/>
    </xf>
    <xf numFmtId="0" fontId="27" fillId="0" borderId="6" xfId="0" applyFont="1" applyBorder="1" applyAlignment="1">
      <alignment horizontal="center"/>
    </xf>
    <xf numFmtId="0" fontId="27" fillId="0" borderId="71" xfId="0" applyFont="1" applyBorder="1" applyAlignment="1">
      <alignment horizontal="center"/>
    </xf>
    <xf numFmtId="0" fontId="27" fillId="0" borderId="72" xfId="0" applyFont="1" applyBorder="1" applyAlignment="1">
      <alignment horizontal="center"/>
    </xf>
    <xf numFmtId="0" fontId="27" fillId="0" borderId="74" xfId="0" applyFont="1" applyBorder="1" applyAlignment="1">
      <alignment horizontal="center"/>
    </xf>
    <xf numFmtId="0" fontId="0" fillId="0" borderId="60" xfId="0" applyBorder="1" applyAlignment="1">
      <alignment horizontal="left" vertical="top" wrapText="1"/>
    </xf>
    <xf numFmtId="0" fontId="0" fillId="0" borderId="61" xfId="0" applyBorder="1" applyAlignment="1">
      <alignment horizontal="left" vertical="top"/>
    </xf>
    <xf numFmtId="0" fontId="0" fillId="0" borderId="62" xfId="0" applyBorder="1" applyAlignment="1">
      <alignment horizontal="left" vertical="top"/>
    </xf>
    <xf numFmtId="0" fontId="0" fillId="0" borderId="76" xfId="0" applyBorder="1" applyAlignment="1">
      <alignment horizontal="left" vertical="top"/>
    </xf>
    <xf numFmtId="0" fontId="0" fillId="0" borderId="52" xfId="0" applyBorder="1" applyAlignment="1">
      <alignment horizontal="left" vertical="top"/>
    </xf>
    <xf numFmtId="0" fontId="0" fillId="0" borderId="63" xfId="0" applyBorder="1" applyAlignment="1">
      <alignment horizontal="left" vertical="top"/>
    </xf>
    <xf numFmtId="0" fontId="0" fillId="0" borderId="51" xfId="0" applyBorder="1" applyAlignment="1">
      <alignment horizontal="left" vertical="top"/>
    </xf>
    <xf numFmtId="0" fontId="0" fillId="0" borderId="64" xfId="0" applyBorder="1" applyAlignment="1">
      <alignment horizontal="left" vertical="top"/>
    </xf>
  </cellXfs>
  <cellStyles count="12">
    <cellStyle name="Accent4" xfId="10" builtinId="41"/>
    <cellStyle name="Bad" xfId="2" builtinId="27"/>
    <cellStyle name="Calculation" xfId="6" builtinId="22"/>
    <cellStyle name="Explanatory Text" xfId="9" builtinId="53"/>
    <cellStyle name="Good" xfId="1" builtinId="26"/>
    <cellStyle name="Hyperlink" xfId="11" builtinId="8"/>
    <cellStyle name="Input" xfId="4" builtinId="20"/>
    <cellStyle name="Linked Cell" xfId="7" builtinId="24"/>
    <cellStyle name="Neutral" xfId="3" builtinId="28"/>
    <cellStyle name="Normal" xfId="0" builtinId="0"/>
    <cellStyle name="Note" xfId="8"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a:t>
            </a:r>
            <a:r>
              <a:rPr lang="el-GR"/>
              <a:t>δ</a:t>
            </a:r>
            <a:r>
              <a:rPr lang="en-US"/>
              <a:t> Plot for Bolted Joint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xVal>
            <c:numRef>
              <c:f>'Inputs + Outputs'!$I$94:$I$96</c:f>
              <c:numCache>
                <c:formatCode>0.00</c:formatCode>
                <c:ptCount val="3"/>
                <c:pt idx="0">
                  <c:v>-11.17846975634804</c:v>
                </c:pt>
                <c:pt idx="1">
                  <c:v>0</c:v>
                </c:pt>
                <c:pt idx="2">
                  <c:v>29.592170370669109</c:v>
                </c:pt>
              </c:numCache>
            </c:numRef>
          </c:xVal>
          <c:yVal>
            <c:numRef>
              <c:f>'Inputs + Outputs'!$J$94:$J$96</c:f>
              <c:numCache>
                <c:formatCode>0.00</c:formatCode>
                <c:ptCount val="3"/>
                <c:pt idx="0">
                  <c:v>-10</c:v>
                </c:pt>
                <c:pt idx="1">
                  <c:v>0</c:v>
                </c:pt>
                <c:pt idx="2">
                  <c:v>10</c:v>
                </c:pt>
              </c:numCache>
            </c:numRef>
          </c:yVal>
          <c:smooth val="0"/>
          <c:extLst>
            <c:ext xmlns:c16="http://schemas.microsoft.com/office/drawing/2014/chart" uri="{C3380CC4-5D6E-409C-BE32-E72D297353CC}">
              <c16:uniqueId val="{00000000-D914-F046-829C-A51B841F7DCB}"/>
            </c:ext>
          </c:extLst>
        </c:ser>
        <c:dLbls>
          <c:dLblPos val="r"/>
          <c:showLegendKey val="0"/>
          <c:showVal val="1"/>
          <c:showCatName val="0"/>
          <c:showSerName val="0"/>
          <c:showPercent val="0"/>
          <c:showBubbleSize val="0"/>
        </c:dLbls>
        <c:axId val="1263323952"/>
        <c:axId val="773563776"/>
      </c:scatterChart>
      <c:valAx>
        <c:axId val="126332395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Joint Displacement </a:t>
                </a:r>
                <a:r>
                  <a:rPr lang="el-GR" sz="900" b="1" i="0" u="none" strike="noStrike" baseline="0">
                    <a:effectLst/>
                  </a:rPr>
                  <a:t>δ</a:t>
                </a:r>
                <a:r>
                  <a:rPr lang="el-GR" sz="900" b="1" i="0" u="none" strike="noStrike" baseline="0"/>
                  <a:t> </a:t>
                </a:r>
                <a:r>
                  <a:rPr lang="en-US" sz="900" b="1" i="0" u="none" strike="noStrike" baseline="0"/>
                  <a:t> in (</a:t>
                </a:r>
                <a:r>
                  <a:rPr lang="en-US" sz="900" b="0" i="0" u="none" strike="noStrike" baseline="0">
                    <a:effectLst/>
                  </a:rPr>
                  <a:t>µ</a:t>
                </a:r>
                <a:r>
                  <a:rPr lang="en-US" sz="900" b="1" i="0" u="none" strike="noStrike" baseline="0"/>
                  <a:t>m)</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73563776"/>
        <c:crosses val="autoZero"/>
        <c:crossBetween val="midCat"/>
      </c:valAx>
      <c:valAx>
        <c:axId val="773563776"/>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Force on in (kN)</a:t>
                </a:r>
              </a:p>
            </c:rich>
          </c:tx>
          <c:layout>
            <c:manualLayout>
              <c:xMode val="edge"/>
              <c:yMode val="edge"/>
              <c:x val="1.0021436932019937E-2"/>
              <c:y val="0.2301378616031153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63323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Bolt Loading Diagram</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xVal>
            <c:numRef>
              <c:f>'Inputs + Outputs'!$B$95:$B$97</c:f>
              <c:numCache>
                <c:formatCode>0.00</c:formatCode>
                <c:ptCount val="3"/>
                <c:pt idx="0" formatCode="General">
                  <c:v>0</c:v>
                </c:pt>
                <c:pt idx="1">
                  <c:v>13.777509258809825</c:v>
                </c:pt>
                <c:pt idx="2">
                  <c:v>28.114425211263562</c:v>
                </c:pt>
              </c:numCache>
            </c:numRef>
          </c:xVal>
          <c:yVal>
            <c:numRef>
              <c:f>'Inputs + Outputs'!$C$95:$C$97</c:f>
              <c:numCache>
                <c:formatCode>0.00</c:formatCode>
                <c:ptCount val="3"/>
                <c:pt idx="0">
                  <c:v>10</c:v>
                </c:pt>
                <c:pt idx="1">
                  <c:v>13.777509258809825</c:v>
                </c:pt>
                <c:pt idx="2">
                  <c:v>28.114425211263562</c:v>
                </c:pt>
              </c:numCache>
            </c:numRef>
          </c:yVal>
          <c:smooth val="0"/>
          <c:extLst>
            <c:ext xmlns:c16="http://schemas.microsoft.com/office/drawing/2014/chart" uri="{C3380CC4-5D6E-409C-BE32-E72D297353CC}">
              <c16:uniqueId val="{00000000-EA47-8948-95D7-382DD3BEACF3}"/>
            </c:ext>
          </c:extLst>
        </c:ser>
        <c:dLbls>
          <c:dLblPos val="r"/>
          <c:showLegendKey val="0"/>
          <c:showVal val="1"/>
          <c:showCatName val="0"/>
          <c:showSerName val="0"/>
          <c:showPercent val="0"/>
          <c:showBubbleSize val="0"/>
        </c:dLbls>
        <c:axId val="1238205264"/>
        <c:axId val="945736351"/>
      </c:scatterChart>
      <c:valAx>
        <c:axId val="123820526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Applied Force</a:t>
                </a:r>
                <a:r>
                  <a:rPr lang="en-US" baseline="0"/>
                  <a:t> in (kN)</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45736351"/>
        <c:crosses val="autoZero"/>
        <c:crossBetween val="midCat"/>
      </c:valAx>
      <c:valAx>
        <c:axId val="945736351"/>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Bolt Force</a:t>
                </a:r>
                <a:r>
                  <a:rPr lang="en-US" baseline="0"/>
                  <a:t> in (kN)</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820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2.png"/><Relationship Id="rId5" Type="http://schemas.openxmlformats.org/officeDocument/2006/relationships/image" Target="../media/image12.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14</xdr:col>
      <xdr:colOff>96494</xdr:colOff>
      <xdr:row>1</xdr:row>
      <xdr:rowOff>25401</xdr:rowOff>
    </xdr:from>
    <xdr:ext cx="1452906" cy="1371873"/>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9278594" y="88901"/>
          <a:ext cx="1452906" cy="1371873"/>
        </a:xfrm>
        <a:prstGeom prst="rect">
          <a:avLst/>
        </a:prstGeom>
      </xdr:spPr>
    </xdr:pic>
    <xdr:clientData/>
  </xdr:oneCellAnchor>
  <xdr:twoCellAnchor editAs="oneCell">
    <xdr:from>
      <xdr:col>14</xdr:col>
      <xdr:colOff>101601</xdr:colOff>
      <xdr:row>8</xdr:row>
      <xdr:rowOff>76200</xdr:rowOff>
    </xdr:from>
    <xdr:to>
      <xdr:col>15</xdr:col>
      <xdr:colOff>747094</xdr:colOff>
      <xdr:row>10</xdr:row>
      <xdr:rowOff>139700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934701" y="1600200"/>
          <a:ext cx="1470992" cy="469900"/>
        </a:xfrm>
        <a:prstGeom prst="rect">
          <a:avLst/>
        </a:prstGeom>
      </xdr:spPr>
    </xdr:pic>
    <xdr:clientData/>
  </xdr:twoCellAnchor>
  <xdr:twoCellAnchor editAs="oneCell">
    <xdr:from>
      <xdr:col>12</xdr:col>
      <xdr:colOff>243192</xdr:colOff>
      <xdr:row>16</xdr:row>
      <xdr:rowOff>162128</xdr:rowOff>
    </xdr:from>
    <xdr:to>
      <xdr:col>15</xdr:col>
      <xdr:colOff>674064</xdr:colOff>
      <xdr:row>27</xdr:row>
      <xdr:rowOff>13511</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9416915" y="3431702"/>
          <a:ext cx="2903318" cy="2175213"/>
        </a:xfrm>
        <a:prstGeom prst="rect">
          <a:avLst/>
        </a:prstGeom>
      </xdr:spPr>
    </xdr:pic>
    <xdr:clientData/>
  </xdr:twoCellAnchor>
  <xdr:twoCellAnchor editAs="oneCell">
    <xdr:from>
      <xdr:col>10</xdr:col>
      <xdr:colOff>675532</xdr:colOff>
      <xdr:row>32</xdr:row>
      <xdr:rowOff>27022</xdr:rowOff>
    </xdr:from>
    <xdr:to>
      <xdr:col>15</xdr:col>
      <xdr:colOff>507859</xdr:colOff>
      <xdr:row>48</xdr:row>
      <xdr:rowOff>114735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a:stretch>
          <a:fillRect/>
        </a:stretch>
      </xdr:blipFill>
      <xdr:spPr>
        <a:xfrm>
          <a:off x="8183772" y="6600542"/>
          <a:ext cx="4070756" cy="3494045"/>
        </a:xfrm>
        <a:prstGeom prst="rect">
          <a:avLst/>
        </a:prstGeom>
      </xdr:spPr>
    </xdr:pic>
    <xdr:clientData/>
  </xdr:twoCellAnchor>
  <xdr:twoCellAnchor editAs="oneCell">
    <xdr:from>
      <xdr:col>10</xdr:col>
      <xdr:colOff>666706</xdr:colOff>
      <xdr:row>49</xdr:row>
      <xdr:rowOff>148795</xdr:rowOff>
    </xdr:from>
    <xdr:to>
      <xdr:col>15</xdr:col>
      <xdr:colOff>502904</xdr:colOff>
      <xdr:row>65</xdr:row>
      <xdr:rowOff>84806</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5"/>
        <a:stretch>
          <a:fillRect/>
        </a:stretch>
      </xdr:blipFill>
      <xdr:spPr>
        <a:xfrm>
          <a:off x="8235906" y="10342662"/>
          <a:ext cx="4108494" cy="3373353"/>
        </a:xfrm>
        <a:prstGeom prst="rect">
          <a:avLst/>
        </a:prstGeom>
      </xdr:spPr>
    </xdr:pic>
    <xdr:clientData/>
  </xdr:twoCellAnchor>
  <xdr:twoCellAnchor editAs="oneCell">
    <xdr:from>
      <xdr:col>16</xdr:col>
      <xdr:colOff>118534</xdr:colOff>
      <xdr:row>1</xdr:row>
      <xdr:rowOff>84667</xdr:rowOff>
    </xdr:from>
    <xdr:to>
      <xdr:col>26</xdr:col>
      <xdr:colOff>687056</xdr:colOff>
      <xdr:row>19</xdr:row>
      <xdr:rowOff>1154</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6"/>
        <a:stretch>
          <a:fillRect/>
        </a:stretch>
      </xdr:blipFill>
      <xdr:spPr>
        <a:xfrm>
          <a:off x="12666134" y="186267"/>
          <a:ext cx="8865854" cy="3759200"/>
        </a:xfrm>
        <a:prstGeom prst="rect">
          <a:avLst/>
        </a:prstGeom>
      </xdr:spPr>
    </xdr:pic>
    <xdr:clientData/>
  </xdr:twoCellAnchor>
  <xdr:twoCellAnchor>
    <xdr:from>
      <xdr:col>10</xdr:col>
      <xdr:colOff>782320</xdr:colOff>
      <xdr:row>36</xdr:row>
      <xdr:rowOff>0</xdr:rowOff>
    </xdr:from>
    <xdr:to>
      <xdr:col>13</xdr:col>
      <xdr:colOff>518160</xdr:colOff>
      <xdr:row>36</xdr:row>
      <xdr:rowOff>0</xdr:rowOff>
    </xdr:to>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flipH="1">
          <a:off x="8290560" y="7416800"/>
          <a:ext cx="2204720" cy="0"/>
        </a:xfrm>
        <a:prstGeom prst="line">
          <a:avLst/>
        </a:prstGeom>
        <a:ln w="38100">
          <a:solidFill>
            <a:srgbClr val="92D050"/>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xdr:col>
      <xdr:colOff>792480</xdr:colOff>
      <xdr:row>40</xdr:row>
      <xdr:rowOff>121920</xdr:rowOff>
    </xdr:from>
    <xdr:to>
      <xdr:col>13</xdr:col>
      <xdr:colOff>426720</xdr:colOff>
      <xdr:row>40</xdr:row>
      <xdr:rowOff>121920</xdr:rowOff>
    </xdr:to>
    <xdr:cxnSp macro="">
      <xdr:nvCxnSpPr>
        <xdr:cNvPr id="18" name="Straight Connector 17">
          <a:extLst>
            <a:ext uri="{FF2B5EF4-FFF2-40B4-BE49-F238E27FC236}">
              <a16:creationId xmlns:a16="http://schemas.microsoft.com/office/drawing/2014/main" id="{00000000-0008-0000-0000-000012000000}"/>
            </a:ext>
          </a:extLst>
        </xdr:cNvPr>
        <xdr:cNvCxnSpPr/>
      </xdr:nvCxnSpPr>
      <xdr:spPr>
        <a:xfrm flipH="1">
          <a:off x="8300720" y="8382000"/>
          <a:ext cx="2103120" cy="0"/>
        </a:xfrm>
        <a:prstGeom prst="line">
          <a:avLst/>
        </a:prstGeom>
        <a:ln w="38100">
          <a:solidFill>
            <a:srgbClr val="92D050"/>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241776</xdr:colOff>
      <xdr:row>36</xdr:row>
      <xdr:rowOff>0</xdr:rowOff>
    </xdr:from>
    <xdr:to>
      <xdr:col>11</xdr:col>
      <xdr:colOff>264160</xdr:colOff>
      <xdr:row>40</xdr:row>
      <xdr:rowOff>111760</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a:off x="8572976" y="7416800"/>
          <a:ext cx="22384" cy="955040"/>
        </a:xfrm>
        <a:prstGeom prst="line">
          <a:avLst/>
        </a:prstGeom>
        <a:ln w="38100">
          <a:solidFill>
            <a:srgbClr val="92D050"/>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xdr:col>
      <xdr:colOff>731892</xdr:colOff>
      <xdr:row>37</xdr:row>
      <xdr:rowOff>69036</xdr:rowOff>
    </xdr:from>
    <xdr:to>
      <xdr:col>11</xdr:col>
      <xdr:colOff>295013</xdr:colOff>
      <xdr:row>38</xdr:row>
      <xdr:rowOff>150316</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244896" y="7735556"/>
          <a:ext cx="386527" cy="295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92D050"/>
              </a:solidFill>
            </a:rPr>
            <a:t>l_d</a:t>
          </a:r>
        </a:p>
      </xdr:txBody>
    </xdr:sp>
    <xdr:clientData/>
  </xdr:twoCellAnchor>
  <xdr:twoCellAnchor>
    <xdr:from>
      <xdr:col>10</xdr:col>
      <xdr:colOff>751840</xdr:colOff>
      <xdr:row>44</xdr:row>
      <xdr:rowOff>71120</xdr:rowOff>
    </xdr:from>
    <xdr:to>
      <xdr:col>13</xdr:col>
      <xdr:colOff>386080</xdr:colOff>
      <xdr:row>44</xdr:row>
      <xdr:rowOff>71120</xdr:rowOff>
    </xdr:to>
    <xdr:cxnSp macro="">
      <xdr:nvCxnSpPr>
        <xdr:cNvPr id="24" name="Straight Connector 23">
          <a:extLst>
            <a:ext uri="{FF2B5EF4-FFF2-40B4-BE49-F238E27FC236}">
              <a16:creationId xmlns:a16="http://schemas.microsoft.com/office/drawing/2014/main" id="{00000000-0008-0000-0000-000018000000}"/>
            </a:ext>
          </a:extLst>
        </xdr:cNvPr>
        <xdr:cNvCxnSpPr/>
      </xdr:nvCxnSpPr>
      <xdr:spPr>
        <a:xfrm flipH="1">
          <a:off x="8260080" y="9154160"/>
          <a:ext cx="2103120" cy="0"/>
        </a:xfrm>
        <a:prstGeom prst="line">
          <a:avLst/>
        </a:prstGeom>
        <a:ln w="38100">
          <a:solidFill>
            <a:srgbClr val="92D050"/>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261858</xdr:colOff>
      <xdr:row>40</xdr:row>
      <xdr:rowOff>121920</xdr:rowOff>
    </xdr:from>
    <xdr:to>
      <xdr:col>11</xdr:col>
      <xdr:colOff>279956</xdr:colOff>
      <xdr:row>44</xdr:row>
      <xdr:rowOff>71120</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8593058" y="8382000"/>
          <a:ext cx="18098" cy="772160"/>
        </a:xfrm>
        <a:prstGeom prst="line">
          <a:avLst/>
        </a:prstGeom>
        <a:ln w="38100">
          <a:solidFill>
            <a:srgbClr val="92D050"/>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270471</xdr:colOff>
      <xdr:row>41</xdr:row>
      <xdr:rowOff>91950</xdr:rowOff>
    </xdr:from>
    <xdr:to>
      <xdr:col>11</xdr:col>
      <xdr:colOff>627063</xdr:colOff>
      <xdr:row>42</xdr:row>
      <xdr:rowOff>142875</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8628659" y="8640638"/>
          <a:ext cx="356592" cy="265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40000"/>
                  <a:lumOff val="60000"/>
                </a:schemeClr>
              </a:solidFill>
            </a:rPr>
            <a:t>l_t</a:t>
          </a:r>
        </a:p>
      </xdr:txBody>
    </xdr:sp>
    <xdr:clientData/>
  </xdr:twoCellAnchor>
  <xdr:twoCellAnchor>
    <xdr:from>
      <xdr:col>13</xdr:col>
      <xdr:colOff>506785</xdr:colOff>
      <xdr:row>37</xdr:row>
      <xdr:rowOff>9143</xdr:rowOff>
    </xdr:from>
    <xdr:to>
      <xdr:col>14</xdr:col>
      <xdr:colOff>493114</xdr:colOff>
      <xdr:row>39</xdr:row>
      <xdr:rowOff>79085</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490008" y="7675663"/>
          <a:ext cx="809736" cy="497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TOP MEMBER</a:t>
          </a:r>
        </a:p>
      </xdr:txBody>
    </xdr:sp>
    <xdr:clientData/>
  </xdr:twoCellAnchor>
  <xdr:twoCellAnchor>
    <xdr:from>
      <xdr:col>13</xdr:col>
      <xdr:colOff>514973</xdr:colOff>
      <xdr:row>40</xdr:row>
      <xdr:rowOff>68502</xdr:rowOff>
    </xdr:from>
    <xdr:to>
      <xdr:col>14</xdr:col>
      <xdr:colOff>501302</xdr:colOff>
      <xdr:row>42</xdr:row>
      <xdr:rowOff>138444</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0498196" y="8367696"/>
          <a:ext cx="809736" cy="497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BOTTOM MEMBER</a:t>
          </a:r>
        </a:p>
      </xdr:txBody>
    </xdr:sp>
    <xdr:clientData/>
  </xdr:twoCellAnchor>
  <xdr:twoCellAnchor>
    <xdr:from>
      <xdr:col>10</xdr:col>
      <xdr:colOff>650176</xdr:colOff>
      <xdr:row>31</xdr:row>
      <xdr:rowOff>183730</xdr:rowOff>
    </xdr:from>
    <xdr:to>
      <xdr:col>12</xdr:col>
      <xdr:colOff>736387</xdr:colOff>
      <xdr:row>33</xdr:row>
      <xdr:rowOff>160084</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152781" y="6544402"/>
          <a:ext cx="1729740" cy="392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BOLT</a:t>
          </a:r>
          <a:r>
            <a:rPr lang="en-US" sz="1100" b="1" baseline="0">
              <a:solidFill>
                <a:srgbClr val="FF0000"/>
              </a:solidFill>
            </a:rPr>
            <a:t> + NUT JOINT</a:t>
          </a:r>
          <a:endParaRPr lang="en-US" sz="1100" b="1">
            <a:solidFill>
              <a:srgbClr val="FF0000"/>
            </a:solidFill>
          </a:endParaRPr>
        </a:p>
      </xdr:txBody>
    </xdr:sp>
    <xdr:clientData/>
  </xdr:twoCellAnchor>
  <xdr:twoCellAnchor>
    <xdr:from>
      <xdr:col>10</xdr:col>
      <xdr:colOff>663836</xdr:colOff>
      <xdr:row>49</xdr:row>
      <xdr:rowOff>112012</xdr:rowOff>
    </xdr:from>
    <xdr:to>
      <xdr:col>12</xdr:col>
      <xdr:colOff>750047</xdr:colOff>
      <xdr:row>51</xdr:row>
      <xdr:rowOff>99039</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166441" y="10218651"/>
          <a:ext cx="1729740" cy="392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TAPPED BASE</a:t>
          </a:r>
        </a:p>
      </xdr:txBody>
    </xdr:sp>
    <xdr:clientData/>
  </xdr:twoCellAnchor>
  <xdr:twoCellAnchor editAs="oneCell">
    <xdr:from>
      <xdr:col>4</xdr:col>
      <xdr:colOff>195401</xdr:colOff>
      <xdr:row>67</xdr:row>
      <xdr:rowOff>85764</xdr:rowOff>
    </xdr:from>
    <xdr:to>
      <xdr:col>5</xdr:col>
      <xdr:colOff>652602</xdr:colOff>
      <xdr:row>74</xdr:row>
      <xdr:rowOff>110526</xdr:rowOff>
    </xdr:to>
    <xdr:pic>
      <xdr:nvPicPr>
        <xdr:cNvPr id="34" name="Picture 33" descr="Joint as Springs">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762811" y="14275045"/>
          <a:ext cx="1498784" cy="1468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591207</xdr:colOff>
      <xdr:row>66</xdr:row>
      <xdr:rowOff>43791</xdr:rowOff>
    </xdr:from>
    <xdr:to>
      <xdr:col>15</xdr:col>
      <xdr:colOff>433989</xdr:colOff>
      <xdr:row>80</xdr:row>
      <xdr:rowOff>124908</xdr:rowOff>
    </xdr:to>
    <xdr:pic>
      <xdr:nvPicPr>
        <xdr:cNvPr id="35" name="Picture 34" descr="Bolted Joints">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298793" y="14156119"/>
          <a:ext cx="4068817" cy="30152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4379</xdr:colOff>
      <xdr:row>91</xdr:row>
      <xdr:rowOff>1557</xdr:rowOff>
    </xdr:from>
    <xdr:to>
      <xdr:col>16</xdr:col>
      <xdr:colOff>14111</xdr:colOff>
      <xdr:row>114</xdr:row>
      <xdr:rowOff>25400</xdr:rowOff>
    </xdr:to>
    <xdr:graphicFrame macro="">
      <xdr:nvGraphicFramePr>
        <xdr:cNvPr id="37" name="Chart 36">
          <a:extLst>
            <a:ext uri="{FF2B5EF4-FFF2-40B4-BE49-F238E27FC236}">
              <a16:creationId xmlns:a16="http://schemas.microsoft.com/office/drawing/2014/main" id="{00000000-0008-0000-00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90</xdr:row>
      <xdr:rowOff>194732</xdr:rowOff>
    </xdr:from>
    <xdr:to>
      <xdr:col>7</xdr:col>
      <xdr:colOff>0</xdr:colOff>
      <xdr:row>114</xdr:row>
      <xdr:rowOff>14110</xdr:rowOff>
    </xdr:to>
    <xdr:graphicFrame macro="">
      <xdr:nvGraphicFramePr>
        <xdr:cNvPr id="38" name="Chart 37">
          <a:extLst>
            <a:ext uri="{FF2B5EF4-FFF2-40B4-BE49-F238E27FC236}">
              <a16:creationId xmlns:a16="http://schemas.microsoft.com/office/drawing/2014/main" id="{00000000-0008-0000-00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317500</xdr:colOff>
      <xdr:row>93</xdr:row>
      <xdr:rowOff>76200</xdr:rowOff>
    </xdr:from>
    <xdr:to>
      <xdr:col>6</xdr:col>
      <xdr:colOff>711200</xdr:colOff>
      <xdr:row>96</xdr:row>
      <xdr:rowOff>25400</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3937000" y="19519900"/>
          <a:ext cx="12192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Bolt Ultimate Tensile Strength</a:t>
          </a:r>
        </a:p>
        <a:p>
          <a:endParaRPr lang="en-US" sz="1100" b="1">
            <a:solidFill>
              <a:schemeClr val="bg1"/>
            </a:solidFill>
          </a:endParaRPr>
        </a:p>
      </xdr:txBody>
    </xdr:sp>
    <xdr:clientData/>
  </xdr:twoCellAnchor>
  <xdr:twoCellAnchor>
    <xdr:from>
      <xdr:col>4</xdr:col>
      <xdr:colOff>622300</xdr:colOff>
      <xdr:row>106</xdr:row>
      <xdr:rowOff>88900</xdr:rowOff>
    </xdr:from>
    <xdr:to>
      <xdr:col>6</xdr:col>
      <xdr:colOff>190500</xdr:colOff>
      <xdr:row>109</xdr:row>
      <xdr:rowOff>38100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200400" y="22174200"/>
          <a:ext cx="14351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Bolted</a:t>
          </a:r>
          <a:r>
            <a:rPr lang="en-US" sz="1100" b="1" baseline="0">
              <a:solidFill>
                <a:schemeClr val="bg1"/>
              </a:solidFill>
            </a:rPr>
            <a:t> Joint Failure Occurs @ the Knee</a:t>
          </a:r>
          <a:endParaRPr lang="en-US" sz="1100" b="1">
            <a:solidFill>
              <a:schemeClr val="bg1"/>
            </a:solidFill>
          </a:endParaRPr>
        </a:p>
      </xdr:txBody>
    </xdr:sp>
    <xdr:clientData/>
  </xdr:twoCellAnchor>
  <xdr:twoCellAnchor>
    <xdr:from>
      <xdr:col>15</xdr:col>
      <xdr:colOff>357845</xdr:colOff>
      <xdr:row>25</xdr:row>
      <xdr:rowOff>28067</xdr:rowOff>
    </xdr:from>
    <xdr:to>
      <xdr:col>15</xdr:col>
      <xdr:colOff>547293</xdr:colOff>
      <xdr:row>26</xdr:row>
      <xdr:rowOff>14033</xdr:rowOff>
    </xdr:to>
    <xdr:sp macro="" textlink="">
      <xdr:nvSpPr>
        <xdr:cNvPr id="2" name="Rectangle 1">
          <a:extLst>
            <a:ext uri="{FF2B5EF4-FFF2-40B4-BE49-F238E27FC236}">
              <a16:creationId xmlns:a16="http://schemas.microsoft.com/office/drawing/2014/main" id="{475294E7-DFA2-F197-172C-71C265474B76}"/>
            </a:ext>
          </a:extLst>
        </xdr:cNvPr>
        <xdr:cNvSpPr/>
      </xdr:nvSpPr>
      <xdr:spPr>
        <a:xfrm>
          <a:off x="12370221" y="5234365"/>
          <a:ext cx="189448" cy="1894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0.83112</cdr:x>
      <cdr:y>0.85004</cdr:y>
    </cdr:from>
    <cdr:to>
      <cdr:x>1</cdr:x>
      <cdr:y>0.91569</cdr:y>
    </cdr:to>
    <cdr:sp macro="" textlink="">
      <cdr:nvSpPr>
        <cdr:cNvPr id="2" name="TextBox 1">
          <a:extLst xmlns:a="http://schemas.openxmlformats.org/drawingml/2006/main">
            <a:ext uri="{FF2B5EF4-FFF2-40B4-BE49-F238E27FC236}">
              <a16:creationId xmlns:a16="http://schemas.microsoft.com/office/drawing/2014/main" id="{4D4FA717-1DFD-89F7-9AF9-69FEDF8AAFC8}"/>
            </a:ext>
          </a:extLst>
        </cdr:cNvPr>
        <cdr:cNvSpPr txBox="1"/>
      </cdr:nvSpPr>
      <cdr:spPr>
        <a:xfrm xmlns:a="http://schemas.openxmlformats.org/drawingml/2006/main">
          <a:off x="6319589" y="3836666"/>
          <a:ext cx="1284111" cy="2963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bg1"/>
              </a:solidFill>
            </a:rPr>
            <a:t>Bolt Loading</a:t>
          </a:r>
        </a:p>
      </cdr:txBody>
    </cdr:sp>
  </cdr:relSizeAnchor>
  <cdr:relSizeAnchor xmlns:cdr="http://schemas.openxmlformats.org/drawingml/2006/chartDrawing">
    <cdr:from>
      <cdr:x>0.04565</cdr:x>
      <cdr:y>0.12693</cdr:y>
    </cdr:from>
    <cdr:to>
      <cdr:x>0.21453</cdr:x>
      <cdr:y>0.19259</cdr:y>
    </cdr:to>
    <cdr:sp macro="" textlink="">
      <cdr:nvSpPr>
        <cdr:cNvPr id="3" name="TextBox 1">
          <a:extLst xmlns:a="http://schemas.openxmlformats.org/drawingml/2006/main">
            <a:ext uri="{FF2B5EF4-FFF2-40B4-BE49-F238E27FC236}">
              <a16:creationId xmlns:a16="http://schemas.microsoft.com/office/drawing/2014/main" id="{4836C429-DB26-6302-8857-643D43D6F2D6}"/>
            </a:ext>
          </a:extLst>
        </cdr:cNvPr>
        <cdr:cNvSpPr txBox="1"/>
      </cdr:nvSpPr>
      <cdr:spPr>
        <a:xfrm xmlns:a="http://schemas.openxmlformats.org/drawingml/2006/main">
          <a:off x="347134" y="572912"/>
          <a:ext cx="1284111" cy="2963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chemeClr val="bg1"/>
              </a:solidFill>
            </a:rPr>
            <a:t>Member Loading</a:t>
          </a:r>
        </a:p>
      </cdr:txBody>
    </cdr:sp>
  </cdr:relSizeAnchor>
</c:userShapes>
</file>

<file path=xl/drawings/drawing3.xml><?xml version="1.0" encoding="utf-8"?>
<xdr:wsDr xmlns:xdr="http://schemas.openxmlformats.org/drawingml/2006/spreadsheetDrawing" xmlns:a="http://schemas.openxmlformats.org/drawingml/2006/main">
  <xdr:oneCellAnchor>
    <xdr:from>
      <xdr:col>22</xdr:col>
      <xdr:colOff>342901</xdr:colOff>
      <xdr:row>1</xdr:row>
      <xdr:rowOff>50800</xdr:rowOff>
    </xdr:from>
    <xdr:ext cx="1066799" cy="340783"/>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137901" y="101600"/>
          <a:ext cx="1066799" cy="34078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14</xdr:col>
      <xdr:colOff>342901</xdr:colOff>
      <xdr:row>1</xdr:row>
      <xdr:rowOff>50800</xdr:rowOff>
    </xdr:from>
    <xdr:ext cx="1066799" cy="340783"/>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7741901" y="101600"/>
          <a:ext cx="1066799" cy="340783"/>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14</xdr:col>
      <xdr:colOff>342901</xdr:colOff>
      <xdr:row>1</xdr:row>
      <xdr:rowOff>50800</xdr:rowOff>
    </xdr:from>
    <xdr:ext cx="1066799" cy="340783"/>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137901" y="114300"/>
          <a:ext cx="1066799" cy="340783"/>
        </a:xfrm>
        <a:prstGeom prst="rect">
          <a:avLst/>
        </a:prstGeom>
      </xdr:spPr>
    </xdr:pic>
    <xdr:clientData/>
  </xdr:oneCellAnchor>
  <xdr:twoCellAnchor editAs="oneCell">
    <xdr:from>
      <xdr:col>1</xdr:col>
      <xdr:colOff>25400</xdr:colOff>
      <xdr:row>4</xdr:row>
      <xdr:rowOff>12700</xdr:rowOff>
    </xdr:from>
    <xdr:to>
      <xdr:col>9</xdr:col>
      <xdr:colOff>165100</xdr:colOff>
      <xdr:row>46</xdr:row>
      <xdr:rowOff>139700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88900" y="711200"/>
          <a:ext cx="6743700" cy="8661400"/>
        </a:xfrm>
        <a:prstGeom prst="rect">
          <a:avLst/>
        </a:prstGeom>
      </xdr:spPr>
    </xdr:pic>
    <xdr:clientData/>
  </xdr:twoCellAnchor>
  <xdr:twoCellAnchor editAs="oneCell">
    <xdr:from>
      <xdr:col>9</xdr:col>
      <xdr:colOff>355600</xdr:colOff>
      <xdr:row>4</xdr:row>
      <xdr:rowOff>114300</xdr:rowOff>
    </xdr:from>
    <xdr:to>
      <xdr:col>17</xdr:col>
      <xdr:colOff>457200</xdr:colOff>
      <xdr:row>18</xdr:row>
      <xdr:rowOff>177800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7023100" y="812800"/>
          <a:ext cx="6705600" cy="2908300"/>
        </a:xfrm>
        <a:prstGeom prst="rect">
          <a:avLst/>
        </a:prstGeom>
      </xdr:spPr>
    </xdr:pic>
    <xdr:clientData/>
  </xdr:twoCellAnchor>
  <xdr:twoCellAnchor editAs="oneCell">
    <xdr:from>
      <xdr:col>10</xdr:col>
      <xdr:colOff>749300</xdr:colOff>
      <xdr:row>20</xdr:row>
      <xdr:rowOff>88900</xdr:rowOff>
    </xdr:from>
    <xdr:to>
      <xdr:col>15</xdr:col>
      <xdr:colOff>787400</xdr:colOff>
      <xdr:row>25</xdr:row>
      <xdr:rowOff>190500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8242300" y="4038600"/>
          <a:ext cx="4165600" cy="1117600"/>
        </a:xfrm>
        <a:prstGeom prst="rect">
          <a:avLst/>
        </a:prstGeom>
      </xdr:spPr>
    </xdr:pic>
    <xdr:clientData/>
  </xdr:twoCellAnchor>
  <xdr:twoCellAnchor editAs="oneCell">
    <xdr:from>
      <xdr:col>11</xdr:col>
      <xdr:colOff>254000</xdr:colOff>
      <xdr:row>28</xdr:row>
      <xdr:rowOff>165100</xdr:rowOff>
    </xdr:from>
    <xdr:to>
      <xdr:col>15</xdr:col>
      <xdr:colOff>342900</xdr:colOff>
      <xdr:row>34</xdr:row>
      <xdr:rowOff>127000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8572500" y="5740400"/>
          <a:ext cx="3390900" cy="1181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393700</xdr:colOff>
      <xdr:row>1</xdr:row>
      <xdr:rowOff>50800</xdr:rowOff>
    </xdr:from>
    <xdr:to>
      <xdr:col>15</xdr:col>
      <xdr:colOff>634999</xdr:colOff>
      <xdr:row>2</xdr:row>
      <xdr:rowOff>188383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1197168" y="135467"/>
          <a:ext cx="1066799" cy="3407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vt.mit.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2E5E4-CDF6-D946-9E39-4BA867AD4F90}">
  <dimension ref="B1:AA97"/>
  <sheetViews>
    <sheetView tabSelected="1" topLeftCell="A8" zoomScale="75" zoomScaleNormal="179" workbookViewId="0">
      <selection activeCell="O30" sqref="O30"/>
    </sheetView>
  </sheetViews>
  <sheetFormatPr baseColWidth="10" defaultRowHeight="16" x14ac:dyDescent="0.2"/>
  <cols>
    <col min="1" max="1" width="1.33203125" customWidth="1"/>
    <col min="5" max="5" width="13.6640625" customWidth="1"/>
    <col min="8" max="8" width="10.83203125" customWidth="1"/>
    <col min="11" max="11" width="12.33203125" bestFit="1" customWidth="1"/>
    <col min="12" max="12" width="10.83203125" customWidth="1"/>
  </cols>
  <sheetData>
    <row r="1" spans="2:27" ht="8" customHeight="1" thickBot="1" x14ac:dyDescent="0.25"/>
    <row r="2" spans="2:27" ht="16" customHeight="1" x14ac:dyDescent="0.2">
      <c r="B2" s="109" t="s">
        <v>3</v>
      </c>
      <c r="C2" s="110"/>
      <c r="D2" s="110"/>
      <c r="E2" s="110"/>
      <c r="F2" s="110"/>
      <c r="G2" s="110"/>
      <c r="H2" s="110"/>
      <c r="I2" s="110"/>
      <c r="J2" s="110"/>
      <c r="K2" s="110"/>
      <c r="L2" s="110"/>
      <c r="M2" s="110"/>
      <c r="N2" s="110"/>
      <c r="O2" s="155"/>
      <c r="P2" s="157"/>
      <c r="Q2" s="155" t="s">
        <v>62</v>
      </c>
      <c r="R2" s="156"/>
      <c r="S2" s="156"/>
      <c r="T2" s="156"/>
      <c r="U2" s="156"/>
      <c r="V2" s="156"/>
      <c r="W2" s="156"/>
      <c r="X2" s="156"/>
      <c r="Y2" s="156"/>
      <c r="Z2" s="156"/>
      <c r="AA2" s="157"/>
    </row>
    <row r="3" spans="2:27" ht="17" customHeight="1" thickBot="1" x14ac:dyDescent="0.25">
      <c r="B3" s="112"/>
      <c r="C3" s="113"/>
      <c r="D3" s="113"/>
      <c r="E3" s="113"/>
      <c r="F3" s="113"/>
      <c r="G3" s="113"/>
      <c r="H3" s="113"/>
      <c r="I3" s="113"/>
      <c r="J3" s="113"/>
      <c r="K3" s="113"/>
      <c r="L3" s="113"/>
      <c r="M3" s="113"/>
      <c r="N3" s="113"/>
      <c r="O3" s="158"/>
      <c r="P3" s="160"/>
      <c r="Q3" s="158"/>
      <c r="R3" s="159"/>
      <c r="S3" s="159"/>
      <c r="T3" s="159"/>
      <c r="U3" s="159"/>
      <c r="V3" s="159"/>
      <c r="W3" s="159"/>
      <c r="X3" s="159"/>
      <c r="Y3" s="159"/>
      <c r="Z3" s="159"/>
      <c r="AA3" s="160"/>
    </row>
    <row r="4" spans="2:27" ht="17" customHeight="1" thickBot="1" x14ac:dyDescent="0.25">
      <c r="B4" s="79" t="s">
        <v>0</v>
      </c>
      <c r="C4" s="81"/>
      <c r="D4" s="171" t="s">
        <v>1</v>
      </c>
      <c r="E4" s="172"/>
      <c r="F4" s="172"/>
      <c r="G4" s="173" t="s">
        <v>2</v>
      </c>
      <c r="H4" s="174"/>
      <c r="I4" s="151" t="s">
        <v>6</v>
      </c>
      <c r="J4" s="151"/>
      <c r="K4" s="151"/>
      <c r="L4" s="151"/>
      <c r="M4" s="151"/>
      <c r="N4" s="164"/>
      <c r="O4" s="158"/>
      <c r="P4" s="160"/>
      <c r="Q4" s="158"/>
      <c r="R4" s="159"/>
      <c r="S4" s="159"/>
      <c r="T4" s="159"/>
      <c r="U4" s="159"/>
      <c r="V4" s="159"/>
      <c r="W4" s="159"/>
      <c r="X4" s="159"/>
      <c r="Y4" s="159"/>
      <c r="Z4" s="159"/>
      <c r="AA4" s="160"/>
    </row>
    <row r="5" spans="2:27" ht="17" thickBot="1" x14ac:dyDescent="0.25">
      <c r="B5" s="79" t="s">
        <v>4</v>
      </c>
      <c r="C5" s="81"/>
      <c r="D5" s="152" t="s">
        <v>5</v>
      </c>
      <c r="E5" s="153"/>
      <c r="F5" s="153"/>
      <c r="G5" s="153"/>
      <c r="H5" s="154"/>
      <c r="I5" s="151"/>
      <c r="J5" s="151"/>
      <c r="K5" s="151"/>
      <c r="L5" s="151"/>
      <c r="M5" s="151"/>
      <c r="N5" s="164"/>
      <c r="O5" s="158"/>
      <c r="P5" s="160"/>
      <c r="Q5" s="158"/>
      <c r="R5" s="159"/>
      <c r="S5" s="159"/>
      <c r="T5" s="159"/>
      <c r="U5" s="159"/>
      <c r="V5" s="159"/>
      <c r="W5" s="159"/>
      <c r="X5" s="159"/>
      <c r="Y5" s="159"/>
      <c r="Z5" s="159"/>
      <c r="AA5" s="160"/>
    </row>
    <row r="6" spans="2:27" x14ac:dyDescent="0.2">
      <c r="B6" s="151" t="s">
        <v>182</v>
      </c>
      <c r="C6" s="151"/>
      <c r="D6" s="151"/>
      <c r="E6" s="151"/>
      <c r="F6" s="151"/>
      <c r="G6" s="151"/>
      <c r="H6" s="151"/>
      <c r="I6" s="151"/>
      <c r="J6" s="151"/>
      <c r="K6" s="151"/>
      <c r="L6" s="151"/>
      <c r="M6" s="151"/>
      <c r="N6" s="164"/>
      <c r="O6" s="158"/>
      <c r="P6" s="160"/>
      <c r="Q6" s="158"/>
      <c r="R6" s="159"/>
      <c r="S6" s="159"/>
      <c r="T6" s="159"/>
      <c r="U6" s="159"/>
      <c r="V6" s="159"/>
      <c r="W6" s="159"/>
      <c r="X6" s="159"/>
      <c r="Y6" s="159"/>
      <c r="Z6" s="159"/>
      <c r="AA6" s="160"/>
    </row>
    <row r="7" spans="2:27" x14ac:dyDescent="0.2">
      <c r="B7" s="151"/>
      <c r="C7" s="151"/>
      <c r="D7" s="151"/>
      <c r="E7" s="151"/>
      <c r="F7" s="151"/>
      <c r="G7" s="151"/>
      <c r="H7" s="151"/>
      <c r="I7" s="151"/>
      <c r="J7" s="151"/>
      <c r="K7" s="151"/>
      <c r="L7" s="151"/>
      <c r="M7" s="151"/>
      <c r="N7" s="164"/>
      <c r="O7" s="158"/>
      <c r="P7" s="160"/>
      <c r="Q7" s="158"/>
      <c r="R7" s="159"/>
      <c r="S7" s="159"/>
      <c r="T7" s="159"/>
      <c r="U7" s="159"/>
      <c r="V7" s="159"/>
      <c r="W7" s="159"/>
      <c r="X7" s="159"/>
      <c r="Y7" s="159"/>
      <c r="Z7" s="159"/>
      <c r="AA7" s="160"/>
    </row>
    <row r="8" spans="2:27" ht="17" thickBot="1" x14ac:dyDescent="0.25">
      <c r="B8" s="151"/>
      <c r="C8" s="151"/>
      <c r="D8" s="151"/>
      <c r="E8" s="151"/>
      <c r="F8" s="151"/>
      <c r="G8" s="151"/>
      <c r="H8" s="151"/>
      <c r="I8" s="151"/>
      <c r="J8" s="151"/>
      <c r="K8" s="151"/>
      <c r="L8" s="151"/>
      <c r="M8" s="151"/>
      <c r="N8" s="164"/>
      <c r="O8" s="161"/>
      <c r="P8" s="163"/>
      <c r="Q8" s="158"/>
      <c r="R8" s="159"/>
      <c r="S8" s="159"/>
      <c r="T8" s="159"/>
      <c r="U8" s="159"/>
      <c r="V8" s="159"/>
      <c r="W8" s="159"/>
      <c r="X8" s="159"/>
      <c r="Y8" s="159"/>
      <c r="Z8" s="159"/>
      <c r="AA8" s="160"/>
    </row>
    <row r="9" spans="2:27" x14ac:dyDescent="0.2">
      <c r="B9" s="151"/>
      <c r="C9" s="151"/>
      <c r="D9" s="151"/>
      <c r="E9" s="151"/>
      <c r="F9" s="151"/>
      <c r="G9" s="151"/>
      <c r="H9" s="151"/>
      <c r="I9" s="151"/>
      <c r="J9" s="151"/>
      <c r="K9" s="151"/>
      <c r="L9" s="151"/>
      <c r="M9" s="151"/>
      <c r="N9" s="151"/>
      <c r="O9" s="165"/>
      <c r="P9" s="166"/>
      <c r="Q9" s="158"/>
      <c r="R9" s="159"/>
      <c r="S9" s="159"/>
      <c r="T9" s="159"/>
      <c r="U9" s="159"/>
      <c r="V9" s="159"/>
      <c r="W9" s="159"/>
      <c r="X9" s="159"/>
      <c r="Y9" s="159"/>
      <c r="Z9" s="159"/>
      <c r="AA9" s="160"/>
    </row>
    <row r="10" spans="2:27" x14ac:dyDescent="0.2">
      <c r="B10" s="151"/>
      <c r="C10" s="151"/>
      <c r="D10" s="151"/>
      <c r="E10" s="151"/>
      <c r="F10" s="151"/>
      <c r="G10" s="151"/>
      <c r="H10" s="151"/>
      <c r="I10" s="151"/>
      <c r="J10" s="151"/>
      <c r="K10" s="151"/>
      <c r="L10" s="151"/>
      <c r="M10" s="151"/>
      <c r="N10" s="151"/>
      <c r="O10" s="167"/>
      <c r="P10" s="168"/>
      <c r="Q10" s="158"/>
      <c r="R10" s="159"/>
      <c r="S10" s="159"/>
      <c r="T10" s="159"/>
      <c r="U10" s="159"/>
      <c r="V10" s="159"/>
      <c r="W10" s="159"/>
      <c r="X10" s="159"/>
      <c r="Y10" s="159"/>
      <c r="Z10" s="159"/>
      <c r="AA10" s="160"/>
    </row>
    <row r="11" spans="2:27" ht="17" thickBot="1" x14ac:dyDescent="0.25">
      <c r="B11" s="151"/>
      <c r="C11" s="151"/>
      <c r="D11" s="151"/>
      <c r="E11" s="151"/>
      <c r="F11" s="151"/>
      <c r="G11" s="151"/>
      <c r="H11" s="151"/>
      <c r="I11" s="151"/>
      <c r="J11" s="151"/>
      <c r="K11" s="151"/>
      <c r="L11" s="151"/>
      <c r="M11" s="151"/>
      <c r="N11" s="151"/>
      <c r="O11" s="169"/>
      <c r="P11" s="170"/>
      <c r="Q11" s="158"/>
      <c r="R11" s="159"/>
      <c r="S11" s="159"/>
      <c r="T11" s="159"/>
      <c r="U11" s="159"/>
      <c r="V11" s="159"/>
      <c r="W11" s="159"/>
      <c r="X11" s="159"/>
      <c r="Y11" s="159"/>
      <c r="Z11" s="159"/>
      <c r="AA11" s="160"/>
    </row>
    <row r="12" spans="2:27" ht="17" thickBot="1" x14ac:dyDescent="0.25">
      <c r="Q12" s="158"/>
      <c r="R12" s="159"/>
      <c r="S12" s="159"/>
      <c r="T12" s="159"/>
      <c r="U12" s="159"/>
      <c r="V12" s="159"/>
      <c r="W12" s="159"/>
      <c r="X12" s="159"/>
      <c r="Y12" s="159"/>
      <c r="Z12" s="159"/>
      <c r="AA12" s="160"/>
    </row>
    <row r="13" spans="2:27" x14ac:dyDescent="0.2">
      <c r="B13" s="109" t="s">
        <v>24</v>
      </c>
      <c r="C13" s="110"/>
      <c r="D13" s="110"/>
      <c r="E13" s="110"/>
      <c r="F13" s="110"/>
      <c r="G13" s="110"/>
      <c r="H13" s="111"/>
      <c r="Q13" s="158"/>
      <c r="R13" s="159"/>
      <c r="S13" s="159"/>
      <c r="T13" s="159"/>
      <c r="U13" s="159"/>
      <c r="V13" s="159"/>
      <c r="W13" s="159"/>
      <c r="X13" s="159"/>
      <c r="Y13" s="159"/>
      <c r="Z13" s="159"/>
      <c r="AA13" s="160"/>
    </row>
    <row r="14" spans="2:27" ht="17" thickBot="1" x14ac:dyDescent="0.25">
      <c r="B14" s="112"/>
      <c r="C14" s="113"/>
      <c r="D14" s="113"/>
      <c r="E14" s="113"/>
      <c r="F14" s="113"/>
      <c r="G14" s="113"/>
      <c r="H14" s="114"/>
      <c r="Q14" s="158"/>
      <c r="R14" s="159"/>
      <c r="S14" s="159"/>
      <c r="T14" s="159"/>
      <c r="U14" s="159"/>
      <c r="V14" s="159"/>
      <c r="W14" s="159"/>
      <c r="X14" s="159"/>
      <c r="Y14" s="159"/>
      <c r="Z14" s="159"/>
      <c r="AA14" s="160"/>
    </row>
    <row r="15" spans="2:27" ht="17" thickBot="1" x14ac:dyDescent="0.25">
      <c r="Q15" s="158"/>
      <c r="R15" s="159"/>
      <c r="S15" s="159"/>
      <c r="T15" s="159"/>
      <c r="U15" s="159"/>
      <c r="V15" s="159"/>
      <c r="W15" s="159"/>
      <c r="X15" s="159"/>
      <c r="Y15" s="159"/>
      <c r="Z15" s="159"/>
      <c r="AA15" s="160"/>
    </row>
    <row r="16" spans="2:27" ht="17" thickBot="1" x14ac:dyDescent="0.25">
      <c r="B16" s="65" t="s">
        <v>8</v>
      </c>
      <c r="C16" s="66"/>
      <c r="F16" s="65" t="s">
        <v>9</v>
      </c>
      <c r="G16" s="66"/>
      <c r="J16" s="65" t="s">
        <v>22</v>
      </c>
      <c r="K16" s="66"/>
      <c r="Q16" s="158"/>
      <c r="R16" s="159"/>
      <c r="S16" s="159"/>
      <c r="T16" s="159"/>
      <c r="U16" s="159"/>
      <c r="V16" s="159"/>
      <c r="W16" s="159"/>
      <c r="X16" s="159"/>
      <c r="Y16" s="159"/>
      <c r="Z16" s="159"/>
      <c r="AA16" s="160"/>
    </row>
    <row r="17" spans="2:27" ht="17" thickBot="1" x14ac:dyDescent="0.25">
      <c r="Q17" s="158"/>
      <c r="R17" s="159"/>
      <c r="S17" s="159"/>
      <c r="T17" s="159"/>
      <c r="U17" s="159"/>
      <c r="V17" s="159"/>
      <c r="W17" s="159"/>
      <c r="X17" s="159"/>
      <c r="Y17" s="159"/>
      <c r="Z17" s="159"/>
      <c r="AA17" s="160"/>
    </row>
    <row r="18" spans="2:27" ht="17" thickBot="1" x14ac:dyDescent="0.25">
      <c r="B18" s="79" t="s">
        <v>17</v>
      </c>
      <c r="C18" s="81"/>
      <c r="D18" s="6">
        <v>1</v>
      </c>
      <c r="F18" s="79" t="s">
        <v>21</v>
      </c>
      <c r="G18" s="81"/>
      <c r="H18" s="6">
        <v>1.5</v>
      </c>
      <c r="J18" s="79" t="s">
        <v>23</v>
      </c>
      <c r="K18" s="81"/>
      <c r="L18" s="16">
        <v>10</v>
      </c>
      <c r="Q18" s="158"/>
      <c r="R18" s="159"/>
      <c r="S18" s="159"/>
      <c r="T18" s="159"/>
      <c r="U18" s="159"/>
      <c r="V18" s="159"/>
      <c r="W18" s="159"/>
      <c r="X18" s="159"/>
      <c r="Y18" s="159"/>
      <c r="Z18" s="159"/>
      <c r="AA18" s="160"/>
    </row>
    <row r="19" spans="2:27" ht="17" thickBot="1" x14ac:dyDescent="0.25">
      <c r="Q19" s="158"/>
      <c r="R19" s="159"/>
      <c r="S19" s="159"/>
      <c r="T19" s="159"/>
      <c r="U19" s="159"/>
      <c r="V19" s="159"/>
      <c r="W19" s="159"/>
      <c r="X19" s="159"/>
      <c r="Y19" s="159"/>
      <c r="Z19" s="159"/>
      <c r="AA19" s="160"/>
    </row>
    <row r="20" spans="2:27" ht="17" customHeight="1" thickBot="1" x14ac:dyDescent="0.25">
      <c r="B20" s="79" t="s">
        <v>19</v>
      </c>
      <c r="C20" s="81"/>
      <c r="D20" s="6">
        <v>2</v>
      </c>
      <c r="F20" s="100" t="s">
        <v>56</v>
      </c>
      <c r="G20" s="101"/>
      <c r="H20" s="102"/>
      <c r="J20" s="115" t="s">
        <v>58</v>
      </c>
      <c r="K20" s="116"/>
      <c r="L20" s="17">
        <v>8.3759999999999994</v>
      </c>
      <c r="Q20" s="161"/>
      <c r="R20" s="162"/>
      <c r="S20" s="162"/>
      <c r="T20" s="162"/>
      <c r="U20" s="162"/>
      <c r="V20" s="162"/>
      <c r="W20" s="162"/>
      <c r="X20" s="162"/>
      <c r="Y20" s="162"/>
      <c r="Z20" s="162"/>
      <c r="AA20" s="163"/>
    </row>
    <row r="21" spans="2:27" ht="17" thickBot="1" x14ac:dyDescent="0.25">
      <c r="F21" s="103"/>
      <c r="G21" s="104"/>
      <c r="H21" s="105"/>
    </row>
    <row r="22" spans="2:27" x14ac:dyDescent="0.2">
      <c r="B22" s="119" t="s">
        <v>20</v>
      </c>
      <c r="C22" s="120"/>
      <c r="D22" s="121"/>
      <c r="F22" s="103"/>
      <c r="G22" s="104"/>
      <c r="H22" s="105"/>
      <c r="J22" s="67" t="s">
        <v>25</v>
      </c>
      <c r="K22" s="67"/>
      <c r="L22" s="1">
        <f>(L18/2000)^2*PI()</f>
        <v>7.8539816339744827E-5</v>
      </c>
      <c r="Q22" s="109" t="s">
        <v>79</v>
      </c>
      <c r="R22" s="110"/>
      <c r="S22" s="110"/>
      <c r="T22" s="110"/>
      <c r="U22" s="110"/>
      <c r="V22" s="110"/>
      <c r="W22" s="111"/>
    </row>
    <row r="23" spans="2:27" ht="17" thickBot="1" x14ac:dyDescent="0.25">
      <c r="B23" s="122"/>
      <c r="C23" s="123"/>
      <c r="D23" s="124"/>
      <c r="F23" s="106"/>
      <c r="G23" s="107"/>
      <c r="H23" s="108"/>
      <c r="Q23" s="112"/>
      <c r="R23" s="113"/>
      <c r="S23" s="113"/>
      <c r="T23" s="113"/>
      <c r="U23" s="113"/>
      <c r="V23" s="113"/>
      <c r="W23" s="114"/>
    </row>
    <row r="24" spans="2:27" ht="17" thickBot="1" x14ac:dyDescent="0.25">
      <c r="B24" s="122"/>
      <c r="C24" s="123"/>
      <c r="D24" s="124"/>
      <c r="J24" s="67" t="s">
        <v>26</v>
      </c>
      <c r="K24" s="67"/>
      <c r="L24" s="1">
        <f>PI()*(L20/2000)^2</f>
        <v>5.5101474259184218E-5</v>
      </c>
    </row>
    <row r="25" spans="2:27" ht="16" customHeight="1" thickBot="1" x14ac:dyDescent="0.25">
      <c r="B25" s="122"/>
      <c r="C25" s="123"/>
      <c r="D25" s="124"/>
      <c r="F25" s="79" t="s">
        <v>55</v>
      </c>
      <c r="G25" s="81"/>
      <c r="H25" s="16">
        <v>1</v>
      </c>
      <c r="Q25" s="150" t="s">
        <v>180</v>
      </c>
      <c r="R25" s="150"/>
      <c r="S25" s="150"/>
      <c r="T25" s="150"/>
      <c r="U25" s="150"/>
      <c r="V25" s="150"/>
      <c r="W25" s="150"/>
      <c r="X25" s="150"/>
      <c r="Y25" s="150"/>
      <c r="Z25" s="150"/>
      <c r="AA25" s="150"/>
    </row>
    <row r="26" spans="2:27" x14ac:dyDescent="0.2">
      <c r="B26" s="122"/>
      <c r="C26" s="123"/>
      <c r="D26" s="124"/>
      <c r="J26" s="67" t="s">
        <v>52</v>
      </c>
      <c r="K26" s="67"/>
      <c r="L26" s="31">
        <f>IF('Inputs + Outputs'!D18=1,'Bolt Standards'!B37,IF('Inputs + Outputs'!D18=2,'Bolt Standards'!C37,IF('Inputs + Outputs'!D18=3,'Bolt Standards'!D37,0)))</f>
        <v>379225000</v>
      </c>
      <c r="Q26" s="150"/>
      <c r="R26" s="150"/>
      <c r="S26" s="150"/>
      <c r="T26" s="150"/>
      <c r="U26" s="150"/>
      <c r="V26" s="150"/>
      <c r="W26" s="150"/>
      <c r="X26" s="150"/>
      <c r="Y26" s="150"/>
      <c r="Z26" s="150"/>
      <c r="AA26" s="150"/>
    </row>
    <row r="27" spans="2:27" x14ac:dyDescent="0.2">
      <c r="B27" s="122"/>
      <c r="C27" s="123"/>
      <c r="D27" s="124"/>
      <c r="F27" s="84" t="s">
        <v>57</v>
      </c>
      <c r="G27" s="99"/>
      <c r="H27" s="85"/>
      <c r="L27" s="11"/>
      <c r="Q27" s="150"/>
      <c r="R27" s="150"/>
      <c r="S27" s="150"/>
      <c r="T27" s="150"/>
      <c r="U27" s="150"/>
      <c r="V27" s="150"/>
      <c r="W27" s="150"/>
      <c r="X27" s="150"/>
      <c r="Y27" s="150"/>
      <c r="Z27" s="150"/>
      <c r="AA27" s="150"/>
    </row>
    <row r="28" spans="2:27" x14ac:dyDescent="0.2">
      <c r="B28" s="122"/>
      <c r="C28" s="123"/>
      <c r="D28" s="124"/>
      <c r="J28" s="67" t="s">
        <v>53</v>
      </c>
      <c r="K28" s="67"/>
      <c r="L28" s="31">
        <f>IF('Inputs + Outputs'!D18=1,'Bolt Standards'!B38,IF('Inputs + Outputs'!D18=2,'Bolt Standards'!C38,IF('Inputs + Outputs'!D18=3,'Bolt Standards'!D38,0)))</f>
        <v>510230000</v>
      </c>
      <c r="Q28" s="150"/>
      <c r="R28" s="150"/>
      <c r="S28" s="150"/>
      <c r="T28" s="150"/>
      <c r="U28" s="150"/>
      <c r="V28" s="150"/>
      <c r="W28" s="150"/>
      <c r="X28" s="150"/>
      <c r="Y28" s="150"/>
      <c r="Z28" s="150"/>
      <c r="AA28" s="150"/>
    </row>
    <row r="29" spans="2:27" x14ac:dyDescent="0.2">
      <c r="B29" s="125"/>
      <c r="C29" s="126"/>
      <c r="D29" s="127"/>
      <c r="L29" s="11"/>
      <c r="Q29" s="150"/>
      <c r="R29" s="150"/>
      <c r="S29" s="150"/>
      <c r="T29" s="150"/>
      <c r="U29" s="150"/>
      <c r="V29" s="150"/>
      <c r="W29" s="150"/>
      <c r="X29" s="150"/>
      <c r="Y29" s="150"/>
      <c r="Z29" s="150"/>
      <c r="AA29" s="150"/>
    </row>
    <row r="30" spans="2:27" x14ac:dyDescent="0.2">
      <c r="J30" s="67" t="s">
        <v>54</v>
      </c>
      <c r="K30" s="67"/>
      <c r="L30" s="31">
        <f>IF('Inputs + Outputs'!D18=1,'Bolt Standards'!B39,IF('Inputs + Outputs'!D18=2,'Bolt Standards'!C39,IF('Inputs + Outputs'!D18=3,'Bolt Standards'!D39,0)))</f>
        <v>393015000</v>
      </c>
      <c r="Q30" s="150"/>
      <c r="R30" s="150"/>
      <c r="S30" s="150"/>
      <c r="T30" s="150"/>
      <c r="U30" s="150"/>
      <c r="V30" s="150"/>
      <c r="W30" s="150"/>
      <c r="X30" s="150"/>
      <c r="Y30" s="150"/>
      <c r="Z30" s="150"/>
      <c r="AA30" s="150"/>
    </row>
    <row r="31" spans="2:27" x14ac:dyDescent="0.2">
      <c r="Q31" s="150"/>
      <c r="R31" s="150"/>
      <c r="S31" s="150"/>
      <c r="T31" s="150"/>
      <c r="U31" s="150"/>
      <c r="V31" s="150"/>
      <c r="W31" s="150"/>
      <c r="X31" s="150"/>
      <c r="Y31" s="150"/>
      <c r="Z31" s="150"/>
      <c r="AA31" s="150"/>
    </row>
    <row r="32" spans="2:27" ht="17" thickBot="1" x14ac:dyDescent="0.25">
      <c r="Q32" s="150"/>
      <c r="R32" s="150"/>
      <c r="S32" s="150"/>
      <c r="T32" s="150"/>
      <c r="U32" s="150"/>
      <c r="V32" s="150"/>
      <c r="W32" s="150"/>
      <c r="X32" s="150"/>
      <c r="Y32" s="150"/>
      <c r="Z32" s="150"/>
      <c r="AA32" s="150"/>
    </row>
    <row r="33" spans="2:27" ht="17" thickBot="1" x14ac:dyDescent="0.25">
      <c r="B33" s="109" t="s">
        <v>63</v>
      </c>
      <c r="C33" s="110"/>
      <c r="D33" s="110"/>
      <c r="E33" s="110"/>
      <c r="F33" s="110"/>
      <c r="G33" s="110"/>
      <c r="H33" s="111"/>
      <c r="I33" s="65" t="s">
        <v>10</v>
      </c>
      <c r="J33" s="66"/>
      <c r="M33" s="7"/>
      <c r="Q33" s="150"/>
      <c r="R33" s="150"/>
      <c r="S33" s="150"/>
      <c r="T33" s="150"/>
      <c r="U33" s="150"/>
      <c r="V33" s="150"/>
      <c r="W33" s="150"/>
      <c r="X33" s="150"/>
      <c r="Y33" s="150"/>
      <c r="Z33" s="150"/>
      <c r="AA33" s="150"/>
    </row>
    <row r="34" spans="2:27" ht="17" thickBot="1" x14ac:dyDescent="0.25">
      <c r="B34" s="112"/>
      <c r="C34" s="113"/>
      <c r="D34" s="113"/>
      <c r="E34" s="113"/>
      <c r="F34" s="113"/>
      <c r="G34" s="113"/>
      <c r="H34" s="114"/>
      <c r="I34" s="65" t="s">
        <v>82</v>
      </c>
      <c r="J34" s="66"/>
      <c r="Q34" s="150"/>
      <c r="R34" s="150"/>
      <c r="S34" s="150"/>
      <c r="T34" s="150"/>
      <c r="U34" s="150"/>
      <c r="V34" s="150"/>
      <c r="W34" s="150"/>
      <c r="X34" s="150"/>
      <c r="Y34" s="150"/>
      <c r="Z34" s="150"/>
      <c r="AA34" s="150"/>
    </row>
    <row r="35" spans="2:27" ht="17" thickBot="1" x14ac:dyDescent="0.25">
      <c r="Q35" s="150"/>
      <c r="R35" s="150"/>
      <c r="S35" s="150"/>
      <c r="T35" s="150"/>
      <c r="U35" s="150"/>
      <c r="V35" s="150"/>
      <c r="W35" s="150"/>
      <c r="X35" s="150"/>
      <c r="Y35" s="150"/>
      <c r="Z35" s="150"/>
      <c r="AA35" s="150"/>
    </row>
    <row r="36" spans="2:27" ht="17" customHeight="1" thickBot="1" x14ac:dyDescent="0.25">
      <c r="B36" s="22" t="s">
        <v>64</v>
      </c>
      <c r="C36" s="23">
        <v>20</v>
      </c>
      <c r="D36" s="47" t="s">
        <v>66</v>
      </c>
      <c r="E36" s="48"/>
      <c r="G36" s="119" t="s">
        <v>69</v>
      </c>
      <c r="H36" s="129"/>
      <c r="I36" s="129"/>
      <c r="J36" s="130"/>
      <c r="Q36" s="150"/>
      <c r="R36" s="150"/>
      <c r="S36" s="150"/>
      <c r="T36" s="150"/>
      <c r="U36" s="150"/>
      <c r="V36" s="150"/>
      <c r="W36" s="150"/>
      <c r="X36" s="150"/>
      <c r="Y36" s="150"/>
      <c r="Z36" s="150"/>
      <c r="AA36" s="150"/>
    </row>
    <row r="37" spans="2:27" ht="17" thickBot="1" x14ac:dyDescent="0.25">
      <c r="G37" s="131"/>
      <c r="H37" s="132"/>
      <c r="I37" s="132"/>
      <c r="J37" s="133"/>
      <c r="Q37" s="150"/>
      <c r="R37" s="150"/>
      <c r="S37" s="150"/>
      <c r="T37" s="150"/>
      <c r="U37" s="150"/>
      <c r="V37" s="150"/>
      <c r="W37" s="150"/>
      <c r="X37" s="150"/>
      <c r="Y37" s="150"/>
      <c r="Z37" s="150"/>
      <c r="AA37" s="150"/>
    </row>
    <row r="38" spans="2:27" ht="17" thickBot="1" x14ac:dyDescent="0.25">
      <c r="B38" s="22" t="s">
        <v>65</v>
      </c>
      <c r="C38" s="16">
        <v>10</v>
      </c>
      <c r="D38" s="84" t="s">
        <v>70</v>
      </c>
      <c r="E38" s="85"/>
      <c r="G38" s="134"/>
      <c r="H38" s="135"/>
      <c r="I38" s="135"/>
      <c r="J38" s="136"/>
      <c r="Q38" s="150"/>
      <c r="R38" s="150"/>
      <c r="S38" s="150"/>
      <c r="T38" s="150"/>
      <c r="U38" s="150"/>
      <c r="V38" s="150"/>
      <c r="W38" s="150"/>
      <c r="X38" s="150"/>
      <c r="Y38" s="150"/>
      <c r="Z38" s="150"/>
      <c r="AA38" s="150"/>
    </row>
    <row r="39" spans="2:27" ht="17" thickBot="1" x14ac:dyDescent="0.25"/>
    <row r="40" spans="2:27" ht="16" customHeight="1" thickBot="1" x14ac:dyDescent="0.25">
      <c r="B40" s="79" t="s">
        <v>67</v>
      </c>
      <c r="C40" s="80"/>
      <c r="D40" s="81"/>
      <c r="E40" s="16">
        <v>20</v>
      </c>
      <c r="G40" s="79" t="s">
        <v>71</v>
      </c>
      <c r="H40" s="80"/>
      <c r="I40" s="81"/>
      <c r="J40" s="24">
        <v>1</v>
      </c>
      <c r="Q40" s="109" t="s">
        <v>11</v>
      </c>
      <c r="R40" s="110"/>
      <c r="S40" s="110"/>
      <c r="T40" s="110"/>
      <c r="U40" s="110"/>
      <c r="V40" s="110"/>
      <c r="W40" s="111"/>
    </row>
    <row r="41" spans="2:27" ht="17" customHeight="1" thickBot="1" x14ac:dyDescent="0.25">
      <c r="Q41" s="112"/>
      <c r="R41" s="113"/>
      <c r="S41" s="113"/>
      <c r="T41" s="113"/>
      <c r="U41" s="113"/>
      <c r="V41" s="113"/>
      <c r="W41" s="114"/>
    </row>
    <row r="42" spans="2:27" ht="17" thickBot="1" x14ac:dyDescent="0.25">
      <c r="B42" s="79" t="s">
        <v>68</v>
      </c>
      <c r="C42" s="80"/>
      <c r="D42" s="81"/>
      <c r="E42" s="16">
        <v>10</v>
      </c>
      <c r="G42" s="79" t="s">
        <v>72</v>
      </c>
      <c r="H42" s="80"/>
      <c r="I42" s="81"/>
      <c r="J42" s="24">
        <v>2</v>
      </c>
    </row>
    <row r="43" spans="2:27" ht="17" thickBot="1" x14ac:dyDescent="0.25">
      <c r="Q43" s="151" t="s">
        <v>181</v>
      </c>
      <c r="R43" s="151"/>
      <c r="S43" s="151"/>
      <c r="T43" s="151"/>
      <c r="U43" s="151"/>
      <c r="V43" s="151"/>
      <c r="W43" s="151"/>
      <c r="X43" s="151"/>
      <c r="Y43" s="151"/>
      <c r="Z43" s="151"/>
      <c r="AA43" s="151"/>
    </row>
    <row r="44" spans="2:27" ht="17" thickBot="1" x14ac:dyDescent="0.25">
      <c r="B44" s="86" t="s">
        <v>75</v>
      </c>
      <c r="C44" s="87"/>
      <c r="D44" s="88"/>
      <c r="E44" s="32">
        <f>L24*L26/1000*'Bolt Standards'!D41</f>
        <v>17.761478089548262</v>
      </c>
      <c r="G44" s="115" t="s">
        <v>73</v>
      </c>
      <c r="H44" s="128"/>
      <c r="I44" s="116"/>
      <c r="J44" s="25">
        <v>2</v>
      </c>
      <c r="Q44" s="151"/>
      <c r="R44" s="151"/>
      <c r="S44" s="151"/>
      <c r="T44" s="151"/>
      <c r="U44" s="151"/>
      <c r="V44" s="151"/>
      <c r="W44" s="151"/>
      <c r="X44" s="151"/>
      <c r="Y44" s="151"/>
      <c r="Z44" s="151"/>
      <c r="AA44" s="151"/>
    </row>
    <row r="45" spans="2:27" ht="17" thickBot="1" x14ac:dyDescent="0.25">
      <c r="Q45" s="151"/>
      <c r="R45" s="151"/>
      <c r="S45" s="151"/>
      <c r="T45" s="151"/>
      <c r="U45" s="151"/>
      <c r="V45" s="151"/>
      <c r="W45" s="151"/>
      <c r="X45" s="151"/>
      <c r="Y45" s="151"/>
      <c r="Z45" s="151"/>
      <c r="AA45" s="151"/>
    </row>
    <row r="46" spans="2:27" ht="16" customHeight="1" thickBot="1" x14ac:dyDescent="0.25">
      <c r="B46" s="79" t="s">
        <v>78</v>
      </c>
      <c r="C46" s="80"/>
      <c r="D46" s="81"/>
      <c r="E46" s="16">
        <v>10000</v>
      </c>
      <c r="G46" s="100" t="s">
        <v>74</v>
      </c>
      <c r="H46" s="101"/>
      <c r="I46" s="101"/>
      <c r="J46" s="102"/>
      <c r="Q46" s="151"/>
      <c r="R46" s="151"/>
      <c r="S46" s="151"/>
      <c r="T46" s="151"/>
      <c r="U46" s="151"/>
      <c r="V46" s="151"/>
      <c r="W46" s="151"/>
      <c r="X46" s="151"/>
      <c r="Y46" s="151"/>
      <c r="Z46" s="151"/>
      <c r="AA46" s="151"/>
    </row>
    <row r="47" spans="2:27" ht="17" thickBot="1" x14ac:dyDescent="0.25">
      <c r="G47" s="103"/>
      <c r="H47" s="104"/>
      <c r="I47" s="104"/>
      <c r="J47" s="105"/>
      <c r="Q47" s="151"/>
      <c r="R47" s="151"/>
      <c r="S47" s="151"/>
      <c r="T47" s="151"/>
      <c r="U47" s="151"/>
      <c r="V47" s="151"/>
      <c r="W47" s="151"/>
      <c r="X47" s="151"/>
      <c r="Y47" s="151"/>
      <c r="Z47" s="151"/>
      <c r="AA47" s="151"/>
    </row>
    <row r="48" spans="2:27" ht="17" thickBot="1" x14ac:dyDescent="0.25">
      <c r="B48" s="22" t="s">
        <v>138</v>
      </c>
      <c r="C48" s="30">
        <v>1</v>
      </c>
      <c r="D48" s="51" t="s">
        <v>158</v>
      </c>
      <c r="E48" s="52"/>
      <c r="G48" s="103"/>
      <c r="H48" s="104"/>
      <c r="I48" s="104"/>
      <c r="J48" s="105"/>
      <c r="Q48" s="151"/>
      <c r="R48" s="151"/>
      <c r="S48" s="151"/>
      <c r="T48" s="151"/>
      <c r="U48" s="151"/>
      <c r="V48" s="151"/>
      <c r="W48" s="151"/>
      <c r="X48" s="151"/>
      <c r="Y48" s="151"/>
      <c r="Z48" s="151"/>
      <c r="AA48" s="151"/>
    </row>
    <row r="49" spans="2:27" x14ac:dyDescent="0.2">
      <c r="D49" s="53"/>
      <c r="E49" s="54"/>
      <c r="G49" s="106"/>
      <c r="H49" s="107"/>
      <c r="I49" s="107"/>
      <c r="J49" s="108"/>
      <c r="Q49" s="151"/>
      <c r="R49" s="151"/>
      <c r="S49" s="151"/>
      <c r="T49" s="151"/>
      <c r="U49" s="151"/>
      <c r="V49" s="151"/>
      <c r="W49" s="151"/>
      <c r="X49" s="151"/>
      <c r="Y49" s="151"/>
      <c r="Z49" s="151"/>
      <c r="AA49" s="151"/>
    </row>
    <row r="50" spans="2:27" ht="17" thickBot="1" x14ac:dyDescent="0.25">
      <c r="Q50" s="151"/>
      <c r="R50" s="151"/>
      <c r="S50" s="151"/>
      <c r="T50" s="151"/>
      <c r="U50" s="151"/>
      <c r="V50" s="151"/>
      <c r="W50" s="151"/>
      <c r="X50" s="151"/>
      <c r="Y50" s="151"/>
      <c r="Z50" s="151"/>
      <c r="AA50" s="151"/>
    </row>
    <row r="51" spans="2:27" ht="17" thickBot="1" x14ac:dyDescent="0.25">
      <c r="B51" s="74" t="s">
        <v>128</v>
      </c>
      <c r="C51" s="75"/>
      <c r="D51" s="76"/>
      <c r="G51" s="74" t="s">
        <v>121</v>
      </c>
      <c r="H51" s="75"/>
      <c r="I51" s="76"/>
      <c r="Q51" s="151"/>
      <c r="R51" s="151"/>
      <c r="S51" s="151"/>
      <c r="T51" s="151"/>
      <c r="U51" s="151"/>
      <c r="V51" s="151"/>
      <c r="W51" s="151"/>
      <c r="X51" s="151"/>
      <c r="Y51" s="151"/>
      <c r="Z51" s="151"/>
      <c r="AA51" s="151"/>
    </row>
    <row r="52" spans="2:27" ht="17" thickBot="1" x14ac:dyDescent="0.25">
      <c r="Q52" s="151"/>
      <c r="R52" s="151"/>
      <c r="S52" s="151"/>
      <c r="T52" s="151"/>
      <c r="U52" s="151"/>
      <c r="V52" s="151"/>
      <c r="W52" s="151"/>
      <c r="X52" s="151"/>
      <c r="Y52" s="151"/>
      <c r="Z52" s="151"/>
      <c r="AA52" s="151"/>
    </row>
    <row r="53" spans="2:27" ht="17" thickBot="1" x14ac:dyDescent="0.25">
      <c r="B53" s="74" t="s">
        <v>129</v>
      </c>
      <c r="C53" s="76"/>
      <c r="G53" s="74" t="s">
        <v>122</v>
      </c>
      <c r="H53" s="76"/>
      <c r="Q53" s="151"/>
      <c r="R53" s="151"/>
      <c r="S53" s="151"/>
      <c r="T53" s="151"/>
      <c r="U53" s="151"/>
      <c r="V53" s="151"/>
      <c r="W53" s="151"/>
      <c r="X53" s="151"/>
      <c r="Y53" s="151"/>
      <c r="Z53" s="151"/>
      <c r="AA53" s="151"/>
    </row>
    <row r="54" spans="2:27" x14ac:dyDescent="0.2">
      <c r="B54" s="77" t="s">
        <v>130</v>
      </c>
      <c r="C54" s="77"/>
      <c r="D54" s="21">
        <f>H18*L18/1000</f>
        <v>1.4999999999999999E-2</v>
      </c>
      <c r="G54" s="77" t="s">
        <v>123</v>
      </c>
      <c r="H54" s="77"/>
      <c r="I54" s="21">
        <f>VLOOKUP(J40,'Material Properties'!B6:J8,3)</f>
        <v>68900000000</v>
      </c>
      <c r="Q54" s="151"/>
      <c r="R54" s="151"/>
      <c r="S54" s="151"/>
      <c r="T54" s="151"/>
      <c r="U54" s="151"/>
      <c r="V54" s="151"/>
      <c r="W54" s="151"/>
      <c r="X54" s="151"/>
      <c r="Y54" s="151"/>
      <c r="Z54" s="151"/>
      <c r="AA54" s="151"/>
    </row>
    <row r="55" spans="2:27" ht="17" thickBot="1" x14ac:dyDescent="0.25">
      <c r="G55" s="67" t="s">
        <v>124</v>
      </c>
      <c r="H55" s="67"/>
      <c r="I55" s="21">
        <f>VLOOKUP(J40,'Material Properties'!B6:J8,4)</f>
        <v>276000000</v>
      </c>
      <c r="Q55" s="151"/>
      <c r="R55" s="151"/>
      <c r="S55" s="151"/>
      <c r="T55" s="151"/>
      <c r="U55" s="151"/>
      <c r="V55" s="151"/>
      <c r="W55" s="151"/>
      <c r="X55" s="151"/>
      <c r="Y55" s="151"/>
      <c r="Z55" s="151"/>
      <c r="AA55" s="151"/>
    </row>
    <row r="56" spans="2:27" ht="17" thickBot="1" x14ac:dyDescent="0.25">
      <c r="B56" s="74" t="s">
        <v>132</v>
      </c>
      <c r="C56" s="76"/>
      <c r="G56" s="67" t="s">
        <v>125</v>
      </c>
      <c r="H56" s="67"/>
      <c r="I56" s="21">
        <f>VLOOKUP(J40,'Material Properties'!B6:J8,5)</f>
        <v>310000000</v>
      </c>
      <c r="Q56" s="151"/>
      <c r="R56" s="151"/>
      <c r="S56" s="151"/>
      <c r="T56" s="151"/>
      <c r="U56" s="151"/>
      <c r="V56" s="151"/>
      <c r="W56" s="151"/>
      <c r="X56" s="151"/>
      <c r="Y56" s="151"/>
      <c r="Z56" s="151"/>
      <c r="AA56" s="151"/>
    </row>
    <row r="57" spans="2:27" ht="17" thickBot="1" x14ac:dyDescent="0.25">
      <c r="B57" s="77" t="s">
        <v>131</v>
      </c>
      <c r="C57" s="78"/>
      <c r="D57" s="38">
        <f>L22*L24*I74/(L22*C38/1000+L24*C36/1000)</f>
        <v>337927224.49015456</v>
      </c>
      <c r="E57" s="46"/>
      <c r="G57" s="67" t="s">
        <v>112</v>
      </c>
      <c r="H57" s="67"/>
      <c r="I57" s="21">
        <f>VLOOKUP(J40,'Material Properties'!B6:J8,6)</f>
        <v>0.33</v>
      </c>
    </row>
    <row r="58" spans="2:27" ht="17" thickBot="1" x14ac:dyDescent="0.25">
      <c r="B58" s="49" t="s">
        <v>142</v>
      </c>
      <c r="C58" s="50"/>
      <c r="D58" s="37">
        <f>TAN(D60)*(C36/1000+C38/1000)/2*2+D54</f>
        <v>3.2320508075688772E-2</v>
      </c>
      <c r="E58" s="41"/>
      <c r="F58" s="42"/>
      <c r="Q58" s="109" t="s">
        <v>12</v>
      </c>
      <c r="R58" s="110"/>
      <c r="S58" s="110"/>
      <c r="T58" s="110"/>
      <c r="U58" s="110"/>
      <c r="V58" s="110"/>
      <c r="W58" s="111"/>
    </row>
    <row r="59" spans="2:27" ht="17" thickBot="1" x14ac:dyDescent="0.25">
      <c r="B59" s="49" t="s">
        <v>147</v>
      </c>
      <c r="C59" s="50"/>
      <c r="D59" s="33">
        <f>IF(C48=1,E42/1000,E40/1000)</f>
        <v>0.01</v>
      </c>
      <c r="E59" s="42"/>
      <c r="G59" s="65" t="s">
        <v>126</v>
      </c>
      <c r="H59" s="66"/>
      <c r="Q59" s="112"/>
      <c r="R59" s="113"/>
      <c r="S59" s="113"/>
      <c r="T59" s="113"/>
      <c r="U59" s="113"/>
      <c r="V59" s="113"/>
      <c r="W59" s="114"/>
    </row>
    <row r="60" spans="2:27" x14ac:dyDescent="0.2">
      <c r="B60" s="77" t="s">
        <v>148</v>
      </c>
      <c r="C60" s="77"/>
      <c r="D60" s="34">
        <f>PI()/6</f>
        <v>0.52359877559829882</v>
      </c>
      <c r="G60" s="67" t="s">
        <v>123</v>
      </c>
      <c r="H60" s="67"/>
      <c r="I60" s="21">
        <f>VLOOKUP(J42,'Material Properties'!B6:J8,3)</f>
        <v>205000000000</v>
      </c>
    </row>
    <row r="61" spans="2:27" x14ac:dyDescent="0.2">
      <c r="B61" s="49" t="s">
        <v>144</v>
      </c>
      <c r="C61" s="50"/>
      <c r="D61" s="33">
        <f>(E40/1000+E42/1000)/2</f>
        <v>1.4999999999999999E-2</v>
      </c>
      <c r="G61" s="67" t="s">
        <v>124</v>
      </c>
      <c r="H61" s="67"/>
      <c r="I61" s="21">
        <f>VLOOKUP(J42,'Material Properties'!B6:J8,4)</f>
        <v>435000000</v>
      </c>
      <c r="Q61" s="137" t="s">
        <v>13</v>
      </c>
      <c r="R61" s="138"/>
      <c r="T61" s="139" t="s">
        <v>139</v>
      </c>
      <c r="U61" s="140"/>
      <c r="W61" s="141" t="s">
        <v>141</v>
      </c>
      <c r="X61" s="141"/>
      <c r="Z61" s="142" t="s">
        <v>140</v>
      </c>
      <c r="AA61" s="142"/>
    </row>
    <row r="62" spans="2:27" ht="17" thickBot="1" x14ac:dyDescent="0.25">
      <c r="B62" s="49" t="s">
        <v>145</v>
      </c>
      <c r="C62" s="50"/>
      <c r="D62" s="33">
        <f>D61-D59</f>
        <v>4.9999999999999992E-3</v>
      </c>
      <c r="G62" s="67" t="s">
        <v>125</v>
      </c>
      <c r="H62" s="67"/>
      <c r="I62" s="21">
        <f>VLOOKUP(J42,'Material Properties'!B6:J8,5)</f>
        <v>670000000</v>
      </c>
    </row>
    <row r="63" spans="2:27" ht="17" thickBot="1" x14ac:dyDescent="0.25">
      <c r="B63" s="49" t="s">
        <v>146</v>
      </c>
      <c r="C63" s="50"/>
      <c r="D63" s="33">
        <f>TAN(D60)*(D59)*2+D54</f>
        <v>2.654700538379251E-2</v>
      </c>
      <c r="G63" s="67" t="s">
        <v>112</v>
      </c>
      <c r="H63" s="67"/>
      <c r="I63" s="21">
        <f>VLOOKUP(J42,'Material Properties'!B6:J8,6)</f>
        <v>0.28999999999999998</v>
      </c>
      <c r="Q63" s="143" t="s">
        <v>117</v>
      </c>
      <c r="R63" s="143"/>
      <c r="T63" s="144" t="s">
        <v>14</v>
      </c>
      <c r="U63" s="145"/>
      <c r="W63" s="146" t="s">
        <v>15</v>
      </c>
      <c r="X63" s="147"/>
      <c r="Z63" s="148" t="s">
        <v>16</v>
      </c>
      <c r="AA63" s="149"/>
    </row>
    <row r="64" spans="2:27" ht="17" thickBot="1" x14ac:dyDescent="0.25">
      <c r="B64" s="49" t="s">
        <v>143</v>
      </c>
      <c r="C64" s="50"/>
      <c r="D64" s="33">
        <f>0.5774*PI()*I54*L18/1000/LN(((1.155*D59+D54-L18/1000)*(D54+L18/1000))/((1.155*D59+D54+L18/1000)*(D54-L18/1000)))</f>
        <v>1529494433.8103206</v>
      </c>
    </row>
    <row r="65" spans="2:27" ht="17" thickBot="1" x14ac:dyDescent="0.25">
      <c r="B65" s="49" t="s">
        <v>149</v>
      </c>
      <c r="C65" s="50"/>
      <c r="D65" s="33">
        <f>D64*I60/I54</f>
        <v>4550745412.6431894</v>
      </c>
      <c r="G65" s="65" t="s">
        <v>127</v>
      </c>
      <c r="H65" s="66"/>
      <c r="Q65" s="117" t="s">
        <v>18</v>
      </c>
      <c r="R65" s="118"/>
      <c r="T65" s="89" t="s">
        <v>80</v>
      </c>
      <c r="U65" s="89"/>
      <c r="W65" s="82" t="s">
        <v>81</v>
      </c>
      <c r="X65" s="83"/>
    </row>
    <row r="66" spans="2:27" ht="17" thickBot="1" x14ac:dyDescent="0.25">
      <c r="B66" s="49" t="s">
        <v>150</v>
      </c>
      <c r="C66" s="50"/>
      <c r="D66" s="33">
        <f>0.5774*PI()*L18/1000/LN(((1.155*D62+D63-L18/1000)*(D63+L18/1000))/((1.155*D62+D63+L18/1000)*(D63-L18/1000)))</f>
        <v>0.11882330589152318</v>
      </c>
      <c r="E66" s="40" t="s">
        <v>159</v>
      </c>
      <c r="G66" s="67" t="s">
        <v>123</v>
      </c>
      <c r="H66" s="67"/>
      <c r="I66" s="21">
        <f>VLOOKUP(J44,'Material Properties'!B6:J8,3)</f>
        <v>205000000000</v>
      </c>
    </row>
    <row r="67" spans="2:27" x14ac:dyDescent="0.2">
      <c r="B67" s="49" t="s">
        <v>157</v>
      </c>
      <c r="C67" s="50"/>
      <c r="D67" s="33">
        <f>1/(1/D66+1/D66)</f>
        <v>5.9411652945761596E-2</v>
      </c>
      <c r="E67" s="40" t="s">
        <v>159</v>
      </c>
      <c r="G67" s="67" t="s">
        <v>124</v>
      </c>
      <c r="H67" s="67"/>
      <c r="I67" s="21">
        <f>VLOOKUP(J44,'Material Properties'!B6:J8,4)</f>
        <v>435000000</v>
      </c>
      <c r="Q67" s="90" t="s">
        <v>183</v>
      </c>
      <c r="R67" s="91"/>
      <c r="S67" s="91"/>
      <c r="T67" s="91"/>
      <c r="U67" s="91"/>
      <c r="V67" s="91"/>
      <c r="W67" s="91"/>
      <c r="X67" s="91"/>
      <c r="Y67" s="91"/>
      <c r="Z67" s="91"/>
      <c r="AA67" s="92"/>
    </row>
    <row r="68" spans="2:27" x14ac:dyDescent="0.2">
      <c r="G68" s="67" t="s">
        <v>125</v>
      </c>
      <c r="H68" s="67"/>
      <c r="I68" s="21">
        <f>VLOOKUP(J44,'Material Properties'!B6:J8,5)</f>
        <v>670000000</v>
      </c>
      <c r="Q68" s="93"/>
      <c r="R68" s="94"/>
      <c r="S68" s="94"/>
      <c r="T68" s="94"/>
      <c r="U68" s="94"/>
      <c r="V68" s="94"/>
      <c r="W68" s="94"/>
      <c r="X68" s="94"/>
      <c r="Y68" s="94"/>
      <c r="Z68" s="94"/>
      <c r="AA68" s="95"/>
    </row>
    <row r="69" spans="2:27" x14ac:dyDescent="0.2">
      <c r="B69" s="49" t="s">
        <v>151</v>
      </c>
      <c r="C69" s="50"/>
      <c r="D69" s="35">
        <f>IF(C48=2,D64,IF(C48=1,1/(1/D64+1/(D67*I54)),D64))</f>
        <v>1113458335.8662233</v>
      </c>
      <c r="G69" s="67" t="s">
        <v>112</v>
      </c>
      <c r="H69" s="67"/>
      <c r="I69" s="21">
        <f>VLOOKUP(J44,'Material Properties'!B6:J8,6)</f>
        <v>0.28999999999999998</v>
      </c>
      <c r="Q69" s="93"/>
      <c r="R69" s="94"/>
      <c r="S69" s="94"/>
      <c r="T69" s="94"/>
      <c r="U69" s="94"/>
      <c r="V69" s="94"/>
      <c r="W69" s="94"/>
      <c r="X69" s="94"/>
      <c r="Y69" s="94"/>
      <c r="Z69" s="94"/>
      <c r="AA69" s="95"/>
    </row>
    <row r="70" spans="2:27" ht="17" thickBot="1" x14ac:dyDescent="0.25">
      <c r="B70" s="49" t="s">
        <v>152</v>
      </c>
      <c r="C70" s="50"/>
      <c r="D70" s="35">
        <f>IF(C48=2,D65,IF(C48=1,D65,1/(1/D65+1/(D67*I60))))</f>
        <v>4550745412.6431894</v>
      </c>
      <c r="Q70" s="93"/>
      <c r="R70" s="94"/>
      <c r="S70" s="94"/>
      <c r="T70" s="94"/>
      <c r="U70" s="94"/>
      <c r="V70" s="94"/>
      <c r="W70" s="94"/>
      <c r="X70" s="94"/>
      <c r="Y70" s="94"/>
      <c r="Z70" s="94"/>
      <c r="AA70" s="95"/>
    </row>
    <row r="71" spans="2:27" ht="17" thickBot="1" x14ac:dyDescent="0.25">
      <c r="B71" s="49" t="s">
        <v>153</v>
      </c>
      <c r="C71" s="50"/>
      <c r="D71" s="35">
        <f>1/(1/D69+1/D70)</f>
        <v>894576826.52146471</v>
      </c>
      <c r="G71" s="65" t="s">
        <v>133</v>
      </c>
      <c r="H71" s="66"/>
      <c r="Q71" s="93"/>
      <c r="R71" s="94"/>
      <c r="S71" s="94"/>
      <c r="T71" s="94"/>
      <c r="U71" s="94"/>
      <c r="V71" s="94"/>
      <c r="W71" s="94"/>
      <c r="X71" s="94"/>
      <c r="Y71" s="94"/>
      <c r="Z71" s="94"/>
      <c r="AA71" s="95"/>
    </row>
    <row r="72" spans="2:27" x14ac:dyDescent="0.2">
      <c r="G72" s="67" t="s">
        <v>123</v>
      </c>
      <c r="H72" s="67"/>
      <c r="I72" s="28">
        <f>L30/0.002</f>
        <v>196507500000</v>
      </c>
      <c r="Q72" s="93"/>
      <c r="R72" s="94"/>
      <c r="S72" s="94"/>
      <c r="T72" s="94"/>
      <c r="U72" s="94"/>
      <c r="V72" s="94"/>
      <c r="W72" s="94"/>
      <c r="X72" s="94"/>
      <c r="Y72" s="94"/>
      <c r="Z72" s="94"/>
      <c r="AA72" s="95"/>
    </row>
    <row r="73" spans="2:27" x14ac:dyDescent="0.2">
      <c r="B73" s="49" t="s">
        <v>154</v>
      </c>
      <c r="C73" s="50"/>
      <c r="D73" s="35">
        <f>D71+D57</f>
        <v>1232504051.0116193</v>
      </c>
      <c r="G73" s="67" t="s">
        <v>136</v>
      </c>
      <c r="H73" s="67"/>
      <c r="I73" s="28">
        <v>0.75</v>
      </c>
      <c r="Q73" s="93"/>
      <c r="R73" s="94"/>
      <c r="S73" s="94"/>
      <c r="T73" s="94"/>
      <c r="U73" s="94"/>
      <c r="V73" s="94"/>
      <c r="W73" s="94"/>
      <c r="X73" s="94"/>
      <c r="Y73" s="94"/>
      <c r="Z73" s="94"/>
      <c r="AA73" s="95"/>
    </row>
    <row r="74" spans="2:27" x14ac:dyDescent="0.2">
      <c r="B74" s="49" t="s">
        <v>155</v>
      </c>
      <c r="C74" s="50"/>
      <c r="D74" s="36">
        <f>0.1*D73</f>
        <v>123250405.10116194</v>
      </c>
      <c r="G74" s="67" t="s">
        <v>137</v>
      </c>
      <c r="H74" s="67"/>
      <c r="I74" s="28">
        <f>I72*I73</f>
        <v>147380625000</v>
      </c>
      <c r="Q74" s="93"/>
      <c r="R74" s="94"/>
      <c r="S74" s="94"/>
      <c r="T74" s="94"/>
      <c r="U74" s="94"/>
      <c r="V74" s="94"/>
      <c r="W74" s="94"/>
      <c r="X74" s="94"/>
      <c r="Y74" s="94"/>
      <c r="Z74" s="94"/>
      <c r="AA74" s="95"/>
    </row>
    <row r="75" spans="2:27" x14ac:dyDescent="0.2">
      <c r="G75" s="29"/>
      <c r="H75" s="29"/>
      <c r="I75" s="29"/>
      <c r="Q75" s="93"/>
      <c r="R75" s="94"/>
      <c r="S75" s="94"/>
      <c r="T75" s="94"/>
      <c r="U75" s="94"/>
      <c r="V75" s="94"/>
      <c r="W75" s="94"/>
      <c r="X75" s="94"/>
      <c r="Y75" s="94"/>
      <c r="Z75" s="94"/>
      <c r="AA75" s="95"/>
    </row>
    <row r="76" spans="2:27" x14ac:dyDescent="0.2">
      <c r="B76" s="68" t="s">
        <v>156</v>
      </c>
      <c r="C76" s="69"/>
      <c r="D76" s="70"/>
      <c r="E76" s="11"/>
      <c r="G76" s="68" t="s">
        <v>134</v>
      </c>
      <c r="H76" s="69"/>
      <c r="I76" s="70"/>
      <c r="Q76" s="93"/>
      <c r="R76" s="94"/>
      <c r="S76" s="94"/>
      <c r="T76" s="94"/>
      <c r="U76" s="94"/>
      <c r="V76" s="94"/>
      <c r="W76" s="94"/>
      <c r="X76" s="94"/>
      <c r="Y76" s="94"/>
      <c r="Z76" s="94"/>
      <c r="AA76" s="95"/>
    </row>
    <row r="77" spans="2:27" x14ac:dyDescent="0.2">
      <c r="B77" s="71"/>
      <c r="C77" s="72"/>
      <c r="D77" s="73"/>
      <c r="E77" s="11"/>
      <c r="G77" s="71"/>
      <c r="H77" s="72"/>
      <c r="I77" s="73"/>
      <c r="Q77" s="93"/>
      <c r="R77" s="94"/>
      <c r="S77" s="94"/>
      <c r="T77" s="94"/>
      <c r="U77" s="94"/>
      <c r="V77" s="94"/>
      <c r="W77" s="94"/>
      <c r="X77" s="94"/>
      <c r="Y77" s="94"/>
      <c r="Z77" s="94"/>
      <c r="AA77" s="95"/>
    </row>
    <row r="78" spans="2:27" x14ac:dyDescent="0.2">
      <c r="Q78" s="93"/>
      <c r="R78" s="94"/>
      <c r="S78" s="94"/>
      <c r="T78" s="94"/>
      <c r="U78" s="94"/>
      <c r="V78" s="94"/>
      <c r="W78" s="94"/>
      <c r="X78" s="94"/>
      <c r="Y78" s="94"/>
      <c r="Z78" s="94"/>
      <c r="AA78" s="95"/>
    </row>
    <row r="79" spans="2:27" x14ac:dyDescent="0.2">
      <c r="B79" s="49" t="s">
        <v>155</v>
      </c>
      <c r="C79" s="50"/>
      <c r="D79" s="39"/>
      <c r="E79" s="43" t="s">
        <v>160</v>
      </c>
      <c r="G79" s="67" t="s">
        <v>135</v>
      </c>
      <c r="H79" s="67"/>
      <c r="I79" s="21">
        <f>'Material Properties'!D7</f>
        <v>205000000000</v>
      </c>
      <c r="Q79" s="93"/>
      <c r="R79" s="94"/>
      <c r="S79" s="94"/>
      <c r="T79" s="94"/>
      <c r="U79" s="94"/>
      <c r="V79" s="94"/>
      <c r="W79" s="94"/>
      <c r="X79" s="94"/>
      <c r="Y79" s="94"/>
      <c r="Z79" s="94"/>
      <c r="AA79" s="95"/>
    </row>
    <row r="80" spans="2:27" x14ac:dyDescent="0.2">
      <c r="B80" s="49" t="s">
        <v>155</v>
      </c>
      <c r="C80" s="50"/>
      <c r="D80" s="39"/>
      <c r="E80" s="43" t="s">
        <v>160</v>
      </c>
      <c r="Q80" s="93"/>
      <c r="R80" s="94"/>
      <c r="S80" s="94"/>
      <c r="T80" s="94"/>
      <c r="U80" s="94"/>
      <c r="V80" s="94"/>
      <c r="W80" s="94"/>
      <c r="X80" s="94"/>
      <c r="Y80" s="94"/>
      <c r="Z80" s="94"/>
      <c r="AA80" s="95"/>
    </row>
    <row r="81" spans="2:27" x14ac:dyDescent="0.2">
      <c r="Q81" s="93"/>
      <c r="R81" s="94"/>
      <c r="S81" s="94"/>
      <c r="T81" s="94"/>
      <c r="U81" s="94"/>
      <c r="V81" s="94"/>
      <c r="W81" s="94"/>
      <c r="X81" s="94"/>
      <c r="Y81" s="94"/>
      <c r="Z81" s="94"/>
      <c r="AA81" s="95"/>
    </row>
    <row r="82" spans="2:27" ht="17" thickBot="1" x14ac:dyDescent="0.25">
      <c r="B82" s="11"/>
      <c r="K82" t="s">
        <v>163</v>
      </c>
      <c r="Q82" s="93"/>
      <c r="R82" s="94"/>
      <c r="S82" s="94"/>
      <c r="T82" s="94"/>
      <c r="U82" s="94"/>
      <c r="V82" s="94"/>
      <c r="W82" s="94"/>
      <c r="X82" s="94"/>
      <c r="Y82" s="94"/>
      <c r="Z82" s="94"/>
      <c r="AA82" s="95"/>
    </row>
    <row r="83" spans="2:27" x14ac:dyDescent="0.2">
      <c r="B83" s="59" t="s">
        <v>166</v>
      </c>
      <c r="C83" s="60"/>
      <c r="D83" s="60"/>
      <c r="E83" s="60"/>
      <c r="F83" s="60"/>
      <c r="G83" s="60"/>
      <c r="H83" s="61"/>
      <c r="Q83" s="93"/>
      <c r="R83" s="94"/>
      <c r="S83" s="94"/>
      <c r="T83" s="94"/>
      <c r="U83" s="94"/>
      <c r="V83" s="94"/>
      <c r="W83" s="94"/>
      <c r="X83" s="94"/>
      <c r="Y83" s="94"/>
      <c r="Z83" s="94"/>
      <c r="AA83" s="95"/>
    </row>
    <row r="84" spans="2:27" ht="17" thickBot="1" x14ac:dyDescent="0.25">
      <c r="B84" s="62"/>
      <c r="C84" s="63"/>
      <c r="D84" s="63"/>
      <c r="E84" s="63"/>
      <c r="F84" s="63"/>
      <c r="G84" s="63"/>
      <c r="H84" s="64"/>
      <c r="Q84" s="93"/>
      <c r="R84" s="94"/>
      <c r="S84" s="94"/>
      <c r="T84" s="94"/>
      <c r="U84" s="94"/>
      <c r="V84" s="94"/>
      <c r="W84" s="94"/>
      <c r="X84" s="94"/>
      <c r="Y84" s="94"/>
      <c r="Z84" s="94"/>
      <c r="AA84" s="95"/>
    </row>
    <row r="85" spans="2:27" ht="17" thickBot="1" x14ac:dyDescent="0.25">
      <c r="B85" s="11"/>
      <c r="C85" s="11"/>
      <c r="G85" s="11"/>
      <c r="Q85" s="96"/>
      <c r="R85" s="97"/>
      <c r="S85" s="97"/>
      <c r="T85" s="97"/>
      <c r="U85" s="97"/>
      <c r="V85" s="97"/>
      <c r="W85" s="97"/>
      <c r="X85" s="97"/>
      <c r="Y85" s="97"/>
      <c r="Z85" s="97"/>
      <c r="AA85" s="98"/>
    </row>
    <row r="86" spans="2:27" ht="17" thickBot="1" x14ac:dyDescent="0.25">
      <c r="B86" s="65" t="s">
        <v>161</v>
      </c>
      <c r="C86" s="66"/>
      <c r="G86" s="11"/>
      <c r="H86" s="57" t="s">
        <v>167</v>
      </c>
      <c r="I86" s="58"/>
    </row>
    <row r="87" spans="2:27" x14ac:dyDescent="0.2">
      <c r="B87" s="49" t="s">
        <v>162</v>
      </c>
      <c r="C87" s="50"/>
      <c r="D87" s="44">
        <f>D57/D73</f>
        <v>0.27417940266629498</v>
      </c>
      <c r="E87" s="55" t="s">
        <v>173</v>
      </c>
      <c r="F87" s="56"/>
      <c r="G87" s="11"/>
      <c r="H87" s="49" t="s">
        <v>171</v>
      </c>
      <c r="I87" s="50"/>
      <c r="J87" s="38">
        <f>E46/D57*10^6</f>
        <v>29.592170370669109</v>
      </c>
      <c r="K87" s="51" t="s">
        <v>168</v>
      </c>
      <c r="L87" s="52"/>
    </row>
    <row r="88" spans="2:27" x14ac:dyDescent="0.2">
      <c r="B88" s="49" t="s">
        <v>164</v>
      </c>
      <c r="C88" s="50"/>
      <c r="D88" s="45">
        <f>E46/1000</f>
        <v>10</v>
      </c>
      <c r="H88" s="49" t="s">
        <v>172</v>
      </c>
      <c r="I88" s="50"/>
      <c r="J88" s="38">
        <f>-E46/D71*10^6</f>
        <v>-11.17846975634804</v>
      </c>
      <c r="K88" s="53"/>
      <c r="L88" s="54"/>
    </row>
    <row r="89" spans="2:27" x14ac:dyDescent="0.2">
      <c r="B89" s="49" t="s">
        <v>165</v>
      </c>
      <c r="C89" s="50"/>
      <c r="D89" s="45">
        <f>D88/(1-D87)</f>
        <v>13.777509258809825</v>
      </c>
    </row>
    <row r="90" spans="2:27" x14ac:dyDescent="0.2">
      <c r="B90" s="49" t="s">
        <v>174</v>
      </c>
      <c r="C90" s="50"/>
      <c r="D90" s="45">
        <f>L28*L24/1000</f>
        <v>28.114425211263562</v>
      </c>
    </row>
    <row r="91" spans="2:27" x14ac:dyDescent="0.2">
      <c r="H91" s="4"/>
      <c r="I91" s="4"/>
    </row>
    <row r="92" spans="2:27" x14ac:dyDescent="0.2">
      <c r="H92" s="11"/>
      <c r="I92" s="11"/>
    </row>
    <row r="93" spans="2:27" x14ac:dyDescent="0.2">
      <c r="H93" s="11"/>
      <c r="I93" s="13" t="s">
        <v>169</v>
      </c>
      <c r="J93" s="4" t="s">
        <v>170</v>
      </c>
    </row>
    <row r="94" spans="2:27" x14ac:dyDescent="0.2">
      <c r="B94" s="4" t="s">
        <v>175</v>
      </c>
      <c r="C94" s="4" t="s">
        <v>176</v>
      </c>
      <c r="H94" s="11"/>
      <c r="I94" s="42">
        <f>J88</f>
        <v>-11.17846975634804</v>
      </c>
      <c r="J94" s="42">
        <f>-D88</f>
        <v>-10</v>
      </c>
    </row>
    <row r="95" spans="2:27" x14ac:dyDescent="0.2">
      <c r="B95">
        <v>0</v>
      </c>
      <c r="C95" s="42">
        <f>D88</f>
        <v>10</v>
      </c>
      <c r="I95" s="42">
        <v>0</v>
      </c>
      <c r="J95" s="42">
        <v>0</v>
      </c>
    </row>
    <row r="96" spans="2:27" x14ac:dyDescent="0.2">
      <c r="B96" s="42">
        <f>D89</f>
        <v>13.777509258809825</v>
      </c>
      <c r="C96" s="42">
        <f>D89</f>
        <v>13.777509258809825</v>
      </c>
      <c r="I96" s="42">
        <f>J87</f>
        <v>29.592170370669109</v>
      </c>
      <c r="J96" s="42">
        <f>D88</f>
        <v>10</v>
      </c>
    </row>
    <row r="97" spans="2:3" x14ac:dyDescent="0.2">
      <c r="B97" s="42">
        <f>D90</f>
        <v>28.114425211263562</v>
      </c>
      <c r="C97" s="42">
        <f>D90</f>
        <v>28.114425211263562</v>
      </c>
    </row>
  </sheetData>
  <mergeCells count="116">
    <mergeCell ref="D5:H5"/>
    <mergeCell ref="B6:H11"/>
    <mergeCell ref="Q2:AA20"/>
    <mergeCell ref="B13:H14"/>
    <mergeCell ref="B16:C16"/>
    <mergeCell ref="B18:C18"/>
    <mergeCell ref="F16:G16"/>
    <mergeCell ref="F18:G18"/>
    <mergeCell ref="J16:K16"/>
    <mergeCell ref="O2:P8"/>
    <mergeCell ref="B2:N3"/>
    <mergeCell ref="I4:N11"/>
    <mergeCell ref="O9:P11"/>
    <mergeCell ref="B5:C5"/>
    <mergeCell ref="B4:C4"/>
    <mergeCell ref="D4:F4"/>
    <mergeCell ref="G4:H4"/>
    <mergeCell ref="J18:K18"/>
    <mergeCell ref="Z61:AA61"/>
    <mergeCell ref="Q63:R63"/>
    <mergeCell ref="T63:U63"/>
    <mergeCell ref="W63:X63"/>
    <mergeCell ref="Z63:AA63"/>
    <mergeCell ref="Q22:W23"/>
    <mergeCell ref="Q40:W41"/>
    <mergeCell ref="Q25:AA38"/>
    <mergeCell ref="Q43:AA56"/>
    <mergeCell ref="Q58:W59"/>
    <mergeCell ref="F25:G25"/>
    <mergeCell ref="Q67:AA85"/>
    <mergeCell ref="F27:H27"/>
    <mergeCell ref="F20:H23"/>
    <mergeCell ref="B33:H34"/>
    <mergeCell ref="J20:K20"/>
    <mergeCell ref="J22:K22"/>
    <mergeCell ref="J24:K24"/>
    <mergeCell ref="J26:K26"/>
    <mergeCell ref="J28:K28"/>
    <mergeCell ref="J30:K30"/>
    <mergeCell ref="Q65:R65"/>
    <mergeCell ref="B20:C20"/>
    <mergeCell ref="B22:D29"/>
    <mergeCell ref="I33:J33"/>
    <mergeCell ref="I34:J34"/>
    <mergeCell ref="G51:I51"/>
    <mergeCell ref="G53:H53"/>
    <mergeCell ref="G44:I44"/>
    <mergeCell ref="G46:J49"/>
    <mergeCell ref="B40:D40"/>
    <mergeCell ref="B42:D42"/>
    <mergeCell ref="G36:J38"/>
    <mergeCell ref="G40:I40"/>
    <mergeCell ref="G42:I42"/>
    <mergeCell ref="G55:H55"/>
    <mergeCell ref="G57:H57"/>
    <mergeCell ref="G56:H56"/>
    <mergeCell ref="G54:H54"/>
    <mergeCell ref="G59:H59"/>
    <mergeCell ref="G60:H60"/>
    <mergeCell ref="W65:X65"/>
    <mergeCell ref="D38:E38"/>
    <mergeCell ref="B46:D46"/>
    <mergeCell ref="B44:D44"/>
    <mergeCell ref="T65:U65"/>
    <mergeCell ref="B59:C59"/>
    <mergeCell ref="B61:C61"/>
    <mergeCell ref="B60:C60"/>
    <mergeCell ref="B58:C58"/>
    <mergeCell ref="B62:C62"/>
    <mergeCell ref="D48:E49"/>
    <mergeCell ref="Q61:R61"/>
    <mergeCell ref="T61:U61"/>
    <mergeCell ref="W61:X61"/>
    <mergeCell ref="B51:D51"/>
    <mergeCell ref="B53:C53"/>
    <mergeCell ref="B54:C54"/>
    <mergeCell ref="B56:C56"/>
    <mergeCell ref="B57:C57"/>
    <mergeCell ref="B63:C63"/>
    <mergeCell ref="B64:C64"/>
    <mergeCell ref="G61:H61"/>
    <mergeCell ref="G62:H62"/>
    <mergeCell ref="G63:H63"/>
    <mergeCell ref="B79:C79"/>
    <mergeCell ref="B83:H84"/>
    <mergeCell ref="B86:C86"/>
    <mergeCell ref="B73:C73"/>
    <mergeCell ref="B80:C80"/>
    <mergeCell ref="B65:C65"/>
    <mergeCell ref="B66:C66"/>
    <mergeCell ref="B67:C67"/>
    <mergeCell ref="B69:C69"/>
    <mergeCell ref="B70:C70"/>
    <mergeCell ref="G79:H79"/>
    <mergeCell ref="G66:H66"/>
    <mergeCell ref="G67:H67"/>
    <mergeCell ref="G74:H74"/>
    <mergeCell ref="G73:H73"/>
    <mergeCell ref="G76:I77"/>
    <mergeCell ref="G71:H71"/>
    <mergeCell ref="G72:H72"/>
    <mergeCell ref="G68:H68"/>
    <mergeCell ref="G69:H69"/>
    <mergeCell ref="G65:H65"/>
    <mergeCell ref="B71:C71"/>
    <mergeCell ref="B74:C74"/>
    <mergeCell ref="B76:D77"/>
    <mergeCell ref="H88:I88"/>
    <mergeCell ref="K87:L88"/>
    <mergeCell ref="B90:C90"/>
    <mergeCell ref="B87:C87"/>
    <mergeCell ref="E87:F87"/>
    <mergeCell ref="B88:C88"/>
    <mergeCell ref="B89:C89"/>
    <mergeCell ref="H86:I86"/>
    <mergeCell ref="H87:I87"/>
  </mergeCells>
  <hyperlinks>
    <hyperlink ref="D5" r:id="rId1" xr:uid="{AD553D8A-CA32-554D-BB89-4C1822A923E6}"/>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425D-1688-EB47-9C44-6626A035FA6E}">
  <dimension ref="B1:X42"/>
  <sheetViews>
    <sheetView zoomScale="61" workbookViewId="0">
      <selection activeCell="Q53" sqref="Q53"/>
    </sheetView>
  </sheetViews>
  <sheetFormatPr baseColWidth="10" defaultRowHeight="16" x14ac:dyDescent="0.2"/>
  <cols>
    <col min="1" max="1" width="0.83203125" customWidth="1"/>
    <col min="3" max="3" width="12.6640625" bestFit="1" customWidth="1"/>
    <col min="4" max="4" width="11.6640625" bestFit="1" customWidth="1"/>
    <col min="12" max="12" width="13.83203125" customWidth="1"/>
  </cols>
  <sheetData>
    <row r="1" spans="2:24" ht="4" customHeight="1" thickBot="1" x14ac:dyDescent="0.25"/>
    <row r="2" spans="2:24" x14ac:dyDescent="0.2">
      <c r="B2" s="109" t="s">
        <v>3</v>
      </c>
      <c r="C2" s="110"/>
      <c r="D2" s="110"/>
      <c r="E2" s="110"/>
      <c r="F2" s="110"/>
      <c r="G2" s="110"/>
      <c r="H2" s="110"/>
      <c r="I2" s="110"/>
      <c r="J2" s="110"/>
      <c r="K2" s="110"/>
      <c r="L2" s="110"/>
      <c r="M2" s="110"/>
      <c r="N2" s="111"/>
      <c r="O2" s="175" t="s">
        <v>7</v>
      </c>
      <c r="P2" s="176"/>
      <c r="Q2" s="176"/>
      <c r="R2" s="176"/>
      <c r="S2" s="176"/>
      <c r="T2" s="176"/>
      <c r="U2" s="176"/>
      <c r="V2" s="177"/>
      <c r="W2" s="155"/>
      <c r="X2" s="157"/>
    </row>
    <row r="3" spans="2:24" ht="17" thickBot="1" x14ac:dyDescent="0.25">
      <c r="B3" s="112"/>
      <c r="C3" s="113"/>
      <c r="D3" s="113"/>
      <c r="E3" s="113"/>
      <c r="F3" s="113"/>
      <c r="G3" s="113"/>
      <c r="H3" s="113"/>
      <c r="I3" s="113"/>
      <c r="J3" s="113"/>
      <c r="K3" s="113"/>
      <c r="L3" s="113"/>
      <c r="M3" s="113"/>
      <c r="N3" s="114"/>
      <c r="O3" s="178"/>
      <c r="P3" s="179"/>
      <c r="Q3" s="179"/>
      <c r="R3" s="179"/>
      <c r="S3" s="179"/>
      <c r="T3" s="179"/>
      <c r="U3" s="179"/>
      <c r="V3" s="180"/>
      <c r="W3" s="161"/>
      <c r="X3" s="163"/>
    </row>
    <row r="4" spans="2:24" ht="17" thickBot="1" x14ac:dyDescent="0.25">
      <c r="B4" s="4"/>
      <c r="C4" s="4"/>
      <c r="G4" s="3"/>
      <c r="H4" s="3"/>
      <c r="I4" s="2"/>
      <c r="J4" s="2"/>
      <c r="K4" s="2"/>
      <c r="L4" s="2"/>
      <c r="M4" s="2"/>
      <c r="N4" s="2"/>
    </row>
    <row r="5" spans="2:24" x14ac:dyDescent="0.2">
      <c r="B5" s="109" t="s">
        <v>29</v>
      </c>
      <c r="C5" s="110"/>
      <c r="D5" s="110"/>
      <c r="E5" s="110"/>
      <c r="F5" s="110"/>
      <c r="G5" s="110"/>
      <c r="H5" s="111"/>
      <c r="I5" s="2"/>
      <c r="J5" s="109" t="s">
        <v>28</v>
      </c>
      <c r="K5" s="110"/>
      <c r="L5" s="110"/>
      <c r="M5" s="110"/>
      <c r="N5" s="110"/>
      <c r="O5" s="110"/>
      <c r="P5" s="111"/>
      <c r="R5" s="109" t="s">
        <v>27</v>
      </c>
      <c r="S5" s="110"/>
      <c r="T5" s="110"/>
      <c r="U5" s="110"/>
      <c r="V5" s="110"/>
      <c r="W5" s="110"/>
      <c r="X5" s="111"/>
    </row>
    <row r="6" spans="2:24" ht="17" thickBot="1" x14ac:dyDescent="0.25">
      <c r="B6" s="112"/>
      <c r="C6" s="113"/>
      <c r="D6" s="113"/>
      <c r="E6" s="113"/>
      <c r="F6" s="113"/>
      <c r="G6" s="113"/>
      <c r="H6" s="114"/>
      <c r="I6" s="2"/>
      <c r="J6" s="112"/>
      <c r="K6" s="113"/>
      <c r="L6" s="113"/>
      <c r="M6" s="113"/>
      <c r="N6" s="113"/>
      <c r="O6" s="113"/>
      <c r="P6" s="114"/>
      <c r="R6" s="112"/>
      <c r="S6" s="113"/>
      <c r="T6" s="113"/>
      <c r="U6" s="113"/>
      <c r="V6" s="113"/>
      <c r="W6" s="113"/>
      <c r="X6" s="114"/>
    </row>
    <row r="7" spans="2:24" x14ac:dyDescent="0.2">
      <c r="B7" s="2"/>
      <c r="C7" s="2"/>
      <c r="D7" s="2"/>
      <c r="E7" s="2"/>
      <c r="F7" s="2"/>
      <c r="G7" s="2"/>
      <c r="H7" s="2"/>
      <c r="I7" s="2"/>
      <c r="J7" s="2"/>
      <c r="K7" s="2"/>
      <c r="L7" s="2"/>
      <c r="M7" s="2"/>
      <c r="N7" s="2"/>
    </row>
    <row r="8" spans="2:24" ht="34" x14ac:dyDescent="0.2">
      <c r="B8" s="9" t="s">
        <v>35</v>
      </c>
      <c r="C8" s="8" t="s">
        <v>30</v>
      </c>
      <c r="D8" s="8" t="s">
        <v>36</v>
      </c>
      <c r="E8" s="8" t="s">
        <v>33</v>
      </c>
      <c r="F8" s="8" t="s">
        <v>32</v>
      </c>
      <c r="G8" s="8" t="s">
        <v>34</v>
      </c>
      <c r="H8" s="2"/>
      <c r="I8" s="2"/>
      <c r="J8" s="9" t="s">
        <v>35</v>
      </c>
      <c r="K8" s="8" t="s">
        <v>83</v>
      </c>
      <c r="L8" s="8" t="s">
        <v>36</v>
      </c>
      <c r="M8" s="8" t="s">
        <v>33</v>
      </c>
      <c r="N8" s="8" t="s">
        <v>32</v>
      </c>
      <c r="O8" s="8" t="s">
        <v>34</v>
      </c>
      <c r="R8" s="9" t="s">
        <v>35</v>
      </c>
      <c r="S8" s="8" t="s">
        <v>83</v>
      </c>
      <c r="T8" s="8" t="s">
        <v>31</v>
      </c>
      <c r="U8" s="8" t="s">
        <v>44</v>
      </c>
      <c r="V8" s="8" t="s">
        <v>43</v>
      </c>
      <c r="W8" s="8" t="s">
        <v>45</v>
      </c>
    </row>
    <row r="9" spans="2:24" ht="16" customHeight="1" x14ac:dyDescent="0.2">
      <c r="B9" s="10">
        <v>1</v>
      </c>
      <c r="C9" s="2">
        <v>1</v>
      </c>
      <c r="D9" s="2" t="s">
        <v>38</v>
      </c>
      <c r="E9" s="2">
        <v>33</v>
      </c>
      <c r="F9" s="2">
        <v>60</v>
      </c>
      <c r="G9" s="2">
        <v>36</v>
      </c>
      <c r="H9" s="2"/>
      <c r="I9" s="2"/>
      <c r="J9" s="10">
        <v>1</v>
      </c>
      <c r="K9" s="2" t="s">
        <v>84</v>
      </c>
      <c r="L9" s="2" t="s">
        <v>37</v>
      </c>
      <c r="M9" s="2">
        <v>33</v>
      </c>
      <c r="N9" s="2">
        <v>60</v>
      </c>
      <c r="O9" s="2">
        <v>36</v>
      </c>
      <c r="P9" s="5"/>
      <c r="R9" s="10">
        <v>1</v>
      </c>
      <c r="S9">
        <v>4.5999999999999996</v>
      </c>
      <c r="T9" t="s">
        <v>93</v>
      </c>
      <c r="U9" s="11">
        <v>225000000</v>
      </c>
      <c r="V9" s="11">
        <v>400000000</v>
      </c>
      <c r="W9" s="11">
        <v>240000000</v>
      </c>
    </row>
    <row r="10" spans="2:24" ht="16" customHeight="1" x14ac:dyDescent="0.2">
      <c r="B10" s="10">
        <v>2</v>
      </c>
      <c r="C10" s="2">
        <v>2</v>
      </c>
      <c r="D10" s="2" t="s">
        <v>39</v>
      </c>
      <c r="E10" s="2">
        <v>55</v>
      </c>
      <c r="F10" s="2">
        <v>74</v>
      </c>
      <c r="G10" s="2">
        <v>57</v>
      </c>
      <c r="H10" s="2"/>
      <c r="I10" s="2"/>
      <c r="J10" s="10">
        <v>2</v>
      </c>
      <c r="K10" s="2" t="s">
        <v>85</v>
      </c>
      <c r="L10" s="2" t="s">
        <v>98</v>
      </c>
      <c r="M10" s="2">
        <v>85</v>
      </c>
      <c r="N10" s="2">
        <v>120</v>
      </c>
      <c r="O10" s="2">
        <v>92</v>
      </c>
      <c r="P10" s="5"/>
      <c r="R10" s="10">
        <v>2</v>
      </c>
      <c r="S10">
        <v>4.8</v>
      </c>
      <c r="T10" t="s">
        <v>94</v>
      </c>
      <c r="U10" s="11">
        <v>310000000</v>
      </c>
      <c r="V10" s="11">
        <v>420000000</v>
      </c>
      <c r="W10" s="11">
        <v>340000000</v>
      </c>
    </row>
    <row r="11" spans="2:24" ht="17" customHeight="1" x14ac:dyDescent="0.2">
      <c r="B11" s="10">
        <v>3</v>
      </c>
      <c r="C11" s="2">
        <v>2</v>
      </c>
      <c r="D11" s="2" t="s">
        <v>40</v>
      </c>
      <c r="E11" s="2">
        <v>33</v>
      </c>
      <c r="F11" s="2">
        <v>60</v>
      </c>
      <c r="G11" s="2">
        <v>36</v>
      </c>
      <c r="H11" s="2"/>
      <c r="I11" s="2"/>
      <c r="J11" s="10">
        <v>3</v>
      </c>
      <c r="K11" s="2" t="s">
        <v>85</v>
      </c>
      <c r="L11" s="2" t="s">
        <v>99</v>
      </c>
      <c r="M11" s="2">
        <v>74</v>
      </c>
      <c r="N11" s="2">
        <v>105</v>
      </c>
      <c r="O11" s="2">
        <v>81</v>
      </c>
      <c r="P11" s="5"/>
      <c r="R11" s="10">
        <v>3</v>
      </c>
      <c r="S11">
        <v>5.8</v>
      </c>
      <c r="T11" t="s">
        <v>95</v>
      </c>
      <c r="U11" s="11">
        <v>380000000</v>
      </c>
      <c r="V11" s="11">
        <v>520000000</v>
      </c>
      <c r="W11" s="11">
        <v>420000000</v>
      </c>
    </row>
    <row r="12" spans="2:24" ht="17" x14ac:dyDescent="0.2">
      <c r="B12" s="10">
        <v>4</v>
      </c>
      <c r="C12" s="2">
        <v>4</v>
      </c>
      <c r="D12" s="2" t="s">
        <v>38</v>
      </c>
      <c r="E12" s="2">
        <v>65</v>
      </c>
      <c r="F12" s="2">
        <v>115</v>
      </c>
      <c r="G12" s="2">
        <v>100</v>
      </c>
      <c r="J12" s="10">
        <v>4</v>
      </c>
      <c r="K12" s="2" t="s">
        <v>86</v>
      </c>
      <c r="L12" s="2" t="s">
        <v>98</v>
      </c>
      <c r="M12" s="2">
        <v>85</v>
      </c>
      <c r="N12" s="2">
        <v>120</v>
      </c>
      <c r="O12" s="2">
        <v>92</v>
      </c>
      <c r="R12" s="10">
        <v>4</v>
      </c>
      <c r="S12">
        <v>8.8000000000000007</v>
      </c>
      <c r="T12" t="s">
        <v>96</v>
      </c>
      <c r="U12" s="11">
        <v>600000000</v>
      </c>
      <c r="V12" s="11">
        <v>830000000</v>
      </c>
      <c r="W12" s="11">
        <v>660000000</v>
      </c>
    </row>
    <row r="13" spans="2:24" ht="17" x14ac:dyDescent="0.2">
      <c r="B13" s="10">
        <v>5</v>
      </c>
      <c r="C13" s="2">
        <v>5</v>
      </c>
      <c r="D13" s="2" t="s">
        <v>41</v>
      </c>
      <c r="E13" s="2">
        <v>85</v>
      </c>
      <c r="F13" s="2">
        <v>120</v>
      </c>
      <c r="G13" s="2">
        <v>92</v>
      </c>
      <c r="J13" s="10">
        <v>5</v>
      </c>
      <c r="K13" s="2" t="s">
        <v>86</v>
      </c>
      <c r="L13" s="2" t="s">
        <v>99</v>
      </c>
      <c r="M13" s="2">
        <v>74</v>
      </c>
      <c r="N13" s="2">
        <v>105</v>
      </c>
      <c r="O13" s="2">
        <v>81</v>
      </c>
      <c r="R13" s="10">
        <v>5</v>
      </c>
      <c r="S13">
        <v>9.8000000000000007</v>
      </c>
      <c r="T13" t="s">
        <v>94</v>
      </c>
      <c r="U13" s="11">
        <v>650000000</v>
      </c>
      <c r="V13" s="11">
        <v>900000000</v>
      </c>
      <c r="W13" s="11">
        <v>720000000</v>
      </c>
    </row>
    <row r="14" spans="2:24" ht="17" x14ac:dyDescent="0.2">
      <c r="B14" s="10">
        <v>6</v>
      </c>
      <c r="C14" s="2">
        <v>5</v>
      </c>
      <c r="D14" s="2" t="s">
        <v>42</v>
      </c>
      <c r="E14" s="2">
        <v>74</v>
      </c>
      <c r="F14" s="2">
        <v>105</v>
      </c>
      <c r="G14" s="2">
        <v>81</v>
      </c>
      <c r="J14" s="10">
        <v>6</v>
      </c>
      <c r="K14" s="26" t="s">
        <v>87</v>
      </c>
      <c r="L14" s="2" t="s">
        <v>98</v>
      </c>
      <c r="M14" s="2">
        <v>85</v>
      </c>
      <c r="N14" s="2">
        <v>120</v>
      </c>
      <c r="O14" s="2">
        <v>92</v>
      </c>
      <c r="R14" s="10">
        <v>6</v>
      </c>
      <c r="S14">
        <v>10.9</v>
      </c>
      <c r="T14" t="s">
        <v>93</v>
      </c>
      <c r="U14" s="11">
        <v>830000000</v>
      </c>
      <c r="V14" s="11">
        <v>1040000000</v>
      </c>
      <c r="W14" s="11">
        <v>940000000</v>
      </c>
    </row>
    <row r="15" spans="2:24" ht="17" x14ac:dyDescent="0.2">
      <c r="B15" s="10">
        <v>7</v>
      </c>
      <c r="C15" s="2">
        <v>5.2</v>
      </c>
      <c r="D15" s="2" t="s">
        <v>38</v>
      </c>
      <c r="E15" s="2">
        <v>85</v>
      </c>
      <c r="F15" s="2">
        <v>120</v>
      </c>
      <c r="G15" s="2">
        <v>92</v>
      </c>
      <c r="J15" s="10">
        <v>7</v>
      </c>
      <c r="K15" s="26" t="s">
        <v>87</v>
      </c>
      <c r="L15" s="2" t="s">
        <v>99</v>
      </c>
      <c r="M15" s="2">
        <v>74</v>
      </c>
      <c r="N15" s="2">
        <v>105</v>
      </c>
      <c r="O15" s="2">
        <v>81</v>
      </c>
      <c r="R15" s="10">
        <v>7</v>
      </c>
      <c r="S15">
        <v>12.9</v>
      </c>
      <c r="T15" t="s">
        <v>97</v>
      </c>
      <c r="U15" s="11">
        <v>970000000</v>
      </c>
      <c r="V15" s="11">
        <v>1220000000</v>
      </c>
      <c r="W15" s="11">
        <v>1100000000</v>
      </c>
    </row>
    <row r="16" spans="2:24" ht="17" x14ac:dyDescent="0.2">
      <c r="B16" s="10">
        <v>8</v>
      </c>
      <c r="C16" s="2">
        <v>7</v>
      </c>
      <c r="D16" s="2" t="s">
        <v>38</v>
      </c>
      <c r="E16" s="2">
        <v>105</v>
      </c>
      <c r="F16" s="2">
        <v>133</v>
      </c>
      <c r="G16" s="2">
        <v>115</v>
      </c>
      <c r="J16" s="10">
        <v>8</v>
      </c>
      <c r="K16" s="2" t="s">
        <v>88</v>
      </c>
      <c r="L16" s="2" t="s">
        <v>100</v>
      </c>
      <c r="M16" s="2">
        <v>105</v>
      </c>
      <c r="N16" s="2">
        <v>125</v>
      </c>
      <c r="O16" s="2">
        <v>109</v>
      </c>
    </row>
    <row r="17" spans="2:15" ht="17" x14ac:dyDescent="0.2">
      <c r="B17" s="10">
        <v>9</v>
      </c>
      <c r="C17" s="2">
        <v>8</v>
      </c>
      <c r="D17" s="2" t="s">
        <v>38</v>
      </c>
      <c r="E17" s="2">
        <v>120</v>
      </c>
      <c r="F17" s="2">
        <v>150</v>
      </c>
      <c r="G17" s="2">
        <v>130</v>
      </c>
      <c r="J17" s="10">
        <v>9</v>
      </c>
      <c r="K17" s="2" t="s">
        <v>88</v>
      </c>
      <c r="L17" s="2" t="s">
        <v>101</v>
      </c>
      <c r="M17" s="2">
        <v>95</v>
      </c>
      <c r="N17" s="2">
        <v>115</v>
      </c>
      <c r="O17" s="2">
        <v>99</v>
      </c>
    </row>
    <row r="18" spans="2:15" ht="17" x14ac:dyDescent="0.2">
      <c r="B18" s="10">
        <v>10</v>
      </c>
      <c r="C18" s="2">
        <v>8.1999999999999993</v>
      </c>
      <c r="D18" s="2" t="s">
        <v>41</v>
      </c>
      <c r="E18" s="2">
        <v>120</v>
      </c>
      <c r="F18" s="2">
        <v>150</v>
      </c>
      <c r="G18" s="2">
        <v>130</v>
      </c>
      <c r="J18" s="10">
        <v>10</v>
      </c>
      <c r="K18" s="26" t="s">
        <v>89</v>
      </c>
      <c r="L18" s="2" t="s">
        <v>102</v>
      </c>
      <c r="M18" s="2">
        <v>120</v>
      </c>
      <c r="N18" s="2">
        <v>150</v>
      </c>
      <c r="O18" s="2">
        <v>130</v>
      </c>
    </row>
    <row r="19" spans="2:15" ht="17" x14ac:dyDescent="0.2">
      <c r="J19" s="10">
        <v>11</v>
      </c>
      <c r="K19" s="26" t="s">
        <v>90</v>
      </c>
      <c r="L19" s="2" t="s">
        <v>41</v>
      </c>
      <c r="M19" s="2">
        <v>85</v>
      </c>
      <c r="N19" s="2">
        <v>120</v>
      </c>
      <c r="O19" s="2">
        <v>92</v>
      </c>
    </row>
    <row r="20" spans="2:15" ht="34" x14ac:dyDescent="0.2">
      <c r="B20" s="9" t="s">
        <v>35</v>
      </c>
      <c r="C20" s="8" t="s">
        <v>30</v>
      </c>
      <c r="D20" s="8" t="s">
        <v>36</v>
      </c>
      <c r="E20" s="8" t="s">
        <v>44</v>
      </c>
      <c r="F20" s="8" t="s">
        <v>43</v>
      </c>
      <c r="G20" s="8" t="s">
        <v>45</v>
      </c>
      <c r="J20" s="10">
        <v>12</v>
      </c>
      <c r="K20" s="26" t="s">
        <v>90</v>
      </c>
      <c r="L20" s="2" t="s">
        <v>99</v>
      </c>
      <c r="M20" s="2">
        <v>74</v>
      </c>
      <c r="N20" s="2">
        <v>105</v>
      </c>
      <c r="O20" s="2">
        <v>81</v>
      </c>
    </row>
    <row r="21" spans="2:15" ht="17" x14ac:dyDescent="0.2">
      <c r="B21" s="10">
        <v>1</v>
      </c>
      <c r="C21" s="2">
        <v>1</v>
      </c>
      <c r="D21" s="2" t="s">
        <v>38</v>
      </c>
      <c r="E21" s="12">
        <f>E9*C32</f>
        <v>227535000</v>
      </c>
      <c r="F21" s="12">
        <f>F9*C32</f>
        <v>413700000</v>
      </c>
      <c r="G21" s="12">
        <f>G9*C32</f>
        <v>248220000</v>
      </c>
      <c r="J21" s="10">
        <v>13</v>
      </c>
      <c r="K21" s="26" t="s">
        <v>90</v>
      </c>
      <c r="L21" s="2" t="s">
        <v>103</v>
      </c>
      <c r="M21" s="2">
        <v>55</v>
      </c>
      <c r="N21" s="2">
        <v>90</v>
      </c>
      <c r="O21" s="2">
        <v>58</v>
      </c>
    </row>
    <row r="22" spans="2:15" ht="17" x14ac:dyDescent="0.2">
      <c r="B22" s="10">
        <v>2</v>
      </c>
      <c r="C22" s="2">
        <v>2</v>
      </c>
      <c r="D22" s="2" t="s">
        <v>39</v>
      </c>
      <c r="E22" s="12">
        <f>E10*C32</f>
        <v>379225000</v>
      </c>
      <c r="F22" s="12">
        <f>F10*C32</f>
        <v>510230000</v>
      </c>
      <c r="G22" s="12">
        <f>G10*C32</f>
        <v>393015000</v>
      </c>
      <c r="J22" s="10">
        <v>14</v>
      </c>
      <c r="K22" s="26" t="s">
        <v>91</v>
      </c>
      <c r="L22" s="2" t="s">
        <v>104</v>
      </c>
      <c r="M22" s="2">
        <v>120</v>
      </c>
      <c r="N22" s="2">
        <v>150</v>
      </c>
      <c r="O22" s="2">
        <v>130</v>
      </c>
    </row>
    <row r="23" spans="2:15" ht="17" x14ac:dyDescent="0.2">
      <c r="B23" s="10">
        <v>3</v>
      </c>
      <c r="C23" s="2">
        <v>2</v>
      </c>
      <c r="D23" s="2" t="s">
        <v>40</v>
      </c>
      <c r="E23" s="12">
        <f>E11*C32</f>
        <v>227535000</v>
      </c>
      <c r="F23" s="12">
        <f>F11*C32</f>
        <v>413700000</v>
      </c>
      <c r="G23" s="12">
        <f>G11*C32</f>
        <v>248220000</v>
      </c>
      <c r="J23" s="10">
        <v>15</v>
      </c>
      <c r="K23" s="26" t="s">
        <v>92</v>
      </c>
      <c r="L23" s="2" t="s">
        <v>104</v>
      </c>
      <c r="M23" s="2">
        <v>120</v>
      </c>
      <c r="N23" s="2">
        <v>150</v>
      </c>
      <c r="O23" s="2">
        <v>130</v>
      </c>
    </row>
    <row r="24" spans="2:15" ht="17" x14ac:dyDescent="0.2">
      <c r="B24" s="10">
        <v>4</v>
      </c>
      <c r="C24" s="2">
        <v>4</v>
      </c>
      <c r="D24" s="2" t="s">
        <v>38</v>
      </c>
      <c r="E24" s="12">
        <f>E12*C32</f>
        <v>448175000</v>
      </c>
      <c r="F24" s="12">
        <f>F12*C32</f>
        <v>792925000</v>
      </c>
      <c r="G24" s="12">
        <f>G12*C32</f>
        <v>689500000</v>
      </c>
    </row>
    <row r="25" spans="2:15" ht="34" x14ac:dyDescent="0.2">
      <c r="B25" s="10">
        <v>5</v>
      </c>
      <c r="C25" s="2">
        <v>5</v>
      </c>
      <c r="D25" s="2" t="s">
        <v>41</v>
      </c>
      <c r="E25" s="12">
        <f>E13*C32</f>
        <v>586075000</v>
      </c>
      <c r="F25" s="12">
        <f>F13*C32</f>
        <v>827400000</v>
      </c>
      <c r="G25" s="12">
        <f>G13*C32</f>
        <v>634340000</v>
      </c>
      <c r="J25" s="9" t="s">
        <v>35</v>
      </c>
      <c r="K25" s="8" t="s">
        <v>83</v>
      </c>
      <c r="L25" s="8" t="s">
        <v>36</v>
      </c>
      <c r="M25" s="8" t="s">
        <v>44</v>
      </c>
      <c r="N25" s="8" t="s">
        <v>43</v>
      </c>
      <c r="O25" s="8" t="s">
        <v>45</v>
      </c>
    </row>
    <row r="26" spans="2:15" ht="17" x14ac:dyDescent="0.2">
      <c r="B26" s="10">
        <v>6</v>
      </c>
      <c r="C26" s="2">
        <v>5</v>
      </c>
      <c r="D26" s="2" t="s">
        <v>42</v>
      </c>
      <c r="E26" s="12">
        <f>E14*C32</f>
        <v>510230000</v>
      </c>
      <c r="F26" s="12">
        <f>F14*C32</f>
        <v>723975000</v>
      </c>
      <c r="G26" s="12">
        <f>G14*C32</f>
        <v>558495000</v>
      </c>
      <c r="J26" s="10">
        <v>1</v>
      </c>
      <c r="K26" s="2" t="s">
        <v>84</v>
      </c>
      <c r="L26" s="2" t="s">
        <v>37</v>
      </c>
      <c r="M26" s="11">
        <f>M9*C32</f>
        <v>227535000</v>
      </c>
      <c r="N26" s="11">
        <f>N9*C32</f>
        <v>413700000</v>
      </c>
      <c r="O26" s="11">
        <f>O9*C32</f>
        <v>248220000</v>
      </c>
    </row>
    <row r="27" spans="2:15" ht="17" x14ac:dyDescent="0.2">
      <c r="B27" s="10">
        <v>7</v>
      </c>
      <c r="C27" s="2">
        <v>5.2</v>
      </c>
      <c r="D27" s="2" t="s">
        <v>38</v>
      </c>
      <c r="E27" s="12">
        <f>E15*C32</f>
        <v>586075000</v>
      </c>
      <c r="F27" s="12">
        <f>F15*C32</f>
        <v>827400000</v>
      </c>
      <c r="G27" s="12">
        <f>G15*C32</f>
        <v>634340000</v>
      </c>
      <c r="J27" s="10">
        <v>2</v>
      </c>
      <c r="K27" s="2" t="s">
        <v>85</v>
      </c>
      <c r="L27" s="2" t="s">
        <v>98</v>
      </c>
      <c r="M27" s="11">
        <f>M10*C32</f>
        <v>586075000</v>
      </c>
      <c r="N27" s="11">
        <f>N10*C32</f>
        <v>827400000</v>
      </c>
      <c r="O27" s="11">
        <f>O10*C32</f>
        <v>634340000</v>
      </c>
    </row>
    <row r="28" spans="2:15" ht="17" x14ac:dyDescent="0.2">
      <c r="B28" s="10">
        <v>8</v>
      </c>
      <c r="C28" s="2">
        <v>7</v>
      </c>
      <c r="D28" s="2" t="s">
        <v>38</v>
      </c>
      <c r="E28" s="12">
        <f>E16*C32</f>
        <v>723975000</v>
      </c>
      <c r="F28" s="12">
        <f>F16*C32</f>
        <v>917035000</v>
      </c>
      <c r="G28" s="12">
        <f>G16*C32</f>
        <v>792925000</v>
      </c>
      <c r="J28" s="10">
        <v>3</v>
      </c>
      <c r="K28" s="2" t="s">
        <v>85</v>
      </c>
      <c r="L28" s="2" t="s">
        <v>99</v>
      </c>
      <c r="M28" s="11">
        <f>M11*C32</f>
        <v>510230000</v>
      </c>
      <c r="N28" s="11">
        <f>N11*C32</f>
        <v>723975000</v>
      </c>
      <c r="O28" s="11">
        <f>O11*C32</f>
        <v>558495000</v>
      </c>
    </row>
    <row r="29" spans="2:15" ht="17" x14ac:dyDescent="0.2">
      <c r="B29" s="10">
        <v>9</v>
      </c>
      <c r="C29" s="2">
        <v>8</v>
      </c>
      <c r="D29" s="2" t="s">
        <v>38</v>
      </c>
      <c r="E29" s="12">
        <f>E17*C32</f>
        <v>827400000</v>
      </c>
      <c r="F29" s="12">
        <f>F17*C32</f>
        <v>1034250000</v>
      </c>
      <c r="G29" s="12">
        <f>G17*C32</f>
        <v>896350000</v>
      </c>
      <c r="J29" s="10">
        <v>4</v>
      </c>
      <c r="K29" s="2" t="s">
        <v>86</v>
      </c>
      <c r="L29" s="2" t="s">
        <v>98</v>
      </c>
      <c r="M29" s="11">
        <f>M12*C32</f>
        <v>586075000</v>
      </c>
      <c r="N29" s="11">
        <f>N12*C32</f>
        <v>827400000</v>
      </c>
      <c r="O29" s="11">
        <f>O12*C32</f>
        <v>634340000</v>
      </c>
    </row>
    <row r="30" spans="2:15" ht="17" x14ac:dyDescent="0.2">
      <c r="B30" s="10">
        <v>10</v>
      </c>
      <c r="C30" s="2">
        <v>8.1999999999999993</v>
      </c>
      <c r="D30" s="2" t="s">
        <v>41</v>
      </c>
      <c r="E30" s="12">
        <f>E18*C32</f>
        <v>827400000</v>
      </c>
      <c r="F30" s="12">
        <f>F18*C32</f>
        <v>1034250000</v>
      </c>
      <c r="G30" s="12">
        <f>G18*C32</f>
        <v>896350000</v>
      </c>
      <c r="J30" s="10">
        <v>5</v>
      </c>
      <c r="K30" s="2" t="s">
        <v>86</v>
      </c>
      <c r="L30" s="2" t="s">
        <v>99</v>
      </c>
      <c r="M30" s="11">
        <f>M13*C32</f>
        <v>510230000</v>
      </c>
      <c r="N30" s="11">
        <f>N13*C32</f>
        <v>723975000</v>
      </c>
      <c r="O30" s="11">
        <f>O13*C32</f>
        <v>558495000</v>
      </c>
    </row>
    <row r="31" spans="2:15" ht="17" x14ac:dyDescent="0.2">
      <c r="J31" s="10">
        <v>6</v>
      </c>
      <c r="K31" s="26" t="s">
        <v>87</v>
      </c>
      <c r="L31" s="2" t="s">
        <v>98</v>
      </c>
      <c r="M31" s="11">
        <f>M14*C32</f>
        <v>586075000</v>
      </c>
      <c r="N31" s="11">
        <f>N14*C32</f>
        <v>827400000</v>
      </c>
      <c r="O31" s="11">
        <f>O14*C32</f>
        <v>634340000</v>
      </c>
    </row>
    <row r="32" spans="2:15" ht="18" thickBot="1" x14ac:dyDescent="0.25">
      <c r="B32" s="14" t="s">
        <v>47</v>
      </c>
      <c r="C32" s="15">
        <v>6895000</v>
      </c>
      <c r="D32" s="15" t="s">
        <v>46</v>
      </c>
      <c r="E32" s="13"/>
      <c r="F32" s="4"/>
      <c r="J32" s="10">
        <v>7</v>
      </c>
      <c r="K32" s="26" t="s">
        <v>87</v>
      </c>
      <c r="L32" s="2" t="s">
        <v>99</v>
      </c>
      <c r="M32" s="11">
        <f>M15*C32</f>
        <v>510230000</v>
      </c>
      <c r="N32" s="11">
        <f>N15*C32</f>
        <v>723975000</v>
      </c>
      <c r="O32" s="11">
        <f>O15*C32</f>
        <v>558495000</v>
      </c>
    </row>
    <row r="33" spans="2:15" ht="18" thickTop="1" x14ac:dyDescent="0.2">
      <c r="J33" s="10">
        <v>8</v>
      </c>
      <c r="K33" s="2" t="s">
        <v>88</v>
      </c>
      <c r="L33" s="2" t="s">
        <v>100</v>
      </c>
      <c r="M33" s="11">
        <f>M16*C32</f>
        <v>723975000</v>
      </c>
      <c r="N33" s="11">
        <f>N16*C32</f>
        <v>861875000</v>
      </c>
      <c r="O33" s="11">
        <f>O16*C32</f>
        <v>751555000</v>
      </c>
    </row>
    <row r="34" spans="2:15" ht="17" x14ac:dyDescent="0.2">
      <c r="J34" s="10">
        <v>9</v>
      </c>
      <c r="K34" s="2" t="s">
        <v>88</v>
      </c>
      <c r="L34" s="2" t="s">
        <v>101</v>
      </c>
      <c r="M34" s="11">
        <f>M17*C32</f>
        <v>655025000</v>
      </c>
      <c r="N34" s="11">
        <f>N17*C32</f>
        <v>792925000</v>
      </c>
      <c r="O34" s="11">
        <f>O17*C32</f>
        <v>682605000</v>
      </c>
    </row>
    <row r="35" spans="2:15" ht="17" x14ac:dyDescent="0.2">
      <c r="B35" s="4"/>
      <c r="J35" s="10">
        <v>10</v>
      </c>
      <c r="K35" s="26" t="s">
        <v>89</v>
      </c>
      <c r="L35" s="2" t="s">
        <v>102</v>
      </c>
      <c r="M35" s="11">
        <f>M18*C32</f>
        <v>827400000</v>
      </c>
      <c r="N35" s="11">
        <f>N18*C32</f>
        <v>1034250000</v>
      </c>
      <c r="O35" s="11">
        <f>O18*C32</f>
        <v>896350000</v>
      </c>
    </row>
    <row r="36" spans="2:15" ht="18" thickBot="1" x14ac:dyDescent="0.25">
      <c r="B36" s="20" t="s">
        <v>48</v>
      </c>
      <c r="C36" s="18"/>
      <c r="D36" s="18"/>
      <c r="E36" s="18"/>
      <c r="J36" s="10">
        <v>11</v>
      </c>
      <c r="K36" s="26" t="s">
        <v>90</v>
      </c>
      <c r="L36" s="2" t="s">
        <v>41</v>
      </c>
      <c r="M36" s="11">
        <f>M19*C32</f>
        <v>586075000</v>
      </c>
      <c r="N36" s="11">
        <f>N19*C32</f>
        <v>827400000</v>
      </c>
      <c r="O36" s="11">
        <f>O19*C32</f>
        <v>634340000</v>
      </c>
    </row>
    <row r="37" spans="2:15" ht="19" thickTop="1" thickBot="1" x14ac:dyDescent="0.25">
      <c r="B37" s="19">
        <f>VLOOKUP('Inputs + Outputs'!D20,'Bolt Standards'!B21:G30,4)</f>
        <v>379225000</v>
      </c>
      <c r="C37" s="19">
        <f>VLOOKUP('Inputs + Outputs'!D20,'Bolt Standards'!J26:O40,4)</f>
        <v>586075000</v>
      </c>
      <c r="D37" s="19">
        <f>VLOOKUP('Inputs + Outputs'!D20,'Bolt Standards'!R9:W15,4)</f>
        <v>310000000</v>
      </c>
      <c r="E37" s="20" t="s">
        <v>49</v>
      </c>
      <c r="J37" s="10">
        <v>12</v>
      </c>
      <c r="K37" s="26" t="s">
        <v>90</v>
      </c>
      <c r="L37" s="2" t="s">
        <v>99</v>
      </c>
      <c r="M37" s="11">
        <f>M20*C32</f>
        <v>510230000</v>
      </c>
      <c r="N37" s="11">
        <f>N20*C32</f>
        <v>723975000</v>
      </c>
      <c r="O37" s="11">
        <f>O20*C32</f>
        <v>558495000</v>
      </c>
    </row>
    <row r="38" spans="2:15" ht="19" thickTop="1" thickBot="1" x14ac:dyDescent="0.25">
      <c r="B38" s="19">
        <f>VLOOKUP('Inputs + Outputs'!D20,'Bolt Standards'!B21:G30,5)</f>
        <v>510230000</v>
      </c>
      <c r="C38" s="19">
        <f>VLOOKUP('Inputs + Outputs'!D20,'Bolt Standards'!J26:O40,5)</f>
        <v>827400000</v>
      </c>
      <c r="D38" s="19">
        <f>VLOOKUP('Inputs + Outputs'!D20,'Bolt Standards'!R9:W15,5)</f>
        <v>420000000</v>
      </c>
      <c r="E38" s="20" t="s">
        <v>50</v>
      </c>
      <c r="J38" s="10">
        <v>13</v>
      </c>
      <c r="K38" s="26" t="s">
        <v>90</v>
      </c>
      <c r="L38" s="2" t="s">
        <v>103</v>
      </c>
      <c r="M38" s="11">
        <f>M21*C32</f>
        <v>379225000</v>
      </c>
      <c r="N38" s="11">
        <f>N21*C32</f>
        <v>620550000</v>
      </c>
      <c r="O38" s="11">
        <f>O21*C32</f>
        <v>399910000</v>
      </c>
    </row>
    <row r="39" spans="2:15" ht="19" thickTop="1" thickBot="1" x14ac:dyDescent="0.25">
      <c r="B39" s="19">
        <f>VLOOKUP('Inputs + Outputs'!D20,'Bolt Standards'!B21:G30,6)</f>
        <v>393015000</v>
      </c>
      <c r="C39" s="19">
        <f>VLOOKUP('Inputs + Outputs'!D20,'Bolt Standards'!J26:O40,6)</f>
        <v>634340000</v>
      </c>
      <c r="D39" s="19">
        <f>VLOOKUP('Inputs + Outputs'!D20,'Bolt Standards'!R9:W15,6)</f>
        <v>340000000</v>
      </c>
      <c r="E39" s="20" t="s">
        <v>51</v>
      </c>
      <c r="J39" s="10">
        <v>14</v>
      </c>
      <c r="K39" s="26" t="s">
        <v>91</v>
      </c>
      <c r="L39" s="2" t="s">
        <v>104</v>
      </c>
      <c r="M39" s="11">
        <f>M22*C32</f>
        <v>827400000</v>
      </c>
      <c r="N39" s="11">
        <f>N22*C32</f>
        <v>1034250000</v>
      </c>
      <c r="O39" s="11">
        <f>O22*C32</f>
        <v>896350000</v>
      </c>
    </row>
    <row r="40" spans="2:15" ht="18" thickTop="1" x14ac:dyDescent="0.2">
      <c r="J40" s="10">
        <v>15</v>
      </c>
      <c r="K40" s="26" t="s">
        <v>92</v>
      </c>
      <c r="L40" s="2" t="s">
        <v>104</v>
      </c>
      <c r="M40" s="11">
        <f>M23*C32</f>
        <v>827400000</v>
      </c>
      <c r="N40" s="11">
        <f>N23*C32</f>
        <v>1034250000</v>
      </c>
      <c r="O40" s="11">
        <f>O23*C32</f>
        <v>896350000</v>
      </c>
    </row>
    <row r="41" spans="2:15" ht="17" thickBot="1" x14ac:dyDescent="0.25">
      <c r="B41" s="181" t="s">
        <v>76</v>
      </c>
      <c r="C41" s="181"/>
      <c r="D41" s="15">
        <v>0.85</v>
      </c>
      <c r="E41" s="182" t="s">
        <v>77</v>
      </c>
      <c r="F41" s="182"/>
    </row>
    <row r="42" spans="2:15" ht="17" thickTop="1" x14ac:dyDescent="0.2"/>
  </sheetData>
  <mergeCells count="8">
    <mergeCell ref="W2:X3"/>
    <mergeCell ref="O2:V3"/>
    <mergeCell ref="B2:N3"/>
    <mergeCell ref="B41:C41"/>
    <mergeCell ref="E41:F41"/>
    <mergeCell ref="B5:H6"/>
    <mergeCell ref="J5:P6"/>
    <mergeCell ref="R5:X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D06A-3A28-C144-890E-32275350C8CB}">
  <dimension ref="B1:P16"/>
  <sheetViews>
    <sheetView topLeftCell="A2" zoomScale="68" workbookViewId="0">
      <selection activeCell="I24" sqref="I24"/>
    </sheetView>
  </sheetViews>
  <sheetFormatPr baseColWidth="10" defaultRowHeight="16" x14ac:dyDescent="0.2"/>
  <cols>
    <col min="1" max="1" width="0.83203125" customWidth="1"/>
    <col min="4" max="4" width="11.6640625" customWidth="1"/>
    <col min="6" max="6" width="12.33203125" bestFit="1" customWidth="1"/>
    <col min="7" max="7" width="13.83203125" bestFit="1" customWidth="1"/>
    <col min="8" max="9" width="18" bestFit="1" customWidth="1"/>
    <col min="10" max="10" width="13.83203125" bestFit="1" customWidth="1"/>
  </cols>
  <sheetData>
    <row r="1" spans="2:16" ht="5" customHeight="1" thickBot="1" x14ac:dyDescent="0.25"/>
    <row r="2" spans="2:16" x14ac:dyDescent="0.2">
      <c r="B2" s="109" t="s">
        <v>3</v>
      </c>
      <c r="C2" s="110"/>
      <c r="D2" s="110"/>
      <c r="E2" s="110"/>
      <c r="F2" s="110"/>
      <c r="G2" s="110"/>
      <c r="H2" s="110"/>
      <c r="I2" s="110"/>
      <c r="J2" s="110"/>
      <c r="K2" s="110"/>
      <c r="L2" s="110"/>
      <c r="M2" s="110"/>
      <c r="N2" s="111"/>
      <c r="O2" s="155"/>
      <c r="P2" s="157"/>
    </row>
    <row r="3" spans="2:16" ht="17" thickBot="1" x14ac:dyDescent="0.25">
      <c r="B3" s="112"/>
      <c r="C3" s="113"/>
      <c r="D3" s="113"/>
      <c r="E3" s="113"/>
      <c r="F3" s="113"/>
      <c r="G3" s="113"/>
      <c r="H3" s="113"/>
      <c r="I3" s="113"/>
      <c r="J3" s="113"/>
      <c r="K3" s="113"/>
      <c r="L3" s="113"/>
      <c r="M3" s="113"/>
      <c r="N3" s="114"/>
      <c r="O3" s="161"/>
      <c r="P3" s="163"/>
    </row>
    <row r="5" spans="2:16" ht="17" x14ac:dyDescent="0.2">
      <c r="B5" s="9" t="s">
        <v>35</v>
      </c>
      <c r="C5" s="4" t="s">
        <v>108</v>
      </c>
      <c r="D5" s="4" t="s">
        <v>109</v>
      </c>
      <c r="E5" s="4" t="s">
        <v>110</v>
      </c>
      <c r="F5" s="4" t="s">
        <v>111</v>
      </c>
      <c r="G5" s="4" t="s">
        <v>112</v>
      </c>
      <c r="H5" s="4" t="s">
        <v>114</v>
      </c>
      <c r="I5" s="4" t="s">
        <v>115</v>
      </c>
      <c r="J5" s="4" t="s">
        <v>118</v>
      </c>
    </row>
    <row r="6" spans="2:16" x14ac:dyDescent="0.2">
      <c r="B6" s="10">
        <v>1</v>
      </c>
      <c r="C6" s="4" t="s">
        <v>105</v>
      </c>
      <c r="D6" s="11">
        <v>68900000000</v>
      </c>
      <c r="E6" s="11">
        <v>276000000</v>
      </c>
      <c r="F6" s="11">
        <v>310000000</v>
      </c>
      <c r="G6" s="11">
        <v>0.33</v>
      </c>
      <c r="H6" s="11">
        <v>26000000000</v>
      </c>
      <c r="I6" s="11">
        <v>207000000</v>
      </c>
      <c r="J6" s="11">
        <v>96500000</v>
      </c>
      <c r="K6" t="s">
        <v>113</v>
      </c>
    </row>
    <row r="7" spans="2:16" x14ac:dyDescent="0.2">
      <c r="B7" s="10">
        <v>2</v>
      </c>
      <c r="C7" s="4" t="s">
        <v>106</v>
      </c>
      <c r="D7" s="11">
        <v>205000000000</v>
      </c>
      <c r="E7" s="11">
        <v>435000000</v>
      </c>
      <c r="F7" s="11">
        <v>670000000</v>
      </c>
      <c r="G7" s="11">
        <v>0.28999999999999998</v>
      </c>
      <c r="H7" s="11">
        <v>80000000000</v>
      </c>
      <c r="I7" s="27">
        <f>0.577*E7</f>
        <v>250994999.99999997</v>
      </c>
      <c r="J7" s="27">
        <f>E7/2</f>
        <v>217500000</v>
      </c>
      <c r="K7" t="s">
        <v>116</v>
      </c>
    </row>
    <row r="8" spans="2:16" x14ac:dyDescent="0.2">
      <c r="B8" s="10">
        <v>3</v>
      </c>
      <c r="C8" s="4" t="s">
        <v>107</v>
      </c>
      <c r="D8" s="11">
        <v>113800000000</v>
      </c>
      <c r="E8" s="11">
        <v>880000000</v>
      </c>
      <c r="F8" s="11">
        <v>950000000</v>
      </c>
      <c r="G8" s="11">
        <v>0.34200000000000003</v>
      </c>
      <c r="H8" s="11">
        <v>44000000000</v>
      </c>
      <c r="I8" s="11">
        <v>550000000</v>
      </c>
      <c r="J8" s="11">
        <v>240000000</v>
      </c>
      <c r="K8" t="s">
        <v>119</v>
      </c>
    </row>
    <row r="9" spans="2:16" x14ac:dyDescent="0.2">
      <c r="B9" s="10"/>
    </row>
    <row r="10" spans="2:16" x14ac:dyDescent="0.2">
      <c r="B10" s="10"/>
      <c r="C10" s="183" t="s">
        <v>120</v>
      </c>
      <c r="D10" s="184"/>
      <c r="E10" s="184"/>
      <c r="F10" s="185"/>
    </row>
    <row r="11" spans="2:16" x14ac:dyDescent="0.2">
      <c r="B11" s="10"/>
      <c r="C11" s="186"/>
      <c r="D11" s="123"/>
      <c r="E11" s="123"/>
      <c r="F11" s="187"/>
    </row>
    <row r="12" spans="2:16" x14ac:dyDescent="0.2">
      <c r="B12" s="10"/>
      <c r="C12" s="186"/>
      <c r="D12" s="123"/>
      <c r="E12" s="123"/>
      <c r="F12" s="187"/>
    </row>
    <row r="13" spans="2:16" x14ac:dyDescent="0.2">
      <c r="B13" s="10"/>
      <c r="C13" s="186"/>
      <c r="D13" s="123"/>
      <c r="E13" s="123"/>
      <c r="F13" s="187"/>
    </row>
    <row r="14" spans="2:16" x14ac:dyDescent="0.2">
      <c r="B14" s="10"/>
      <c r="C14" s="188"/>
      <c r="D14" s="189"/>
      <c r="E14" s="189"/>
      <c r="F14" s="190"/>
    </row>
    <row r="15" spans="2:16" x14ac:dyDescent="0.2">
      <c r="B15" s="10"/>
    </row>
    <row r="16" spans="2:16" x14ac:dyDescent="0.2">
      <c r="C16" s="4"/>
    </row>
  </sheetData>
  <mergeCells count="3">
    <mergeCell ref="B2:N3"/>
    <mergeCell ref="O2:P3"/>
    <mergeCell ref="C10:F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F172-D215-E94E-8089-F6569C958516}">
  <dimension ref="B1:R56"/>
  <sheetViews>
    <sheetView topLeftCell="A12" zoomScale="75" workbookViewId="0">
      <selection activeCell="T21" sqref="T21"/>
    </sheetView>
  </sheetViews>
  <sheetFormatPr baseColWidth="10" defaultRowHeight="16" x14ac:dyDescent="0.2"/>
  <cols>
    <col min="1" max="1" width="0.83203125" customWidth="1"/>
  </cols>
  <sheetData>
    <row r="1" spans="2:16" ht="6" customHeight="1" thickBot="1" x14ac:dyDescent="0.25"/>
    <row r="2" spans="2:16" x14ac:dyDescent="0.2">
      <c r="B2" s="109" t="s">
        <v>3</v>
      </c>
      <c r="C2" s="110"/>
      <c r="D2" s="110"/>
      <c r="E2" s="110"/>
      <c r="F2" s="110"/>
      <c r="G2" s="110"/>
      <c r="H2" s="110"/>
      <c r="I2" s="110"/>
      <c r="J2" s="110"/>
      <c r="K2" s="110"/>
      <c r="L2" s="110"/>
      <c r="M2" s="110"/>
      <c r="N2" s="111"/>
      <c r="O2" s="155"/>
      <c r="P2" s="157"/>
    </row>
    <row r="3" spans="2:16" ht="17" thickBot="1" x14ac:dyDescent="0.25">
      <c r="B3" s="112"/>
      <c r="C3" s="113"/>
      <c r="D3" s="113"/>
      <c r="E3" s="113"/>
      <c r="F3" s="113"/>
      <c r="G3" s="113"/>
      <c r="H3" s="113"/>
      <c r="I3" s="113"/>
      <c r="J3" s="113"/>
      <c r="K3" s="113"/>
      <c r="L3" s="113"/>
      <c r="M3" s="113"/>
      <c r="N3" s="114"/>
      <c r="O3" s="161"/>
      <c r="P3" s="163"/>
    </row>
    <row r="28" spans="12:12" x14ac:dyDescent="0.2">
      <c r="L28" t="s">
        <v>59</v>
      </c>
    </row>
    <row r="37" spans="11:18" x14ac:dyDescent="0.2">
      <c r="K37" s="4" t="s">
        <v>60</v>
      </c>
    </row>
    <row r="38" spans="11:18" x14ac:dyDescent="0.2">
      <c r="L38" t="s">
        <v>61</v>
      </c>
    </row>
    <row r="40" spans="11:18" x14ac:dyDescent="0.2">
      <c r="K40" s="191" t="s">
        <v>178</v>
      </c>
      <c r="L40" s="192"/>
      <c r="M40" s="192"/>
      <c r="N40" s="192"/>
      <c r="O40" s="192"/>
      <c r="P40" s="192"/>
      <c r="Q40" s="192"/>
      <c r="R40" s="193"/>
    </row>
    <row r="41" spans="11:18" x14ac:dyDescent="0.2">
      <c r="K41" s="194"/>
      <c r="L41" s="195"/>
      <c r="M41" s="195"/>
      <c r="N41" s="195"/>
      <c r="O41" s="195"/>
      <c r="P41" s="195"/>
      <c r="Q41" s="195"/>
      <c r="R41" s="196"/>
    </row>
    <row r="42" spans="11:18" x14ac:dyDescent="0.2">
      <c r="K42" s="194"/>
      <c r="L42" s="195"/>
      <c r="M42" s="195"/>
      <c r="N42" s="195"/>
      <c r="O42" s="195"/>
      <c r="P42" s="195"/>
      <c r="Q42" s="195"/>
      <c r="R42" s="196"/>
    </row>
    <row r="43" spans="11:18" x14ac:dyDescent="0.2">
      <c r="K43" s="194"/>
      <c r="L43" s="195"/>
      <c r="M43" s="195"/>
      <c r="N43" s="195"/>
      <c r="O43" s="195"/>
      <c r="P43" s="195"/>
      <c r="Q43" s="195"/>
      <c r="R43" s="196"/>
    </row>
    <row r="44" spans="11:18" x14ac:dyDescent="0.2">
      <c r="K44" s="194"/>
      <c r="L44" s="195"/>
      <c r="M44" s="195"/>
      <c r="N44" s="195"/>
      <c r="O44" s="195"/>
      <c r="P44" s="195"/>
      <c r="Q44" s="195"/>
      <c r="R44" s="196"/>
    </row>
    <row r="45" spans="11:18" x14ac:dyDescent="0.2">
      <c r="K45" s="194"/>
      <c r="L45" s="195"/>
      <c r="M45" s="195"/>
      <c r="N45" s="195"/>
      <c r="O45" s="195"/>
      <c r="P45" s="195"/>
      <c r="Q45" s="195"/>
      <c r="R45" s="196"/>
    </row>
    <row r="46" spans="11:18" x14ac:dyDescent="0.2">
      <c r="K46" s="194"/>
      <c r="L46" s="195"/>
      <c r="M46" s="195"/>
      <c r="N46" s="195"/>
      <c r="O46" s="195"/>
      <c r="P46" s="195"/>
      <c r="Q46" s="195"/>
      <c r="R46" s="196"/>
    </row>
    <row r="47" spans="11:18" x14ac:dyDescent="0.2">
      <c r="K47" s="197"/>
      <c r="L47" s="198"/>
      <c r="M47" s="198"/>
      <c r="N47" s="198"/>
      <c r="O47" s="198"/>
      <c r="P47" s="198"/>
      <c r="Q47" s="198"/>
      <c r="R47" s="199"/>
    </row>
    <row r="49" spans="2:9" x14ac:dyDescent="0.2">
      <c r="B49" s="191" t="s">
        <v>179</v>
      </c>
      <c r="C49" s="192"/>
      <c r="D49" s="192"/>
      <c r="E49" s="192"/>
      <c r="F49" s="192"/>
      <c r="G49" s="192"/>
      <c r="H49" s="192"/>
      <c r="I49" s="193"/>
    </row>
    <row r="50" spans="2:9" x14ac:dyDescent="0.2">
      <c r="B50" s="194"/>
      <c r="C50" s="195"/>
      <c r="D50" s="195"/>
      <c r="E50" s="195"/>
      <c r="F50" s="195"/>
      <c r="G50" s="195"/>
      <c r="H50" s="195"/>
      <c r="I50" s="196"/>
    </row>
    <row r="51" spans="2:9" x14ac:dyDescent="0.2">
      <c r="B51" s="194"/>
      <c r="C51" s="195"/>
      <c r="D51" s="195"/>
      <c r="E51" s="195"/>
      <c r="F51" s="195"/>
      <c r="G51" s="195"/>
      <c r="H51" s="195"/>
      <c r="I51" s="196"/>
    </row>
    <row r="52" spans="2:9" x14ac:dyDescent="0.2">
      <c r="B52" s="194"/>
      <c r="C52" s="195"/>
      <c r="D52" s="195"/>
      <c r="E52" s="195"/>
      <c r="F52" s="195"/>
      <c r="G52" s="195"/>
      <c r="H52" s="195"/>
      <c r="I52" s="196"/>
    </row>
    <row r="53" spans="2:9" x14ac:dyDescent="0.2">
      <c r="B53" s="194"/>
      <c r="C53" s="195"/>
      <c r="D53" s="195"/>
      <c r="E53" s="195"/>
      <c r="F53" s="195"/>
      <c r="G53" s="195"/>
      <c r="H53" s="195"/>
      <c r="I53" s="196"/>
    </row>
    <row r="54" spans="2:9" x14ac:dyDescent="0.2">
      <c r="B54" s="194"/>
      <c r="C54" s="195"/>
      <c r="D54" s="195"/>
      <c r="E54" s="195"/>
      <c r="F54" s="195"/>
      <c r="G54" s="195"/>
      <c r="H54" s="195"/>
      <c r="I54" s="196"/>
    </row>
    <row r="55" spans="2:9" x14ac:dyDescent="0.2">
      <c r="B55" s="194"/>
      <c r="C55" s="195"/>
      <c r="D55" s="195"/>
      <c r="E55" s="195"/>
      <c r="F55" s="195"/>
      <c r="G55" s="195"/>
      <c r="H55" s="195"/>
      <c r="I55" s="196"/>
    </row>
    <row r="56" spans="2:9" x14ac:dyDescent="0.2">
      <c r="B56" s="197"/>
      <c r="C56" s="198"/>
      <c r="D56" s="198"/>
      <c r="E56" s="198"/>
      <c r="F56" s="198"/>
      <c r="G56" s="198"/>
      <c r="H56" s="198"/>
      <c r="I56" s="199"/>
    </row>
  </sheetData>
  <mergeCells count="4">
    <mergeCell ref="B2:N3"/>
    <mergeCell ref="O2:P3"/>
    <mergeCell ref="K40:R47"/>
    <mergeCell ref="B49:I5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91E8-B791-224A-A999-FE7DF3CA1999}">
  <dimension ref="B1:P24"/>
  <sheetViews>
    <sheetView workbookViewId="0">
      <selection activeCell="B25" sqref="B25"/>
    </sheetView>
  </sheetViews>
  <sheetFormatPr baseColWidth="10" defaultRowHeight="16" x14ac:dyDescent="0.2"/>
  <cols>
    <col min="1" max="1" width="0.83203125" customWidth="1"/>
  </cols>
  <sheetData>
    <row r="1" spans="2:16" ht="6" customHeight="1" thickBot="1" x14ac:dyDescent="0.25"/>
    <row r="2" spans="2:16" x14ac:dyDescent="0.2">
      <c r="B2" s="59" t="s">
        <v>3</v>
      </c>
      <c r="C2" s="60"/>
      <c r="D2" s="60"/>
      <c r="E2" s="60"/>
      <c r="F2" s="60"/>
      <c r="G2" s="60"/>
      <c r="H2" s="60"/>
      <c r="I2" s="60"/>
      <c r="J2" s="60"/>
      <c r="K2" s="60"/>
      <c r="L2" s="60"/>
      <c r="M2" s="60"/>
      <c r="N2" s="200"/>
      <c r="O2" s="202"/>
      <c r="P2" s="203"/>
    </row>
    <row r="3" spans="2:16" ht="17" thickBot="1" x14ac:dyDescent="0.25">
      <c r="B3" s="62"/>
      <c r="C3" s="63"/>
      <c r="D3" s="63"/>
      <c r="E3" s="63"/>
      <c r="F3" s="63"/>
      <c r="G3" s="63"/>
      <c r="H3" s="63"/>
      <c r="I3" s="63"/>
      <c r="J3" s="63"/>
      <c r="K3" s="63"/>
      <c r="L3" s="63"/>
      <c r="M3" s="63"/>
      <c r="N3" s="201"/>
      <c r="O3" s="204"/>
      <c r="P3" s="205"/>
    </row>
    <row r="5" spans="2:16" x14ac:dyDescent="0.2">
      <c r="B5" s="206" t="s">
        <v>177</v>
      </c>
      <c r="C5" s="207"/>
      <c r="D5" s="207"/>
      <c r="E5" s="207"/>
      <c r="F5" s="207"/>
      <c r="G5" s="207"/>
      <c r="H5" s="207"/>
      <c r="I5" s="207"/>
      <c r="J5" s="207"/>
      <c r="K5" s="207"/>
      <c r="L5" s="207"/>
      <c r="M5" s="207"/>
      <c r="N5" s="207"/>
      <c r="O5" s="207"/>
      <c r="P5" s="208"/>
    </row>
    <row r="6" spans="2:16" x14ac:dyDescent="0.2">
      <c r="B6" s="209"/>
      <c r="C6" s="94"/>
      <c r="D6" s="94"/>
      <c r="E6" s="94"/>
      <c r="F6" s="94"/>
      <c r="G6" s="94"/>
      <c r="H6" s="94"/>
      <c r="I6" s="94"/>
      <c r="J6" s="94"/>
      <c r="K6" s="94"/>
      <c r="L6" s="94"/>
      <c r="M6" s="94"/>
      <c r="N6" s="94"/>
      <c r="O6" s="94"/>
      <c r="P6" s="210"/>
    </row>
    <row r="7" spans="2:16" x14ac:dyDescent="0.2">
      <c r="B7" s="209"/>
      <c r="C7" s="94"/>
      <c r="D7" s="94"/>
      <c r="E7" s="94"/>
      <c r="F7" s="94"/>
      <c r="G7" s="94"/>
      <c r="H7" s="94"/>
      <c r="I7" s="94"/>
      <c r="J7" s="94"/>
      <c r="K7" s="94"/>
      <c r="L7" s="94"/>
      <c r="M7" s="94"/>
      <c r="N7" s="94"/>
      <c r="O7" s="94"/>
      <c r="P7" s="210"/>
    </row>
    <row r="8" spans="2:16" x14ac:dyDescent="0.2">
      <c r="B8" s="209"/>
      <c r="C8" s="94"/>
      <c r="D8" s="94"/>
      <c r="E8" s="94"/>
      <c r="F8" s="94"/>
      <c r="G8" s="94"/>
      <c r="H8" s="94"/>
      <c r="I8" s="94"/>
      <c r="J8" s="94"/>
      <c r="K8" s="94"/>
      <c r="L8" s="94"/>
      <c r="M8" s="94"/>
      <c r="N8" s="94"/>
      <c r="O8" s="94"/>
      <c r="P8" s="210"/>
    </row>
    <row r="9" spans="2:16" x14ac:dyDescent="0.2">
      <c r="B9" s="209"/>
      <c r="C9" s="94"/>
      <c r="D9" s="94"/>
      <c r="E9" s="94"/>
      <c r="F9" s="94"/>
      <c r="G9" s="94"/>
      <c r="H9" s="94"/>
      <c r="I9" s="94"/>
      <c r="J9" s="94"/>
      <c r="K9" s="94"/>
      <c r="L9" s="94"/>
      <c r="M9" s="94"/>
      <c r="N9" s="94"/>
      <c r="O9" s="94"/>
      <c r="P9" s="210"/>
    </row>
    <row r="10" spans="2:16" x14ac:dyDescent="0.2">
      <c r="B10" s="209"/>
      <c r="C10" s="94"/>
      <c r="D10" s="94"/>
      <c r="E10" s="94"/>
      <c r="F10" s="94"/>
      <c r="G10" s="94"/>
      <c r="H10" s="94"/>
      <c r="I10" s="94"/>
      <c r="J10" s="94"/>
      <c r="K10" s="94"/>
      <c r="L10" s="94"/>
      <c r="M10" s="94"/>
      <c r="N10" s="94"/>
      <c r="O10" s="94"/>
      <c r="P10" s="210"/>
    </row>
    <row r="11" spans="2:16" x14ac:dyDescent="0.2">
      <c r="B11" s="209"/>
      <c r="C11" s="94"/>
      <c r="D11" s="94"/>
      <c r="E11" s="94"/>
      <c r="F11" s="94"/>
      <c r="G11" s="94"/>
      <c r="H11" s="94"/>
      <c r="I11" s="94"/>
      <c r="J11" s="94"/>
      <c r="K11" s="94"/>
      <c r="L11" s="94"/>
      <c r="M11" s="94"/>
      <c r="N11" s="94"/>
      <c r="O11" s="94"/>
      <c r="P11" s="210"/>
    </row>
    <row r="12" spans="2:16" x14ac:dyDescent="0.2">
      <c r="B12" s="209"/>
      <c r="C12" s="94"/>
      <c r="D12" s="94"/>
      <c r="E12" s="94"/>
      <c r="F12" s="94"/>
      <c r="G12" s="94"/>
      <c r="H12" s="94"/>
      <c r="I12" s="94"/>
      <c r="J12" s="94"/>
      <c r="K12" s="94"/>
      <c r="L12" s="94"/>
      <c r="M12" s="94"/>
      <c r="N12" s="94"/>
      <c r="O12" s="94"/>
      <c r="P12" s="210"/>
    </row>
    <row r="13" spans="2:16" x14ac:dyDescent="0.2">
      <c r="B13" s="209"/>
      <c r="C13" s="94"/>
      <c r="D13" s="94"/>
      <c r="E13" s="94"/>
      <c r="F13" s="94"/>
      <c r="G13" s="94"/>
      <c r="H13" s="94"/>
      <c r="I13" s="94"/>
      <c r="J13" s="94"/>
      <c r="K13" s="94"/>
      <c r="L13" s="94"/>
      <c r="M13" s="94"/>
      <c r="N13" s="94"/>
      <c r="O13" s="94"/>
      <c r="P13" s="210"/>
    </row>
    <row r="14" spans="2:16" x14ac:dyDescent="0.2">
      <c r="B14" s="209"/>
      <c r="C14" s="94"/>
      <c r="D14" s="94"/>
      <c r="E14" s="94"/>
      <c r="F14" s="94"/>
      <c r="G14" s="94"/>
      <c r="H14" s="94"/>
      <c r="I14" s="94"/>
      <c r="J14" s="94"/>
      <c r="K14" s="94"/>
      <c r="L14" s="94"/>
      <c r="M14" s="94"/>
      <c r="N14" s="94"/>
      <c r="O14" s="94"/>
      <c r="P14" s="210"/>
    </row>
    <row r="15" spans="2:16" x14ac:dyDescent="0.2">
      <c r="B15" s="209"/>
      <c r="C15" s="94"/>
      <c r="D15" s="94"/>
      <c r="E15" s="94"/>
      <c r="F15" s="94"/>
      <c r="G15" s="94"/>
      <c r="H15" s="94"/>
      <c r="I15" s="94"/>
      <c r="J15" s="94"/>
      <c r="K15" s="94"/>
      <c r="L15" s="94"/>
      <c r="M15" s="94"/>
      <c r="N15" s="94"/>
      <c r="O15" s="94"/>
      <c r="P15" s="210"/>
    </row>
    <row r="16" spans="2:16" x14ac:dyDescent="0.2">
      <c r="B16" s="209"/>
      <c r="C16" s="94"/>
      <c r="D16" s="94"/>
      <c r="E16" s="94"/>
      <c r="F16" s="94"/>
      <c r="G16" s="94"/>
      <c r="H16" s="94"/>
      <c r="I16" s="94"/>
      <c r="J16" s="94"/>
      <c r="K16" s="94"/>
      <c r="L16" s="94"/>
      <c r="M16" s="94"/>
      <c r="N16" s="94"/>
      <c r="O16" s="94"/>
      <c r="P16" s="210"/>
    </row>
    <row r="17" spans="2:16" x14ac:dyDescent="0.2">
      <c r="B17" s="209"/>
      <c r="C17" s="94"/>
      <c r="D17" s="94"/>
      <c r="E17" s="94"/>
      <c r="F17" s="94"/>
      <c r="G17" s="94"/>
      <c r="H17" s="94"/>
      <c r="I17" s="94"/>
      <c r="J17" s="94"/>
      <c r="K17" s="94"/>
      <c r="L17" s="94"/>
      <c r="M17" s="94"/>
      <c r="N17" s="94"/>
      <c r="O17" s="94"/>
      <c r="P17" s="210"/>
    </row>
    <row r="18" spans="2:16" x14ac:dyDescent="0.2">
      <c r="B18" s="209"/>
      <c r="C18" s="94"/>
      <c r="D18" s="94"/>
      <c r="E18" s="94"/>
      <c r="F18" s="94"/>
      <c r="G18" s="94"/>
      <c r="H18" s="94"/>
      <c r="I18" s="94"/>
      <c r="J18" s="94"/>
      <c r="K18" s="94"/>
      <c r="L18" s="94"/>
      <c r="M18" s="94"/>
      <c r="N18" s="94"/>
      <c r="O18" s="94"/>
      <c r="P18" s="210"/>
    </row>
    <row r="19" spans="2:16" x14ac:dyDescent="0.2">
      <c r="B19" s="209"/>
      <c r="C19" s="94"/>
      <c r="D19" s="94"/>
      <c r="E19" s="94"/>
      <c r="F19" s="94"/>
      <c r="G19" s="94"/>
      <c r="H19" s="94"/>
      <c r="I19" s="94"/>
      <c r="J19" s="94"/>
      <c r="K19" s="94"/>
      <c r="L19" s="94"/>
      <c r="M19" s="94"/>
      <c r="N19" s="94"/>
      <c r="O19" s="94"/>
      <c r="P19" s="210"/>
    </row>
    <row r="20" spans="2:16" x14ac:dyDescent="0.2">
      <c r="B20" s="209"/>
      <c r="C20" s="94"/>
      <c r="D20" s="94"/>
      <c r="E20" s="94"/>
      <c r="F20" s="94"/>
      <c r="G20" s="94"/>
      <c r="H20" s="94"/>
      <c r="I20" s="94"/>
      <c r="J20" s="94"/>
      <c r="K20" s="94"/>
      <c r="L20" s="94"/>
      <c r="M20" s="94"/>
      <c r="N20" s="94"/>
      <c r="O20" s="94"/>
      <c r="P20" s="210"/>
    </row>
    <row r="21" spans="2:16" x14ac:dyDescent="0.2">
      <c r="B21" s="209"/>
      <c r="C21" s="94"/>
      <c r="D21" s="94"/>
      <c r="E21" s="94"/>
      <c r="F21" s="94"/>
      <c r="G21" s="94"/>
      <c r="H21" s="94"/>
      <c r="I21" s="94"/>
      <c r="J21" s="94"/>
      <c r="K21" s="94"/>
      <c r="L21" s="94"/>
      <c r="M21" s="94"/>
      <c r="N21" s="94"/>
      <c r="O21" s="94"/>
      <c r="P21" s="210"/>
    </row>
    <row r="22" spans="2:16" x14ac:dyDescent="0.2">
      <c r="B22" s="209"/>
      <c r="C22" s="94"/>
      <c r="D22" s="94"/>
      <c r="E22" s="94"/>
      <c r="F22" s="94"/>
      <c r="G22" s="94"/>
      <c r="H22" s="94"/>
      <c r="I22" s="94"/>
      <c r="J22" s="94"/>
      <c r="K22" s="94"/>
      <c r="L22" s="94"/>
      <c r="M22" s="94"/>
      <c r="N22" s="94"/>
      <c r="O22" s="94"/>
      <c r="P22" s="210"/>
    </row>
    <row r="23" spans="2:16" x14ac:dyDescent="0.2">
      <c r="B23" s="209"/>
      <c r="C23" s="94"/>
      <c r="D23" s="94"/>
      <c r="E23" s="94"/>
      <c r="F23" s="94"/>
      <c r="G23" s="94"/>
      <c r="H23" s="94"/>
      <c r="I23" s="94"/>
      <c r="J23" s="94"/>
      <c r="K23" s="94"/>
      <c r="L23" s="94"/>
      <c r="M23" s="94"/>
      <c r="N23" s="94"/>
      <c r="O23" s="94"/>
      <c r="P23" s="210"/>
    </row>
    <row r="24" spans="2:16" x14ac:dyDescent="0.2">
      <c r="B24" s="211"/>
      <c r="C24" s="212"/>
      <c r="D24" s="212"/>
      <c r="E24" s="212"/>
      <c r="F24" s="212"/>
      <c r="G24" s="212"/>
      <c r="H24" s="212"/>
      <c r="I24" s="212"/>
      <c r="J24" s="212"/>
      <c r="K24" s="212"/>
      <c r="L24" s="212"/>
      <c r="M24" s="212"/>
      <c r="N24" s="212"/>
      <c r="O24" s="212"/>
      <c r="P24" s="213"/>
    </row>
  </sheetData>
  <mergeCells count="3">
    <mergeCell ref="B2:N3"/>
    <mergeCell ref="O2:P3"/>
    <mergeCell ref="B5:P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Inputs + Outputs</vt:lpstr>
      <vt:lpstr>Bolt Standards</vt:lpstr>
      <vt:lpstr>Material Properties</vt:lpstr>
      <vt:lpstr>Diagrams + Modeling Details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Centaurus A</dc:creator>
  <cp:lastModifiedBy>Centaurus A</cp:lastModifiedBy>
  <dcterms:created xsi:type="dcterms:W3CDTF">2023-04-10T19:49:30Z</dcterms:created>
  <dcterms:modified xsi:type="dcterms:W3CDTF">2023-04-17T18:34:06Z</dcterms:modified>
</cp:coreProperties>
</file>